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comments10.xml" ContentType="application/vnd.openxmlformats-officedocument.spreadsheetml.comments+xml"/>
  <Override PartName="/xl/drawings/drawing19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drawings/drawing24.xml" ContentType="application/vnd.openxmlformats-officedocument.drawing+xml"/>
  <Override PartName="/xl/comments17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תוכנית עבודה 2020\הצעת תקציב 2020\"/>
    </mc:Choice>
  </mc:AlternateContent>
  <bookViews>
    <workbookView xWindow="0" yWindow="0" windowWidth="24000" windowHeight="9108"/>
  </bookViews>
  <sheets>
    <sheet name="תקציב 2020" sheetId="220" r:id="rId1"/>
    <sheet name="תוכן ענינים" sheetId="46" r:id="rId2"/>
    <sheet name="מבוא" sheetId="39" r:id="rId3"/>
    <sheet name="תקציב 2019" sheetId="40" r:id="rId4"/>
    <sheet name="תקציב 2020 " sheetId="41" r:id="rId5"/>
    <sheet name="תקציב 2020 פרקים" sheetId="61" r:id="rId6"/>
    <sheet name="תקציב 2020  אגפים " sheetId="42" r:id="rId7"/>
    <sheet name="תקציב 2020  מקורות " sheetId="100" r:id="rId8"/>
    <sheet name="תקציב 2020 קרנות הרשות" sheetId="38" r:id="rId9"/>
    <sheet name="תקציב 2020 מקורות אחרים" sheetId="43" r:id="rId10"/>
    <sheet name="תרשים אגפים" sheetId="65" r:id="rId11"/>
    <sheet name="ריכוז אגפים" sheetId="12" r:id="rId12"/>
    <sheet name="תרשים פרקים" sheetId="98" r:id="rId13"/>
    <sheet name="ריכוז פרקים" sheetId="97" r:id="rId14"/>
    <sheet name="פרוט מקורות אחרים" sheetId="44" r:id="rId15"/>
    <sheet name="תרשים מקורות מימון" sheetId="66" r:id="rId16"/>
    <sheet name="הנדסה 2020" sheetId="67" r:id="rId17"/>
    <sheet name="הנדסה 2020 (2)" sheetId="163" r:id="rId18"/>
    <sheet name="תקציב הנדסה 2020 " sheetId="193" r:id="rId19"/>
    <sheet name="תקציב הנדסה 2020 טיוטה תאור" sheetId="221" r:id="rId20"/>
    <sheet name="הנדסה 2020 פרקים" sheetId="205" state="hidden" r:id="rId21"/>
    <sheet name="החברה לפיתוח 2020" sheetId="68" r:id="rId22"/>
    <sheet name="החב. לפיתוח 2020" sheetId="99" r:id="rId23"/>
    <sheet name="תקציב החברה לפיתוח 2020" sheetId="194" r:id="rId24"/>
    <sheet name="תקציב החברה לפיתוח 2020 תאור" sheetId="222" r:id="rId25"/>
    <sheet name="החברה לפיתוח 2020 פרקים" sheetId="206" state="hidden" r:id="rId26"/>
    <sheet name="אגף ת.ב.ל 2020" sheetId="69" r:id="rId27"/>
    <sheet name="אגף ת.ב.ל 2020 (2)" sheetId="160" r:id="rId28"/>
    <sheet name="תקציב אגף ת.ב.ל 2020 " sheetId="195" r:id="rId29"/>
    <sheet name="אגף ת.ב.ל 2020 פרקים" sheetId="207" state="hidden" r:id="rId30"/>
    <sheet name="תקציב אגף ת.ב.ל 2020 תאור" sheetId="223" r:id="rId31"/>
    <sheet name="אגף בטחון פיקוח סד&quot;צ 2020" sheetId="71" r:id="rId32"/>
    <sheet name="תקציב אגף בטחון פיקוח סד&quot;צ 2020" sheetId="196" r:id="rId33"/>
    <sheet name="בטחון פיקוח סד&quot;צ 2020 פרקים" sheetId="208" state="hidden" r:id="rId34"/>
    <sheet name="אגף חינוך 2020" sheetId="72" r:id="rId35"/>
    <sheet name="תקציב אגף חינוך 2020" sheetId="197" r:id="rId36"/>
    <sheet name=" חינוך 2020 פרקים" sheetId="209" state="hidden" r:id="rId37"/>
    <sheet name="אגף תנוס 2020" sheetId="74" r:id="rId38"/>
    <sheet name="תקציב אגף תנוס 2020 " sheetId="198" r:id="rId39"/>
    <sheet name="תנוס 2020פרקים" sheetId="210" state="hidden" r:id="rId40"/>
    <sheet name="אגף שאיפה 2020" sheetId="73" r:id="rId41"/>
    <sheet name="אגף שאיפה 2020 (2)" sheetId="161" r:id="rId42"/>
    <sheet name="תקציב אגף שאיפה  2020 " sheetId="199" r:id="rId43"/>
    <sheet name=" שאיפה  2020 פרקים" sheetId="211" state="hidden" r:id="rId44"/>
    <sheet name="תקציב אגף שאיפה  2020 תאור" sheetId="224" r:id="rId45"/>
    <sheet name="רשות החופים 2020" sheetId="75" r:id="rId46"/>
    <sheet name="תקציב רשות החופים 2020 " sheetId="200" r:id="rId47"/>
    <sheet name="רשות החופים 2020 פרקים" sheetId="212" state="hidden" r:id="rId48"/>
    <sheet name="החברה לתירות 2020" sheetId="77" r:id="rId49"/>
    <sheet name="תקציב החברה לתירות 2020 " sheetId="201" r:id="rId50"/>
    <sheet name="החברה לתירות 2020 פרקים" sheetId="213" state="hidden" r:id="rId51"/>
    <sheet name="אגף תקשוב ומע. מידע 2020" sheetId="78" r:id="rId52"/>
    <sheet name="אגף תקשוב ומע. מידע 2020 (2)" sheetId="165" r:id="rId53"/>
    <sheet name="תקציב אגף תקשוב 2020 " sheetId="202" r:id="rId54"/>
    <sheet name=" תקשוב 2020 פרקים" sheetId="214" state="hidden" r:id="rId55"/>
    <sheet name="אגף נכסים וביטוח 2020" sheetId="158" r:id="rId56"/>
    <sheet name="תקציב אגף נכסים וביטוח 2020 " sheetId="203" r:id="rId57"/>
    <sheet name="נכסים וביטוח 2020 פרקים" sheetId="215" state="hidden" r:id="rId58"/>
    <sheet name="מינהל כללי 2020" sheetId="81" r:id="rId59"/>
    <sheet name="תקציב מינהל כללי 2020 " sheetId="204" r:id="rId60"/>
    <sheet name=" מינהל כללי 2020 פרקים" sheetId="216" state="hidden" r:id="rId61"/>
    <sheet name="תקציב 2019 - ביצוע" sheetId="63" r:id="rId62"/>
    <sheet name="ריכוז אגפים 2019" sheetId="191" r:id="rId63"/>
    <sheet name="הנדסה 2019" sheetId="179" r:id="rId64"/>
    <sheet name="החברה לפיתוח 2019" sheetId="180" r:id="rId65"/>
    <sheet name="אגף ת.ב.ל 2019" sheetId="181" r:id="rId66"/>
    <sheet name=" אגף בטחון פיקוח סד&quot;צ 2019" sheetId="182" r:id="rId67"/>
    <sheet name="תקציב אגף חינוך 2019" sheetId="183" r:id="rId68"/>
    <sheet name=" אגף תנוס 2019" sheetId="184" r:id="rId69"/>
    <sheet name="אגף שאיפה  2019" sheetId="185" r:id="rId70"/>
    <sheet name="רשות החופים 2019 " sheetId="186" r:id="rId71"/>
    <sheet name="החברה לתירות 2019" sheetId="187" r:id="rId72"/>
    <sheet name="אגף תקשוב 2019" sheetId="188" r:id="rId73"/>
    <sheet name=" אגף נכסים וביטוח 2019" sheetId="189" r:id="rId74"/>
    <sheet name="מינהל כללי 2019" sheetId="190" r:id="rId75"/>
    <sheet name="ריכוז תקציב מעבר לתוכנית 2019" sheetId="192" r:id="rId76"/>
    <sheet name="פרויקטים החב. לפיתוח " sheetId="176" r:id="rId77"/>
  </sheets>
  <externalReferences>
    <externalReference r:id="rId78"/>
    <externalReference r:id="rId79"/>
    <externalReference r:id="rId80"/>
  </externalReferences>
  <definedNames>
    <definedName name="_xlnm._FilterDatabase" localSheetId="36" hidden="1">' חינוך 2020 פרקים'!$A$4:$AB$23</definedName>
    <definedName name="_xlnm._FilterDatabase" localSheetId="67" hidden="1">'תקציב אגף חינוך 2019'!$A$5:$AB$30</definedName>
    <definedName name="_xlnm._FilterDatabase" localSheetId="35" hidden="1">'תקציב אגף חינוך 2020'!$A$4:$AB$23</definedName>
    <definedName name="_xlnm.Print_Area" localSheetId="63">'הנדסה 2019'!$A$1:$AT$105</definedName>
    <definedName name="_xlnm.Print_Area" localSheetId="14">'פרוט מקורות אחרים'!$A$1:$O$16</definedName>
    <definedName name="_xlnm.Print_Area" localSheetId="11">'ריכוז אגפים'!$A$1:$X$24</definedName>
    <definedName name="_xlnm.Print_Area" localSheetId="62">'ריכוז אגפים 2019'!$A$1:$AQ$19</definedName>
    <definedName name="_xlnm.Print_Area" localSheetId="13">'ריכוז פרקים'!$A$1:$X$20</definedName>
    <definedName name="_xlnm.Print_Area" localSheetId="8">'תקציב 2020 קרנות הרשות'!$A$1:$H$22</definedName>
    <definedName name="_xlnm.Print_Titles" localSheetId="66">' אגף בטחון פיקוח סד"צ 2019'!$1:$5</definedName>
    <definedName name="_xlnm.Print_Titles" localSheetId="73">' אגף נכסים וביטוח 2019'!$1:$5</definedName>
    <definedName name="_xlnm.Print_Titles" localSheetId="68">' אגף תנוס 2019'!$1:$5</definedName>
    <definedName name="_xlnm.Print_Titles" localSheetId="36">' חינוך 2020 פרקים'!$1:$4</definedName>
    <definedName name="_xlnm.Print_Titles" localSheetId="60">' מינהל כללי 2020 פרקים'!$1:$4</definedName>
    <definedName name="_xlnm.Print_Titles" localSheetId="43">' שאיפה  2020 פרקים'!$2:$5</definedName>
    <definedName name="_xlnm.Print_Titles" localSheetId="54">' תקשוב 2020 פרקים'!$1:$4</definedName>
    <definedName name="_xlnm.Print_Titles" localSheetId="69">'אגף שאיפה  2019'!$2:$5</definedName>
    <definedName name="_xlnm.Print_Titles" localSheetId="65">'אגף ת.ב.ל 2019'!$1:$5</definedName>
    <definedName name="_xlnm.Print_Titles" localSheetId="29">'אגף ת.ב.ל 2020 פרקים'!$1:$4</definedName>
    <definedName name="_xlnm.Print_Titles" localSheetId="72">'אגף תקשוב 2019'!$1:$5</definedName>
    <definedName name="_xlnm.Print_Titles" localSheetId="33">'בטחון פיקוח סד"צ 2020 פרקים'!$1:$4</definedName>
    <definedName name="_xlnm.Print_Titles" localSheetId="64">'החברה לפיתוח 2019'!$2:$5</definedName>
    <definedName name="_xlnm.Print_Titles" localSheetId="25">'החברה לפיתוח 2020 פרקים'!$1:$4</definedName>
    <definedName name="_xlnm.Print_Titles" localSheetId="71">'החברה לתירות 2019'!$1:$5</definedName>
    <definedName name="_xlnm.Print_Titles" localSheetId="50">'החברה לתירות 2020 פרקים'!$1:$4</definedName>
    <definedName name="_xlnm.Print_Titles" localSheetId="63">'הנדסה 2019'!$1:$5</definedName>
    <definedName name="_xlnm.Print_Titles" localSheetId="20">'הנדסה 2020 פרקים'!$1:$4</definedName>
    <definedName name="_xlnm.Print_Titles" localSheetId="74">'מינהל כללי 2019'!$1:$5</definedName>
    <definedName name="_xlnm.Print_Titles" localSheetId="57">'נכסים וביטוח 2020 פרקים'!$1:$4</definedName>
    <definedName name="_xlnm.Print_Titles" localSheetId="76">'פרויקטים החב. לפיתוח '!$2:$5</definedName>
    <definedName name="_xlnm.Print_Titles" localSheetId="11">'ריכוז אגפים'!$2:$5</definedName>
    <definedName name="_xlnm.Print_Titles" localSheetId="62">'ריכוז אגפים 2019'!$2:$5</definedName>
    <definedName name="_xlnm.Print_Titles" localSheetId="13">'ריכוז פרקים'!$2:$5</definedName>
    <definedName name="_xlnm.Print_Titles" localSheetId="75">'ריכוז תקציב מעבר לתוכנית 2019'!$2:$5</definedName>
    <definedName name="_xlnm.Print_Titles" localSheetId="70">'רשות החופים 2019 '!$1:$5</definedName>
    <definedName name="_xlnm.Print_Titles" localSheetId="47">'רשות החופים 2020 פרקים'!$1:$4</definedName>
    <definedName name="_xlnm.Print_Titles" localSheetId="39">'תנוס 2020פרקים'!$1:$4</definedName>
    <definedName name="_xlnm.Print_Titles" localSheetId="32">'תקציב אגף בטחון פיקוח סד"צ 2020'!$1:$4</definedName>
    <definedName name="_xlnm.Print_Titles" localSheetId="67">'תקציב אגף חינוך 2019'!$1:$5</definedName>
    <definedName name="_xlnm.Print_Titles" localSheetId="35">'תקציב אגף חינוך 2020'!$1:$4</definedName>
    <definedName name="_xlnm.Print_Titles" localSheetId="56">'תקציב אגף נכסים וביטוח 2020 '!$1:$4</definedName>
    <definedName name="_xlnm.Print_Titles" localSheetId="42">'תקציב אגף שאיפה  2020 '!$2:$5</definedName>
    <definedName name="_xlnm.Print_Titles" localSheetId="44">'תקציב אגף שאיפה  2020 תאור'!$2:$5</definedName>
    <definedName name="_xlnm.Print_Titles" localSheetId="28">'תקציב אגף ת.ב.ל 2020 '!$1:$4</definedName>
    <definedName name="_xlnm.Print_Titles" localSheetId="30">'תקציב אגף ת.ב.ל 2020 תאור'!$1:$4</definedName>
    <definedName name="_xlnm.Print_Titles" localSheetId="38">'תקציב אגף תנוס 2020 '!$1:$4</definedName>
    <definedName name="_xlnm.Print_Titles" localSheetId="53">'תקציב אגף תקשוב 2020 '!$1:$4</definedName>
    <definedName name="_xlnm.Print_Titles" localSheetId="23">'תקציב החברה לפיתוח 2020'!$1:$4</definedName>
    <definedName name="_xlnm.Print_Titles" localSheetId="24">'תקציב החברה לפיתוח 2020 תאור'!$1:$4</definedName>
    <definedName name="_xlnm.Print_Titles" localSheetId="49">'תקציב החברה לתירות 2020 '!$1:$4</definedName>
    <definedName name="_xlnm.Print_Titles" localSheetId="18">'תקציב הנדסה 2020 '!$1:$4</definedName>
    <definedName name="_xlnm.Print_Titles" localSheetId="19">'תקציב הנדסה 2020 טיוטה תאור'!$1:$4</definedName>
    <definedName name="_xlnm.Print_Titles" localSheetId="59">'תקציב מינהל כללי 2020 '!$1:$4</definedName>
    <definedName name="_xlnm.Print_Titles" localSheetId="46">'תקציב רשות החופים 2020 '!$1:$4</definedName>
  </definedNames>
  <calcPr calcId="162913"/>
</workbook>
</file>

<file path=xl/calcChain.xml><?xml version="1.0" encoding="utf-8"?>
<calcChain xmlns="http://schemas.openxmlformats.org/spreadsheetml/2006/main">
  <c r="B11" i="213" l="1"/>
  <c r="C11" i="213"/>
  <c r="D11" i="213"/>
  <c r="B10" i="213"/>
  <c r="C10" i="213"/>
  <c r="D10" i="213"/>
  <c r="B9" i="213"/>
  <c r="C9" i="213"/>
  <c r="D9" i="213"/>
  <c r="B7" i="213"/>
  <c r="C7" i="213"/>
  <c r="D7" i="213"/>
  <c r="B8" i="213"/>
  <c r="C8" i="213"/>
  <c r="D8" i="213"/>
  <c r="B6" i="213"/>
  <c r="C6" i="213"/>
  <c r="D13" i="213"/>
  <c r="D16" i="213" s="1"/>
  <c r="E13" i="213"/>
  <c r="B13" i="213"/>
  <c r="C13" i="213"/>
  <c r="D12" i="213"/>
  <c r="D56" i="211"/>
  <c r="D47" i="211"/>
  <c r="D45" i="211"/>
  <c r="D43" i="211"/>
  <c r="D38" i="211"/>
  <c r="D34" i="211"/>
  <c r="D32" i="211"/>
  <c r="D18" i="210"/>
  <c r="D16" i="210"/>
  <c r="D76" i="207"/>
  <c r="D69" i="207"/>
  <c r="D64" i="207"/>
  <c r="D58" i="207"/>
  <c r="D56" i="207"/>
  <c r="D54" i="207"/>
  <c r="D48" i="207"/>
  <c r="D23" i="207"/>
  <c r="D13" i="207"/>
  <c r="B7" i="97"/>
  <c r="D11" i="207"/>
  <c r="D7" i="207"/>
  <c r="D133" i="206"/>
  <c r="D132" i="206"/>
  <c r="D128" i="206"/>
  <c r="D126" i="206"/>
  <c r="D122" i="206"/>
  <c r="D120" i="206"/>
  <c r="D117" i="206"/>
  <c r="D98" i="206"/>
  <c r="D74" i="206"/>
  <c r="D72" i="206"/>
  <c r="D70" i="206"/>
  <c r="D67" i="206"/>
  <c r="D7" i="97"/>
  <c r="C7" i="97"/>
  <c r="D89" i="205"/>
  <c r="D87" i="205"/>
  <c r="D49" i="205"/>
  <c r="D15" i="214" l="1"/>
  <c r="B6" i="215"/>
  <c r="C6" i="215"/>
  <c r="B7" i="215"/>
  <c r="C7" i="215"/>
  <c r="B8" i="215"/>
  <c r="C8" i="215"/>
  <c r="B9" i="215"/>
  <c r="C9" i="215"/>
  <c r="B10" i="215"/>
  <c r="C10" i="215"/>
  <c r="B11" i="215"/>
  <c r="C11" i="215"/>
  <c r="B12" i="215"/>
  <c r="C12" i="215"/>
  <c r="B13" i="215"/>
  <c r="C13" i="215"/>
  <c r="B14" i="215"/>
  <c r="C14" i="215"/>
  <c r="B15" i="215"/>
  <c r="C15" i="215"/>
  <c r="B16" i="215"/>
  <c r="C16" i="215"/>
  <c r="B17" i="215"/>
  <c r="C17" i="215"/>
  <c r="B18" i="215"/>
  <c r="C18" i="215"/>
  <c r="B19" i="215"/>
  <c r="C19" i="215"/>
  <c r="B20" i="215"/>
  <c r="C20" i="215"/>
  <c r="B21" i="215"/>
  <c r="C21" i="215"/>
  <c r="B22" i="215"/>
  <c r="C22" i="215"/>
  <c r="B10" i="214"/>
  <c r="C10" i="214"/>
  <c r="B11" i="214"/>
  <c r="C11" i="214"/>
  <c r="B12" i="214"/>
  <c r="C12" i="214"/>
  <c r="B13" i="214"/>
  <c r="C13" i="214"/>
  <c r="B14" i="214"/>
  <c r="C14" i="214"/>
  <c r="B8" i="214"/>
  <c r="C8" i="214"/>
  <c r="B6" i="214"/>
  <c r="C6" i="214"/>
  <c r="D11" i="202"/>
  <c r="B14" i="213"/>
  <c r="C14" i="213"/>
  <c r="B15" i="213"/>
  <c r="C15" i="213"/>
  <c r="B7" i="212"/>
  <c r="C7" i="212"/>
  <c r="B8" i="212"/>
  <c r="C8" i="212"/>
  <c r="B9" i="212"/>
  <c r="C9" i="212"/>
  <c r="B10" i="212"/>
  <c r="C10" i="212"/>
  <c r="B11" i="212"/>
  <c r="C11" i="212"/>
  <c r="B12" i="212"/>
  <c r="C12" i="212"/>
  <c r="B13" i="212"/>
  <c r="C13" i="212"/>
  <c r="B14" i="212"/>
  <c r="C14" i="212"/>
  <c r="B15" i="212"/>
  <c r="C15" i="212"/>
  <c r="B16" i="212"/>
  <c r="C16" i="212"/>
  <c r="B17" i="212"/>
  <c r="C17" i="212"/>
  <c r="B18" i="212"/>
  <c r="C18" i="212"/>
  <c r="B19" i="212"/>
  <c r="C19" i="212"/>
  <c r="B20" i="212"/>
  <c r="C20" i="212"/>
  <c r="B21" i="212"/>
  <c r="C21" i="212"/>
  <c r="B22" i="212"/>
  <c r="C22" i="212"/>
  <c r="B23" i="212"/>
  <c r="C23" i="212"/>
  <c r="B6" i="212"/>
  <c r="C6" i="212"/>
  <c r="B46" i="211"/>
  <c r="C46" i="211"/>
  <c r="B44" i="211"/>
  <c r="C44" i="211"/>
  <c r="B39" i="211"/>
  <c r="C39" i="211"/>
  <c r="B40" i="211"/>
  <c r="C40" i="211"/>
  <c r="B41" i="211"/>
  <c r="C41" i="211"/>
  <c r="B42" i="211"/>
  <c r="C42" i="211"/>
  <c r="B37" i="211"/>
  <c r="C37" i="211"/>
  <c r="B35" i="211"/>
  <c r="C35" i="211"/>
  <c r="B33" i="211"/>
  <c r="C33" i="211"/>
  <c r="B9" i="211"/>
  <c r="C9" i="211"/>
  <c r="B10" i="211"/>
  <c r="C10" i="211"/>
  <c r="B11" i="211"/>
  <c r="C11" i="211"/>
  <c r="B12" i="211"/>
  <c r="C12" i="211"/>
  <c r="B13" i="211"/>
  <c r="C13" i="211"/>
  <c r="B14" i="211"/>
  <c r="C14" i="211"/>
  <c r="B15" i="211"/>
  <c r="C15" i="211"/>
  <c r="B16" i="211"/>
  <c r="C16" i="211"/>
  <c r="B17" i="211"/>
  <c r="C17" i="211"/>
  <c r="B18" i="211"/>
  <c r="C18" i="211"/>
  <c r="B19" i="211"/>
  <c r="C19" i="211"/>
  <c r="B20" i="211"/>
  <c r="C20" i="211"/>
  <c r="B21" i="211"/>
  <c r="C21" i="211"/>
  <c r="B22" i="211"/>
  <c r="C22" i="211"/>
  <c r="B23" i="211"/>
  <c r="C23" i="211"/>
  <c r="B24" i="211"/>
  <c r="C24" i="211"/>
  <c r="B25" i="211"/>
  <c r="C25" i="211"/>
  <c r="B26" i="211"/>
  <c r="C26" i="211"/>
  <c r="B27" i="211"/>
  <c r="C27" i="211"/>
  <c r="B28" i="211"/>
  <c r="C28" i="211"/>
  <c r="B29" i="211"/>
  <c r="C29" i="211"/>
  <c r="B30" i="211"/>
  <c r="C30" i="211"/>
  <c r="B31" i="211"/>
  <c r="C31" i="211"/>
  <c r="B7" i="211"/>
  <c r="C7" i="211"/>
  <c r="B7" i="224"/>
  <c r="C7" i="224"/>
  <c r="B8" i="224"/>
  <c r="C8" i="224"/>
  <c r="B9" i="224"/>
  <c r="C9" i="224"/>
  <c r="B10" i="224"/>
  <c r="C10" i="224"/>
  <c r="B11" i="224"/>
  <c r="C11" i="224"/>
  <c r="B12" i="224"/>
  <c r="C12" i="224"/>
  <c r="B13" i="224"/>
  <c r="C13" i="224"/>
  <c r="B14" i="224"/>
  <c r="C14" i="224"/>
  <c r="B15" i="224"/>
  <c r="C15" i="224"/>
  <c r="B16" i="224"/>
  <c r="C16" i="224"/>
  <c r="B17" i="224"/>
  <c r="C17" i="224"/>
  <c r="B18" i="224"/>
  <c r="C18" i="224"/>
  <c r="B19" i="224"/>
  <c r="C19" i="224"/>
  <c r="B20" i="224"/>
  <c r="C20" i="224"/>
  <c r="B21" i="224"/>
  <c r="C21" i="224"/>
  <c r="B22" i="224"/>
  <c r="C22" i="224"/>
  <c r="B23" i="224"/>
  <c r="C23" i="224"/>
  <c r="B24" i="224"/>
  <c r="C24" i="224"/>
  <c r="B25" i="224"/>
  <c r="C25" i="224"/>
  <c r="B26" i="224"/>
  <c r="C26" i="224"/>
  <c r="B27" i="224"/>
  <c r="C27" i="224"/>
  <c r="B28" i="224"/>
  <c r="C28" i="224"/>
  <c r="B29" i="224"/>
  <c r="C29" i="224"/>
  <c r="B30" i="224"/>
  <c r="C30" i="224"/>
  <c r="B31" i="224"/>
  <c r="C31" i="224"/>
  <c r="B32" i="224"/>
  <c r="C32" i="224"/>
  <c r="B33" i="224"/>
  <c r="C33" i="224"/>
  <c r="B34" i="224"/>
  <c r="C34" i="224"/>
  <c r="B35" i="224"/>
  <c r="C35" i="224"/>
  <c r="B36" i="224"/>
  <c r="C36" i="224"/>
  <c r="B37" i="224"/>
  <c r="C37" i="224"/>
  <c r="B38" i="224"/>
  <c r="C38" i="224"/>
  <c r="B39" i="224"/>
  <c r="C39" i="224"/>
  <c r="B40" i="224"/>
  <c r="C40" i="224"/>
  <c r="B41" i="224"/>
  <c r="C41" i="224"/>
  <c r="B42" i="224"/>
  <c r="C42" i="224"/>
  <c r="B43" i="224"/>
  <c r="C43" i="224"/>
  <c r="B44" i="224"/>
  <c r="C44" i="224"/>
  <c r="B45" i="224"/>
  <c r="C45" i="224"/>
  <c r="B46" i="224"/>
  <c r="C46" i="224"/>
  <c r="B47" i="224"/>
  <c r="C47" i="224"/>
  <c r="B17" i="210"/>
  <c r="C17" i="210"/>
  <c r="B7" i="210"/>
  <c r="C7" i="210"/>
  <c r="B8" i="210"/>
  <c r="C8" i="210"/>
  <c r="B9" i="210"/>
  <c r="C9" i="210"/>
  <c r="B10" i="210"/>
  <c r="C10" i="210"/>
  <c r="B11" i="210"/>
  <c r="C11" i="210"/>
  <c r="B12" i="210"/>
  <c r="C12" i="210"/>
  <c r="B13" i="210"/>
  <c r="C13" i="210"/>
  <c r="B14" i="210"/>
  <c r="C14" i="210"/>
  <c r="B15" i="210"/>
  <c r="C15" i="210"/>
  <c r="B6" i="210"/>
  <c r="C6" i="210"/>
  <c r="D13" i="198"/>
  <c r="B7" i="209"/>
  <c r="C7" i="209"/>
  <c r="B8" i="209"/>
  <c r="C8" i="209"/>
  <c r="B9" i="209"/>
  <c r="C9" i="209"/>
  <c r="B10" i="209"/>
  <c r="C10" i="209"/>
  <c r="B11" i="209"/>
  <c r="C11" i="209"/>
  <c r="B12" i="209"/>
  <c r="C12" i="209"/>
  <c r="B13" i="209"/>
  <c r="C13" i="209"/>
  <c r="B14" i="209"/>
  <c r="C14" i="209"/>
  <c r="B15" i="209"/>
  <c r="C15" i="209"/>
  <c r="B16" i="209"/>
  <c r="C16" i="209"/>
  <c r="B17" i="209"/>
  <c r="C17" i="209"/>
  <c r="B18" i="209"/>
  <c r="C18" i="209"/>
  <c r="B19" i="209"/>
  <c r="C19" i="209"/>
  <c r="B20" i="209"/>
  <c r="C20" i="209"/>
  <c r="B21" i="209"/>
  <c r="C21" i="209"/>
  <c r="B22" i="209"/>
  <c r="C22" i="209"/>
  <c r="B23" i="209"/>
  <c r="C23" i="209"/>
  <c r="B24" i="209"/>
  <c r="C24" i="209"/>
  <c r="B25" i="209"/>
  <c r="C25" i="209"/>
  <c r="B26" i="209"/>
  <c r="C26" i="209"/>
  <c r="B27" i="209"/>
  <c r="C27" i="209"/>
  <c r="B6" i="209"/>
  <c r="C6" i="209"/>
  <c r="B70" i="207"/>
  <c r="C70" i="207"/>
  <c r="B71" i="207"/>
  <c r="C71" i="207"/>
  <c r="B72" i="207"/>
  <c r="C72" i="207"/>
  <c r="B73" i="207"/>
  <c r="C73" i="207"/>
  <c r="B74" i="207"/>
  <c r="C74" i="207"/>
  <c r="B75" i="207"/>
  <c r="C75" i="207"/>
  <c r="B65" i="207"/>
  <c r="C65" i="207"/>
  <c r="B66" i="207"/>
  <c r="C66" i="207"/>
  <c r="B67" i="207"/>
  <c r="C67" i="207"/>
  <c r="B68" i="207"/>
  <c r="C68" i="207"/>
  <c r="B59" i="207"/>
  <c r="C59" i="207"/>
  <c r="B60" i="207"/>
  <c r="C60" i="207"/>
  <c r="B61" i="207"/>
  <c r="C61" i="207"/>
  <c r="B62" i="207"/>
  <c r="C62" i="207"/>
  <c r="B63" i="207"/>
  <c r="C63" i="207"/>
  <c r="B57" i="207"/>
  <c r="C57" i="207"/>
  <c r="B55" i="207"/>
  <c r="C55" i="207"/>
  <c r="B49" i="207"/>
  <c r="C49" i="207"/>
  <c r="B50" i="207"/>
  <c r="C50" i="207"/>
  <c r="B51" i="207"/>
  <c r="C51" i="207"/>
  <c r="B52" i="207"/>
  <c r="C52" i="207"/>
  <c r="B24" i="207"/>
  <c r="C24" i="207"/>
  <c r="B25" i="207"/>
  <c r="C25" i="207"/>
  <c r="B26" i="207"/>
  <c r="C26" i="207"/>
  <c r="B27" i="207"/>
  <c r="C27" i="207"/>
  <c r="B28" i="207"/>
  <c r="C28" i="207"/>
  <c r="B29" i="207"/>
  <c r="C29" i="207"/>
  <c r="B30" i="207"/>
  <c r="C30" i="207"/>
  <c r="B31" i="207"/>
  <c r="C31" i="207"/>
  <c r="B32" i="207"/>
  <c r="C32" i="207"/>
  <c r="B33" i="207"/>
  <c r="C33" i="207"/>
  <c r="B34" i="207"/>
  <c r="C34" i="207"/>
  <c r="B35" i="207"/>
  <c r="C35" i="207"/>
  <c r="B36" i="207"/>
  <c r="C36" i="207"/>
  <c r="B37" i="207"/>
  <c r="C37" i="207"/>
  <c r="B38" i="207"/>
  <c r="C38" i="207"/>
  <c r="B39" i="207"/>
  <c r="C39" i="207"/>
  <c r="B40" i="207"/>
  <c r="C40" i="207"/>
  <c r="B41" i="207"/>
  <c r="C41" i="207"/>
  <c r="B42" i="207"/>
  <c r="C42" i="207"/>
  <c r="B43" i="207"/>
  <c r="C43" i="207"/>
  <c r="B44" i="207"/>
  <c r="C44" i="207"/>
  <c r="B45" i="207"/>
  <c r="C45" i="207"/>
  <c r="B46" i="207"/>
  <c r="C46" i="207"/>
  <c r="B47" i="207"/>
  <c r="C47" i="207"/>
  <c r="B14" i="207"/>
  <c r="C14" i="207"/>
  <c r="B15" i="207"/>
  <c r="C15" i="207"/>
  <c r="B16" i="207"/>
  <c r="C16" i="207"/>
  <c r="B17" i="207"/>
  <c r="C17" i="207"/>
  <c r="B18" i="207"/>
  <c r="C18" i="207"/>
  <c r="B19" i="207"/>
  <c r="C19" i="207"/>
  <c r="B20" i="207"/>
  <c r="C20" i="207"/>
  <c r="B21" i="207"/>
  <c r="C21" i="207"/>
  <c r="B22" i="207"/>
  <c r="C22" i="207"/>
  <c r="B12" i="207"/>
  <c r="C12" i="207"/>
  <c r="B8" i="207"/>
  <c r="C8" i="207"/>
  <c r="B9" i="207"/>
  <c r="C9" i="207"/>
  <c r="B10" i="207"/>
  <c r="C10" i="207"/>
  <c r="B6" i="207"/>
  <c r="C6" i="207"/>
  <c r="D113" i="194"/>
  <c r="D112" i="194"/>
  <c r="D60" i="194"/>
  <c r="B129" i="206"/>
  <c r="C129" i="206"/>
  <c r="B130" i="206"/>
  <c r="C130" i="206"/>
  <c r="B131" i="206"/>
  <c r="C131" i="206"/>
  <c r="B127" i="206"/>
  <c r="C127" i="206"/>
  <c r="B123" i="206"/>
  <c r="C123" i="206"/>
  <c r="B124" i="206"/>
  <c r="C124" i="206"/>
  <c r="B125" i="206"/>
  <c r="C125" i="206"/>
  <c r="B121" i="206"/>
  <c r="C121" i="206"/>
  <c r="B118" i="206"/>
  <c r="C118" i="206"/>
  <c r="B119" i="206"/>
  <c r="C119" i="206"/>
  <c r="B99" i="206"/>
  <c r="C99" i="206"/>
  <c r="B100" i="206"/>
  <c r="C100" i="206"/>
  <c r="B101" i="206"/>
  <c r="C101" i="206"/>
  <c r="B102" i="206"/>
  <c r="C102" i="206"/>
  <c r="B103" i="206"/>
  <c r="C103" i="206"/>
  <c r="B104" i="206"/>
  <c r="C104" i="206"/>
  <c r="B105" i="206"/>
  <c r="C105" i="206"/>
  <c r="B106" i="206"/>
  <c r="C106" i="206"/>
  <c r="B107" i="206"/>
  <c r="C107" i="206"/>
  <c r="B108" i="206"/>
  <c r="C108" i="206"/>
  <c r="B109" i="206"/>
  <c r="C109" i="206"/>
  <c r="B110" i="206"/>
  <c r="C110" i="206"/>
  <c r="B111" i="206"/>
  <c r="C111" i="206"/>
  <c r="B112" i="206"/>
  <c r="C112" i="206"/>
  <c r="B113" i="206"/>
  <c r="C113" i="206"/>
  <c r="B114" i="206"/>
  <c r="C114" i="206"/>
  <c r="B115" i="206"/>
  <c r="C115" i="206"/>
  <c r="B116" i="206"/>
  <c r="C116" i="206"/>
  <c r="B75" i="206"/>
  <c r="C75" i="206"/>
  <c r="B76" i="206"/>
  <c r="C76" i="206"/>
  <c r="B77" i="206"/>
  <c r="C77" i="206"/>
  <c r="B78" i="206"/>
  <c r="C78" i="206"/>
  <c r="B79" i="206"/>
  <c r="C79" i="206"/>
  <c r="B80" i="206"/>
  <c r="C80" i="206"/>
  <c r="B81" i="206"/>
  <c r="C81" i="206"/>
  <c r="B82" i="206"/>
  <c r="C82" i="206"/>
  <c r="B83" i="206"/>
  <c r="C83" i="206"/>
  <c r="B84" i="206"/>
  <c r="C84" i="206"/>
  <c r="B85" i="206"/>
  <c r="C85" i="206"/>
  <c r="B86" i="206"/>
  <c r="C86" i="206"/>
  <c r="B87" i="206"/>
  <c r="C87" i="206"/>
  <c r="B88" i="206"/>
  <c r="C88" i="206"/>
  <c r="B89" i="206"/>
  <c r="C89" i="206"/>
  <c r="B90" i="206"/>
  <c r="C90" i="206"/>
  <c r="B91" i="206"/>
  <c r="C91" i="206"/>
  <c r="B92" i="206"/>
  <c r="C92" i="206"/>
  <c r="B93" i="206"/>
  <c r="C93" i="206"/>
  <c r="B94" i="206"/>
  <c r="C94" i="206"/>
  <c r="B95" i="206"/>
  <c r="C95" i="206"/>
  <c r="B96" i="206"/>
  <c r="C96" i="206"/>
  <c r="B97" i="206"/>
  <c r="C97" i="206"/>
  <c r="B73" i="206"/>
  <c r="C73" i="206"/>
  <c r="B71" i="206"/>
  <c r="C71" i="206"/>
  <c r="B68" i="206"/>
  <c r="B69" i="206"/>
  <c r="C68" i="206"/>
  <c r="C69" i="206"/>
  <c r="B16" i="206"/>
  <c r="C16" i="206"/>
  <c r="B17" i="206"/>
  <c r="C17" i="206"/>
  <c r="B18" i="206"/>
  <c r="C18" i="206"/>
  <c r="B19" i="206"/>
  <c r="C19" i="206"/>
  <c r="B20" i="206"/>
  <c r="C20" i="206"/>
  <c r="B21" i="206"/>
  <c r="C21" i="206"/>
  <c r="B22" i="206"/>
  <c r="C22" i="206"/>
  <c r="B23" i="206"/>
  <c r="C23" i="206"/>
  <c r="B24" i="206"/>
  <c r="C24" i="206"/>
  <c r="B25" i="206"/>
  <c r="C25" i="206"/>
  <c r="B26" i="206"/>
  <c r="C26" i="206"/>
  <c r="B27" i="206"/>
  <c r="C27" i="206"/>
  <c r="B28" i="206"/>
  <c r="C28" i="206"/>
  <c r="B29" i="206"/>
  <c r="C29" i="206"/>
  <c r="B30" i="206"/>
  <c r="C30" i="206"/>
  <c r="B31" i="206"/>
  <c r="C31" i="206"/>
  <c r="B32" i="206"/>
  <c r="C32" i="206"/>
  <c r="B33" i="206"/>
  <c r="C33" i="206"/>
  <c r="B34" i="206"/>
  <c r="C34" i="206"/>
  <c r="B35" i="206"/>
  <c r="C35" i="206"/>
  <c r="B36" i="206"/>
  <c r="C36" i="206"/>
  <c r="B37" i="206"/>
  <c r="C37" i="206"/>
  <c r="B38" i="206"/>
  <c r="C38" i="206"/>
  <c r="B39" i="206"/>
  <c r="C39" i="206"/>
  <c r="B40" i="206"/>
  <c r="C40" i="206"/>
  <c r="B41" i="206"/>
  <c r="C41" i="206"/>
  <c r="B42" i="206"/>
  <c r="C42" i="206"/>
  <c r="B43" i="206"/>
  <c r="C43" i="206"/>
  <c r="B44" i="206"/>
  <c r="C44" i="206"/>
  <c r="B45" i="206"/>
  <c r="C45" i="206"/>
  <c r="B46" i="206"/>
  <c r="C46" i="206"/>
  <c r="B47" i="206"/>
  <c r="C47" i="206"/>
  <c r="B48" i="206"/>
  <c r="C48" i="206"/>
  <c r="B49" i="206"/>
  <c r="C49" i="206"/>
  <c r="B50" i="206"/>
  <c r="C50" i="206"/>
  <c r="B51" i="206"/>
  <c r="C51" i="206"/>
  <c r="B52" i="206"/>
  <c r="C52" i="206"/>
  <c r="B53" i="206"/>
  <c r="C53" i="206"/>
  <c r="B54" i="206"/>
  <c r="C54" i="206"/>
  <c r="B55" i="206"/>
  <c r="C55" i="206"/>
  <c r="B56" i="206"/>
  <c r="C56" i="206"/>
  <c r="B57" i="206"/>
  <c r="C57" i="206"/>
  <c r="B58" i="206"/>
  <c r="C58" i="206"/>
  <c r="B59" i="206"/>
  <c r="C59" i="206"/>
  <c r="B60" i="206"/>
  <c r="C60" i="206"/>
  <c r="B61" i="206"/>
  <c r="C61" i="206"/>
  <c r="B62" i="206"/>
  <c r="C62" i="206"/>
  <c r="B63" i="206"/>
  <c r="C63" i="206"/>
  <c r="B64" i="206"/>
  <c r="C64" i="206"/>
  <c r="B65" i="206"/>
  <c r="C65" i="206"/>
  <c r="B66" i="206"/>
  <c r="C66" i="206"/>
  <c r="B15" i="206"/>
  <c r="C15" i="206"/>
  <c r="B11" i="206"/>
  <c r="C11" i="206"/>
  <c r="B12" i="206"/>
  <c r="C12" i="206"/>
  <c r="B13" i="206"/>
  <c r="C13" i="206"/>
  <c r="B7" i="206"/>
  <c r="C7" i="206"/>
  <c r="B8" i="206"/>
  <c r="C8" i="206"/>
  <c r="B9" i="206"/>
  <c r="C9" i="206"/>
  <c r="B10" i="206"/>
  <c r="C10" i="206"/>
  <c r="B6" i="206"/>
  <c r="C6" i="206"/>
  <c r="D74" i="193"/>
  <c r="D60" i="193"/>
  <c r="D9" i="193" l="1"/>
  <c r="B7" i="221"/>
  <c r="C7" i="221"/>
  <c r="B8" i="221"/>
  <c r="C8" i="221"/>
  <c r="B9" i="221"/>
  <c r="C9" i="221"/>
  <c r="B10" i="221"/>
  <c r="C10" i="221"/>
  <c r="B11" i="221"/>
  <c r="C11" i="221"/>
  <c r="B12" i="221"/>
  <c r="C12" i="221"/>
  <c r="B13" i="221"/>
  <c r="C13" i="221"/>
  <c r="B14" i="221"/>
  <c r="C14" i="221"/>
  <c r="B15" i="221"/>
  <c r="C15" i="221"/>
  <c r="B16" i="221"/>
  <c r="C16" i="221"/>
  <c r="B17" i="221"/>
  <c r="C17" i="221"/>
  <c r="B18" i="221"/>
  <c r="C18" i="221"/>
  <c r="B19" i="221"/>
  <c r="C19" i="221"/>
  <c r="B20" i="221"/>
  <c r="C20" i="221"/>
  <c r="B21" i="221"/>
  <c r="C21" i="221"/>
  <c r="B22" i="221"/>
  <c r="C22" i="221"/>
  <c r="B23" i="221"/>
  <c r="C23" i="221"/>
  <c r="B24" i="221"/>
  <c r="C24" i="221"/>
  <c r="B25" i="221"/>
  <c r="C25" i="221"/>
  <c r="B26" i="221"/>
  <c r="C26" i="221"/>
  <c r="B27" i="221"/>
  <c r="C27" i="221"/>
  <c r="B28" i="221"/>
  <c r="C28" i="221"/>
  <c r="B29" i="221"/>
  <c r="C29" i="221"/>
  <c r="B30" i="221"/>
  <c r="C30" i="221"/>
  <c r="B31" i="221"/>
  <c r="C31" i="221"/>
  <c r="B32" i="221"/>
  <c r="C32" i="221"/>
  <c r="B33" i="221"/>
  <c r="C33" i="221"/>
  <c r="B34" i="221"/>
  <c r="C34" i="221"/>
  <c r="B35" i="221"/>
  <c r="C35" i="221"/>
  <c r="B36" i="221"/>
  <c r="C36" i="221"/>
  <c r="B37" i="221"/>
  <c r="C37" i="221"/>
  <c r="B38" i="221"/>
  <c r="C38" i="221"/>
  <c r="B39" i="221"/>
  <c r="C39" i="221"/>
  <c r="B40" i="221"/>
  <c r="C40" i="221"/>
  <c r="B41" i="221"/>
  <c r="C41" i="221"/>
  <c r="B42" i="221"/>
  <c r="C42" i="221"/>
  <c r="B43" i="221"/>
  <c r="C43" i="221"/>
  <c r="B44" i="221"/>
  <c r="C44" i="221"/>
  <c r="B45" i="221"/>
  <c r="C45" i="221"/>
  <c r="B46" i="221"/>
  <c r="C46" i="221"/>
  <c r="B47" i="221"/>
  <c r="C47" i="221"/>
  <c r="B48" i="221"/>
  <c r="C48" i="221"/>
  <c r="B49" i="221"/>
  <c r="C49" i="221"/>
  <c r="B50" i="221"/>
  <c r="C50" i="221"/>
  <c r="B51" i="221"/>
  <c r="C51" i="221"/>
  <c r="B52" i="221"/>
  <c r="C52" i="221"/>
  <c r="B53" i="221"/>
  <c r="C53" i="221"/>
  <c r="B54" i="221"/>
  <c r="C54" i="221"/>
  <c r="B55" i="221"/>
  <c r="C55" i="221"/>
  <c r="B56" i="221"/>
  <c r="C56" i="221"/>
  <c r="B57" i="221"/>
  <c r="C57" i="221"/>
  <c r="B58" i="221"/>
  <c r="C58" i="221"/>
  <c r="B59" i="221"/>
  <c r="C59" i="221"/>
  <c r="B60" i="221"/>
  <c r="C60" i="221"/>
  <c r="B61" i="221"/>
  <c r="C61" i="221"/>
  <c r="B62" i="221"/>
  <c r="C62" i="221"/>
  <c r="B63" i="221"/>
  <c r="C63" i="221"/>
  <c r="B64" i="221"/>
  <c r="C64" i="221"/>
  <c r="B65" i="221"/>
  <c r="C65" i="221"/>
  <c r="B66" i="221"/>
  <c r="C66" i="221"/>
  <c r="B67" i="221"/>
  <c r="C67" i="221"/>
  <c r="B68" i="221"/>
  <c r="C68" i="221"/>
  <c r="B69" i="221"/>
  <c r="C69" i="221"/>
  <c r="B70" i="221"/>
  <c r="C70" i="221"/>
  <c r="B71" i="221"/>
  <c r="C71" i="221"/>
  <c r="B72" i="221"/>
  <c r="C72" i="221"/>
  <c r="B73" i="221"/>
  <c r="C73" i="221"/>
  <c r="B74" i="221"/>
  <c r="C74" i="221"/>
  <c r="B75" i="221"/>
  <c r="C75" i="221"/>
  <c r="B76" i="221"/>
  <c r="C76" i="221"/>
  <c r="B77" i="221"/>
  <c r="C77" i="221"/>
  <c r="B78" i="221"/>
  <c r="C78" i="221"/>
  <c r="B79" i="221"/>
  <c r="C79" i="221"/>
  <c r="B80" i="221"/>
  <c r="C80" i="221"/>
  <c r="B81" i="221"/>
  <c r="C81" i="221"/>
  <c r="B82" i="221"/>
  <c r="C82" i="221"/>
  <c r="B83" i="221"/>
  <c r="C83" i="221"/>
  <c r="B84" i="221"/>
  <c r="C84" i="221"/>
  <c r="B85" i="221"/>
  <c r="C85" i="221"/>
  <c r="B86" i="221"/>
  <c r="C86" i="221"/>
  <c r="B6" i="221"/>
  <c r="C6" i="221"/>
  <c r="B88" i="205"/>
  <c r="C88" i="205"/>
  <c r="B55" i="205"/>
  <c r="C55" i="205"/>
  <c r="B56" i="205"/>
  <c r="C56" i="205"/>
  <c r="B57" i="205"/>
  <c r="C57" i="205"/>
  <c r="B58" i="205"/>
  <c r="C58" i="205"/>
  <c r="B59" i="205"/>
  <c r="C59" i="205"/>
  <c r="B60" i="205"/>
  <c r="C60" i="205"/>
  <c r="B61" i="205"/>
  <c r="C61" i="205"/>
  <c r="B62" i="205"/>
  <c r="C62" i="205"/>
  <c r="B63" i="205"/>
  <c r="C63" i="205"/>
  <c r="B64" i="205"/>
  <c r="C64" i="205"/>
  <c r="B65" i="205"/>
  <c r="C65" i="205"/>
  <c r="B66" i="205"/>
  <c r="C66" i="205"/>
  <c r="B67" i="205"/>
  <c r="C67" i="205"/>
  <c r="B68" i="205"/>
  <c r="C68" i="205"/>
  <c r="B69" i="205"/>
  <c r="C69" i="205"/>
  <c r="B70" i="205"/>
  <c r="C70" i="205"/>
  <c r="B71" i="205"/>
  <c r="C71" i="205"/>
  <c r="B72" i="205"/>
  <c r="C72" i="205"/>
  <c r="B73" i="205"/>
  <c r="C73" i="205"/>
  <c r="B74" i="205"/>
  <c r="C74" i="205"/>
  <c r="B75" i="205"/>
  <c r="C75" i="205"/>
  <c r="B76" i="205"/>
  <c r="C76" i="205"/>
  <c r="B77" i="205"/>
  <c r="C77" i="205"/>
  <c r="B78" i="205"/>
  <c r="C78" i="205"/>
  <c r="B79" i="205"/>
  <c r="C79" i="205"/>
  <c r="B80" i="205"/>
  <c r="C80" i="205"/>
  <c r="B81" i="205"/>
  <c r="C81" i="205"/>
  <c r="B82" i="205"/>
  <c r="C82" i="205"/>
  <c r="B83" i="205"/>
  <c r="C83" i="205"/>
  <c r="B84" i="205"/>
  <c r="C84" i="205"/>
  <c r="B85" i="205"/>
  <c r="C85" i="205"/>
  <c r="B86" i="205"/>
  <c r="C86" i="205"/>
  <c r="B51" i="205"/>
  <c r="C51" i="205"/>
  <c r="B52" i="205"/>
  <c r="C52" i="205"/>
  <c r="B53" i="205"/>
  <c r="C53" i="205"/>
  <c r="B54" i="205"/>
  <c r="C54" i="205"/>
  <c r="D51" i="205"/>
  <c r="D52" i="205"/>
  <c r="D53" i="205"/>
  <c r="D54" i="205"/>
  <c r="D55" i="205"/>
  <c r="D56" i="205"/>
  <c r="D57" i="205"/>
  <c r="D58" i="205"/>
  <c r="D59" i="205"/>
  <c r="D60" i="205"/>
  <c r="D61" i="205"/>
  <c r="D62" i="205"/>
  <c r="D63" i="205"/>
  <c r="D64" i="205"/>
  <c r="D65" i="205"/>
  <c r="D66" i="205"/>
  <c r="D67" i="205"/>
  <c r="D68" i="205"/>
  <c r="D69" i="205"/>
  <c r="D70" i="205"/>
  <c r="D71" i="205"/>
  <c r="D72" i="205"/>
  <c r="D73" i="205"/>
  <c r="D74" i="205"/>
  <c r="D75" i="205"/>
  <c r="D76" i="205"/>
  <c r="D77" i="205"/>
  <c r="D78" i="205"/>
  <c r="D79" i="205"/>
  <c r="D80" i="205"/>
  <c r="D81" i="205"/>
  <c r="D82" i="205"/>
  <c r="D83" i="205"/>
  <c r="D84" i="205"/>
  <c r="D85" i="205"/>
  <c r="D86" i="205"/>
  <c r="B50" i="205"/>
  <c r="C50" i="205"/>
  <c r="B14" i="205"/>
  <c r="C14" i="205"/>
  <c r="B15" i="205"/>
  <c r="C15" i="205"/>
  <c r="B16" i="205"/>
  <c r="C16" i="205"/>
  <c r="B17" i="205"/>
  <c r="C17" i="205"/>
  <c r="B18" i="205"/>
  <c r="C18" i="205"/>
  <c r="B19" i="205"/>
  <c r="C19" i="205"/>
  <c r="B20" i="205"/>
  <c r="C20" i="205"/>
  <c r="B21" i="205"/>
  <c r="C21" i="205"/>
  <c r="B22" i="205"/>
  <c r="C22" i="205"/>
  <c r="B23" i="205"/>
  <c r="C23" i="205"/>
  <c r="B24" i="205"/>
  <c r="C24" i="205"/>
  <c r="B25" i="205"/>
  <c r="C25" i="205"/>
  <c r="B26" i="205"/>
  <c r="C26" i="205"/>
  <c r="B27" i="205"/>
  <c r="C27" i="205"/>
  <c r="B28" i="205"/>
  <c r="C28" i="205"/>
  <c r="B29" i="205"/>
  <c r="C29" i="205"/>
  <c r="B30" i="205"/>
  <c r="C30" i="205"/>
  <c r="B31" i="205"/>
  <c r="C31" i="205"/>
  <c r="B32" i="205"/>
  <c r="C32" i="205"/>
  <c r="B33" i="205"/>
  <c r="C33" i="205"/>
  <c r="B34" i="205"/>
  <c r="C34" i="205"/>
  <c r="B35" i="205"/>
  <c r="C35" i="205"/>
  <c r="B36" i="205"/>
  <c r="C36" i="205"/>
  <c r="B37" i="205"/>
  <c r="C37" i="205"/>
  <c r="B38" i="205"/>
  <c r="C38" i="205"/>
  <c r="B39" i="205"/>
  <c r="C39" i="205"/>
  <c r="B40" i="205"/>
  <c r="C40" i="205"/>
  <c r="B41" i="205"/>
  <c r="C41" i="205"/>
  <c r="B42" i="205"/>
  <c r="C42" i="205"/>
  <c r="B43" i="205"/>
  <c r="C43" i="205"/>
  <c r="B44" i="205"/>
  <c r="C44" i="205"/>
  <c r="B45" i="205"/>
  <c r="C45" i="205"/>
  <c r="B46" i="205"/>
  <c r="C46" i="205"/>
  <c r="B47" i="205"/>
  <c r="C47" i="205"/>
  <c r="B48" i="205"/>
  <c r="C48" i="205"/>
  <c r="B8" i="205"/>
  <c r="C8" i="205"/>
  <c r="B9" i="205"/>
  <c r="C9" i="205"/>
  <c r="B10" i="205"/>
  <c r="C10" i="205"/>
  <c r="B11" i="205"/>
  <c r="C11" i="205"/>
  <c r="B12" i="205"/>
  <c r="C12" i="205"/>
  <c r="B13" i="205"/>
  <c r="C13" i="205"/>
  <c r="B7" i="205"/>
  <c r="C7" i="205"/>
  <c r="D7" i="205"/>
  <c r="D8" i="205"/>
  <c r="D9" i="205"/>
  <c r="D10" i="205"/>
  <c r="D11" i="205"/>
  <c r="D12" i="205"/>
  <c r="D13" i="205"/>
  <c r="D14" i="205"/>
  <c r="D15" i="205"/>
  <c r="D16" i="205"/>
  <c r="D17" i="205"/>
  <c r="D18" i="205"/>
  <c r="D19" i="205"/>
  <c r="D20" i="205"/>
  <c r="D21" i="205"/>
  <c r="D22" i="205"/>
  <c r="D23" i="205"/>
  <c r="D24" i="205"/>
  <c r="D25" i="205"/>
  <c r="D26" i="205"/>
  <c r="D27" i="205"/>
  <c r="D28" i="205"/>
  <c r="D29" i="205"/>
  <c r="D30" i="205"/>
  <c r="D31" i="205"/>
  <c r="D32" i="205"/>
  <c r="D33" i="205"/>
  <c r="D34" i="205"/>
  <c r="D35" i="205"/>
  <c r="D36" i="205"/>
  <c r="D37" i="205"/>
  <c r="D38" i="205"/>
  <c r="D39" i="205"/>
  <c r="D40" i="205"/>
  <c r="D41" i="205"/>
  <c r="D42" i="205"/>
  <c r="D43" i="205"/>
  <c r="D44" i="205"/>
  <c r="D45" i="205"/>
  <c r="D46" i="205"/>
  <c r="D47" i="205"/>
  <c r="D48" i="205"/>
  <c r="B6" i="205"/>
  <c r="C6" i="205"/>
  <c r="I9" i="44" l="1"/>
  <c r="C92" i="192"/>
  <c r="C87" i="192"/>
  <c r="C82" i="192"/>
  <c r="C78" i="192"/>
  <c r="C71" i="192"/>
  <c r="C67" i="192"/>
  <c r="C66" i="192"/>
  <c r="C60" i="192"/>
  <c r="C52" i="192"/>
  <c r="C46" i="192"/>
  <c r="C25" i="192"/>
  <c r="C13" i="192"/>
  <c r="AA105" i="179" l="1"/>
  <c r="AB105" i="179"/>
  <c r="AC105" i="179"/>
  <c r="AD105" i="179"/>
  <c r="AE105" i="179"/>
  <c r="AF105" i="179"/>
  <c r="AG105" i="179"/>
  <c r="AH105" i="179"/>
  <c r="AI105" i="179"/>
  <c r="AJ105" i="179"/>
  <c r="AK105" i="179"/>
  <c r="AL105" i="179"/>
  <c r="AM105" i="179"/>
  <c r="AN105" i="179"/>
  <c r="AO105" i="179"/>
  <c r="AQ105" i="179"/>
  <c r="AR105" i="179"/>
  <c r="AS105" i="179"/>
  <c r="AT105" i="179"/>
  <c r="Z105" i="179"/>
  <c r="W105" i="179"/>
  <c r="X105" i="179"/>
  <c r="Y105" i="179"/>
  <c r="V105" i="179"/>
  <c r="U105" i="179"/>
  <c r="N13" i="198" l="1"/>
  <c r="U12" i="198"/>
  <c r="U13" i="198"/>
  <c r="U14" i="198"/>
  <c r="C9" i="38" l="1"/>
  <c r="D14" i="204"/>
  <c r="M14" i="204"/>
  <c r="C10" i="38"/>
  <c r="N27" i="194"/>
  <c r="N77" i="193" l="1"/>
  <c r="N75" i="193"/>
  <c r="N68" i="193"/>
  <c r="N66" i="193"/>
  <c r="N54" i="193"/>
  <c r="N39" i="193"/>
  <c r="N25" i="193"/>
  <c r="N23" i="193"/>
  <c r="E10" i="160" l="1"/>
  <c r="E8" i="160"/>
  <c r="E9" i="160"/>
  <c r="E12" i="160"/>
  <c r="E11" i="160"/>
  <c r="E13" i="160"/>
  <c r="E132" i="206"/>
  <c r="C18" i="97" s="1"/>
  <c r="F132" i="206"/>
  <c r="D18" i="97" s="1"/>
  <c r="G132" i="206"/>
  <c r="H132" i="206"/>
  <c r="F18" i="97" s="1"/>
  <c r="F20" i="97" s="1"/>
  <c r="I132" i="206"/>
  <c r="G18" i="97" s="1"/>
  <c r="G20" i="97" s="1"/>
  <c r="J132" i="206"/>
  <c r="K132" i="206"/>
  <c r="L132" i="206"/>
  <c r="J18" i="97" s="1"/>
  <c r="J20" i="97" s="1"/>
  <c r="M132" i="206"/>
  <c r="K18" i="97" s="1"/>
  <c r="N132" i="206"/>
  <c r="L18" i="97" s="1"/>
  <c r="O132" i="206"/>
  <c r="P132" i="206"/>
  <c r="N18" i="97" s="1"/>
  <c r="N20" i="97" s="1"/>
  <c r="Q132" i="206"/>
  <c r="O18" i="97" s="1"/>
  <c r="O20" i="97" s="1"/>
  <c r="R132" i="206"/>
  <c r="S132" i="206"/>
  <c r="T132" i="206"/>
  <c r="R18" i="97" s="1"/>
  <c r="U132" i="206"/>
  <c r="S18" i="97" s="1"/>
  <c r="V132" i="206"/>
  <c r="T18" i="97" s="1"/>
  <c r="W132" i="206"/>
  <c r="X132" i="206"/>
  <c r="V18" i="97" s="1"/>
  <c r="V20" i="97" s="1"/>
  <c r="Y132" i="206"/>
  <c r="W18" i="97" s="1"/>
  <c r="W20" i="97" s="1"/>
  <c r="Z132" i="206"/>
  <c r="E18" i="97"/>
  <c r="E20" i="97" s="1"/>
  <c r="H18" i="97"/>
  <c r="I18" i="97"/>
  <c r="I20" i="97" s="1"/>
  <c r="M18" i="97"/>
  <c r="P18" i="97"/>
  <c r="Q18" i="97"/>
  <c r="U18" i="97"/>
  <c r="X18" i="97"/>
  <c r="H20" i="97"/>
  <c r="P20" i="97"/>
  <c r="Q20" i="97"/>
  <c r="W14" i="204" l="1"/>
  <c r="V34" i="199"/>
  <c r="V12" i="199"/>
  <c r="V10" i="202"/>
  <c r="W7" i="204"/>
  <c r="N10" i="200"/>
  <c r="N46" i="199"/>
  <c r="N45" i="199"/>
  <c r="N44" i="199"/>
  <c r="N43" i="199"/>
  <c r="D43" i="199"/>
  <c r="N36" i="199"/>
  <c r="N34" i="199"/>
  <c r="N33" i="199"/>
  <c r="N29" i="199"/>
  <c r="N26" i="199"/>
  <c r="N18" i="199"/>
  <c r="N16" i="199"/>
  <c r="N14" i="199"/>
  <c r="N12" i="199"/>
  <c r="N63" i="195" l="1"/>
  <c r="N39" i="195"/>
  <c r="N37" i="195"/>
  <c r="M28" i="195"/>
  <c r="N12" i="195"/>
  <c r="N30" i="195"/>
  <c r="N28" i="195"/>
  <c r="N25" i="195"/>
  <c r="M30" i="195"/>
  <c r="N14" i="195"/>
  <c r="N105" i="194" l="1"/>
  <c r="D105" i="194"/>
  <c r="N99" i="194"/>
  <c r="N87" i="194"/>
  <c r="N80" i="194"/>
  <c r="N62" i="194"/>
  <c r="N54" i="194"/>
  <c r="N39" i="194"/>
  <c r="N38" i="194"/>
  <c r="N37" i="194"/>
  <c r="N29" i="194"/>
  <c r="N16" i="194"/>
  <c r="N11" i="194"/>
  <c r="B110" i="222"/>
  <c r="C110" i="222"/>
  <c r="B111" i="222"/>
  <c r="C111" i="222"/>
  <c r="B112" i="222"/>
  <c r="C112" i="222"/>
  <c r="B113" i="222"/>
  <c r="C113" i="222"/>
  <c r="B114" i="222"/>
  <c r="C114" i="222"/>
  <c r="B115" i="222"/>
  <c r="C115" i="222"/>
  <c r="B116" i="222"/>
  <c r="C116" i="222"/>
  <c r="B117" i="222"/>
  <c r="C117" i="222"/>
  <c r="B118" i="222"/>
  <c r="C118" i="222"/>
  <c r="B119" i="222"/>
  <c r="C119" i="222"/>
  <c r="B120" i="222"/>
  <c r="C120" i="222"/>
  <c r="B121" i="222"/>
  <c r="C121" i="222"/>
  <c r="B122" i="222"/>
  <c r="C122" i="222"/>
  <c r="B123" i="222"/>
  <c r="C123" i="222"/>
  <c r="B109" i="222"/>
  <c r="C109" i="222"/>
  <c r="B7" i="222"/>
  <c r="C7" i="222"/>
  <c r="B8" i="222"/>
  <c r="C8" i="222"/>
  <c r="B9" i="222"/>
  <c r="C9" i="222"/>
  <c r="B10" i="222"/>
  <c r="C10" i="222"/>
  <c r="B11" i="222"/>
  <c r="C11" i="222"/>
  <c r="B12" i="222"/>
  <c r="C12" i="222"/>
  <c r="B13" i="222"/>
  <c r="C13" i="222"/>
  <c r="B14" i="222"/>
  <c r="C14" i="222"/>
  <c r="B15" i="222"/>
  <c r="C15" i="222"/>
  <c r="B16" i="222"/>
  <c r="C16" i="222"/>
  <c r="B17" i="222"/>
  <c r="C17" i="222"/>
  <c r="B18" i="222"/>
  <c r="C18" i="222"/>
  <c r="B19" i="222"/>
  <c r="C19" i="222"/>
  <c r="B20" i="222"/>
  <c r="C20" i="222"/>
  <c r="B21" i="222"/>
  <c r="C21" i="222"/>
  <c r="B22" i="222"/>
  <c r="C22" i="222"/>
  <c r="B23" i="222"/>
  <c r="C23" i="222"/>
  <c r="B24" i="222"/>
  <c r="C24" i="222"/>
  <c r="B25" i="222"/>
  <c r="C25" i="222"/>
  <c r="B26" i="222"/>
  <c r="C26" i="222"/>
  <c r="B27" i="222"/>
  <c r="C27" i="222"/>
  <c r="B28" i="222"/>
  <c r="C28" i="222"/>
  <c r="B29" i="222"/>
  <c r="C29" i="222"/>
  <c r="B30" i="222"/>
  <c r="C30" i="222"/>
  <c r="B31" i="222"/>
  <c r="C31" i="222"/>
  <c r="B32" i="222"/>
  <c r="C32" i="222"/>
  <c r="B33" i="222"/>
  <c r="C33" i="222"/>
  <c r="B34" i="222"/>
  <c r="C34" i="222"/>
  <c r="B35" i="222"/>
  <c r="C35" i="222"/>
  <c r="B36" i="222"/>
  <c r="C36" i="222"/>
  <c r="B37" i="222"/>
  <c r="C37" i="222"/>
  <c r="B38" i="222"/>
  <c r="C38" i="222"/>
  <c r="B39" i="222"/>
  <c r="C39" i="222"/>
  <c r="B40" i="222"/>
  <c r="C40" i="222"/>
  <c r="B41" i="222"/>
  <c r="C41" i="222"/>
  <c r="B42" i="222"/>
  <c r="C42" i="222"/>
  <c r="B43" i="222"/>
  <c r="C43" i="222"/>
  <c r="B44" i="222"/>
  <c r="C44" i="222"/>
  <c r="B45" i="222"/>
  <c r="C45" i="222"/>
  <c r="B46" i="222"/>
  <c r="C46" i="222"/>
  <c r="B47" i="222"/>
  <c r="C47" i="222"/>
  <c r="B48" i="222"/>
  <c r="C48" i="222"/>
  <c r="B49" i="222"/>
  <c r="C49" i="222"/>
  <c r="B50" i="222"/>
  <c r="C50" i="222"/>
  <c r="B51" i="222"/>
  <c r="C51" i="222"/>
  <c r="B52" i="222"/>
  <c r="C52" i="222"/>
  <c r="B53" i="222"/>
  <c r="C53" i="222"/>
  <c r="B54" i="222"/>
  <c r="C54" i="222"/>
  <c r="B55" i="222"/>
  <c r="C55" i="222"/>
  <c r="B56" i="222"/>
  <c r="C56" i="222"/>
  <c r="B57" i="222"/>
  <c r="C57" i="222"/>
  <c r="B58" i="222"/>
  <c r="C58" i="222"/>
  <c r="B59" i="222"/>
  <c r="C59" i="222"/>
  <c r="B60" i="222"/>
  <c r="C60" i="222"/>
  <c r="B61" i="222"/>
  <c r="C61" i="222"/>
  <c r="B62" i="222"/>
  <c r="C62" i="222"/>
  <c r="B63" i="222"/>
  <c r="C63" i="222"/>
  <c r="B64" i="222"/>
  <c r="C64" i="222"/>
  <c r="B65" i="222"/>
  <c r="C65" i="222"/>
  <c r="B66" i="222"/>
  <c r="C66" i="222"/>
  <c r="B67" i="222"/>
  <c r="C67" i="222"/>
  <c r="B68" i="222"/>
  <c r="C68" i="222"/>
  <c r="B69" i="222"/>
  <c r="C69" i="222"/>
  <c r="B70" i="222"/>
  <c r="C70" i="222"/>
  <c r="B71" i="222"/>
  <c r="C71" i="222"/>
  <c r="B72" i="222"/>
  <c r="C72" i="222"/>
  <c r="B73" i="222"/>
  <c r="C73" i="222"/>
  <c r="B74" i="222"/>
  <c r="C74" i="222"/>
  <c r="B75" i="222"/>
  <c r="C75" i="222"/>
  <c r="B76" i="222"/>
  <c r="C76" i="222"/>
  <c r="B77" i="222"/>
  <c r="C77" i="222"/>
  <c r="B78" i="222"/>
  <c r="C78" i="222"/>
  <c r="B79" i="222"/>
  <c r="C79" i="222"/>
  <c r="B80" i="222"/>
  <c r="C80" i="222"/>
  <c r="B81" i="222"/>
  <c r="C81" i="222"/>
  <c r="B82" i="222"/>
  <c r="C82" i="222"/>
  <c r="B83" i="222"/>
  <c r="C83" i="222"/>
  <c r="B84" i="222"/>
  <c r="B85" i="222"/>
  <c r="C85" i="222"/>
  <c r="B86" i="222"/>
  <c r="C86" i="222"/>
  <c r="B87" i="222"/>
  <c r="C87" i="222"/>
  <c r="B88" i="222"/>
  <c r="C88" i="222"/>
  <c r="B89" i="222"/>
  <c r="C89" i="222"/>
  <c r="B90" i="222"/>
  <c r="C90" i="222"/>
  <c r="B91" i="222"/>
  <c r="C91" i="222"/>
  <c r="B92" i="222"/>
  <c r="C92" i="222"/>
  <c r="B93" i="222"/>
  <c r="C93" i="222"/>
  <c r="B94" i="222"/>
  <c r="C94" i="222"/>
  <c r="B95" i="222"/>
  <c r="C95" i="222"/>
  <c r="B96" i="222"/>
  <c r="C96" i="222"/>
  <c r="B97" i="222"/>
  <c r="C97" i="222"/>
  <c r="B98" i="222"/>
  <c r="C98" i="222"/>
  <c r="B99" i="222"/>
  <c r="C99" i="222"/>
  <c r="B100" i="222"/>
  <c r="C100" i="222"/>
  <c r="B101" i="222"/>
  <c r="C101" i="222"/>
  <c r="B102" i="222"/>
  <c r="C102" i="222"/>
  <c r="B103" i="222"/>
  <c r="C103" i="222"/>
  <c r="B104" i="222"/>
  <c r="C104" i="222"/>
  <c r="B105" i="222"/>
  <c r="C105" i="222"/>
  <c r="B6" i="222"/>
  <c r="C6" i="222"/>
  <c r="D26" i="197"/>
  <c r="D25" i="197"/>
  <c r="N24" i="197"/>
  <c r="N23" i="197"/>
  <c r="B11" i="223" l="1"/>
  <c r="C11" i="223"/>
  <c r="B12" i="223"/>
  <c r="C12" i="223"/>
  <c r="B13" i="223"/>
  <c r="C13" i="223"/>
  <c r="B14" i="223"/>
  <c r="C14" i="223"/>
  <c r="B15" i="223"/>
  <c r="C15" i="223"/>
  <c r="B16" i="223"/>
  <c r="C16" i="223"/>
  <c r="B17" i="223"/>
  <c r="C17" i="223"/>
  <c r="B18" i="223"/>
  <c r="C18" i="223"/>
  <c r="B19" i="223"/>
  <c r="C19" i="223"/>
  <c r="B20" i="223"/>
  <c r="C20" i="223"/>
  <c r="B21" i="223"/>
  <c r="C21" i="223"/>
  <c r="B22" i="223"/>
  <c r="C22" i="223"/>
  <c r="B23" i="223"/>
  <c r="C23" i="223"/>
  <c r="B24" i="223"/>
  <c r="C24" i="223"/>
  <c r="B25" i="223"/>
  <c r="C25" i="223"/>
  <c r="B26" i="223"/>
  <c r="C26" i="223"/>
  <c r="B27" i="223"/>
  <c r="C27" i="223"/>
  <c r="B28" i="223"/>
  <c r="C28" i="223"/>
  <c r="B29" i="223"/>
  <c r="C29" i="223"/>
  <c r="B30" i="223"/>
  <c r="C30" i="223"/>
  <c r="B31" i="223"/>
  <c r="C31" i="223"/>
  <c r="B32" i="223"/>
  <c r="C32" i="223"/>
  <c r="B33" i="223"/>
  <c r="C33" i="223"/>
  <c r="B34" i="223"/>
  <c r="C34" i="223"/>
  <c r="B35" i="223"/>
  <c r="C35" i="223"/>
  <c r="B36" i="223"/>
  <c r="C36" i="223"/>
  <c r="B37" i="223"/>
  <c r="C37" i="223"/>
  <c r="B38" i="223"/>
  <c r="C38" i="223"/>
  <c r="B39" i="223"/>
  <c r="C39" i="223"/>
  <c r="B40" i="223"/>
  <c r="C40" i="223"/>
  <c r="B41" i="223"/>
  <c r="C41" i="223"/>
  <c r="B42" i="223"/>
  <c r="C42" i="223"/>
  <c r="B43" i="223"/>
  <c r="C43" i="223"/>
  <c r="B44" i="223"/>
  <c r="C44" i="223"/>
  <c r="B45" i="223"/>
  <c r="C45" i="223"/>
  <c r="B46" i="223"/>
  <c r="C46" i="223"/>
  <c r="B47" i="223"/>
  <c r="C47" i="223"/>
  <c r="B48" i="223"/>
  <c r="C48" i="223"/>
  <c r="B49" i="223"/>
  <c r="C49" i="223"/>
  <c r="B50" i="223"/>
  <c r="C50" i="223"/>
  <c r="B51" i="223"/>
  <c r="C51" i="223"/>
  <c r="B52" i="223"/>
  <c r="C52" i="223"/>
  <c r="B53" i="223"/>
  <c r="C53" i="223"/>
  <c r="B54" i="223"/>
  <c r="C54" i="223"/>
  <c r="B55" i="223"/>
  <c r="C55" i="223"/>
  <c r="B56" i="223"/>
  <c r="C56" i="223"/>
  <c r="B57" i="223"/>
  <c r="C57" i="223"/>
  <c r="B58" i="223"/>
  <c r="C58" i="223"/>
  <c r="B59" i="223"/>
  <c r="C59" i="223"/>
  <c r="B60" i="223"/>
  <c r="C60" i="223"/>
  <c r="B61" i="223"/>
  <c r="C61" i="223"/>
  <c r="B62" i="223"/>
  <c r="C62" i="223"/>
  <c r="B63" i="223"/>
  <c r="C63" i="223"/>
  <c r="B64" i="223"/>
  <c r="C64" i="223"/>
  <c r="B7" i="223"/>
  <c r="C7" i="223"/>
  <c r="B8" i="223"/>
  <c r="C8" i="223"/>
  <c r="B9" i="223"/>
  <c r="C9" i="223"/>
  <c r="B10" i="223"/>
  <c r="C10" i="223"/>
  <c r="B6" i="223"/>
  <c r="C6" i="223"/>
  <c r="N15" i="198" l="1"/>
  <c r="N11" i="198"/>
  <c r="N7" i="198"/>
  <c r="N6" i="198"/>
  <c r="F11" i="100" l="1"/>
  <c r="N117" i="194"/>
  <c r="N115" i="194"/>
  <c r="A64" i="223" l="1"/>
  <c r="A55" i="207"/>
  <c r="V25" i="97" l="1"/>
  <c r="A64" i="195" l="1"/>
  <c r="C20" i="38"/>
  <c r="D9" i="38"/>
  <c r="J3" i="38" l="1"/>
  <c r="N59" i="194" l="1"/>
  <c r="C19" i="38" l="1"/>
  <c r="C38" i="176"/>
  <c r="C33" i="176"/>
  <c r="C96" i="176"/>
  <c r="C94" i="176"/>
  <c r="C81" i="176"/>
  <c r="C70" i="176"/>
  <c r="C37" i="176"/>
  <c r="C51" i="176"/>
  <c r="C59" i="176"/>
  <c r="C72" i="176"/>
  <c r="C85" i="176"/>
  <c r="C18" i="176"/>
  <c r="C98" i="176"/>
  <c r="C28" i="176"/>
  <c r="C82" i="176"/>
  <c r="C23" i="176"/>
  <c r="C22" i="176"/>
  <c r="C121" i="176" l="1"/>
  <c r="AA43" i="222"/>
  <c r="A55" i="206"/>
  <c r="A56" i="206" s="1"/>
  <c r="A57" i="206" s="1"/>
  <c r="A12" i="207"/>
  <c r="A17" i="210"/>
  <c r="M7" i="199" l="1"/>
  <c r="A10" i="214"/>
  <c r="A16" i="216"/>
  <c r="A33" i="211"/>
  <c r="W9" i="204"/>
  <c r="N9" i="204"/>
  <c r="F6" i="158"/>
  <c r="E16" i="77"/>
  <c r="E15" i="77"/>
  <c r="F9" i="77"/>
  <c r="F7" i="77"/>
  <c r="E16" i="75"/>
  <c r="F9" i="75"/>
  <c r="D8" i="224"/>
  <c r="E8" i="224"/>
  <c r="F8" i="224"/>
  <c r="G8" i="224"/>
  <c r="H8" i="224"/>
  <c r="I8" i="224"/>
  <c r="J8" i="224"/>
  <c r="J48" i="224" s="1"/>
  <c r="K8" i="224"/>
  <c r="L8" i="224"/>
  <c r="M8" i="224"/>
  <c r="N8" i="224"/>
  <c r="O8" i="224"/>
  <c r="P8" i="224"/>
  <c r="Q8" i="224"/>
  <c r="R8" i="224"/>
  <c r="S8" i="224"/>
  <c r="T8" i="224"/>
  <c r="U8" i="224"/>
  <c r="W8" i="224"/>
  <c r="X8" i="224"/>
  <c r="Y8" i="224"/>
  <c r="Z8" i="224"/>
  <c r="AA8" i="224"/>
  <c r="AB8" i="224"/>
  <c r="D9" i="224"/>
  <c r="E9" i="224"/>
  <c r="F9" i="224"/>
  <c r="G9" i="224"/>
  <c r="H9" i="224"/>
  <c r="I9" i="224"/>
  <c r="I48" i="224" s="1"/>
  <c r="J9" i="224"/>
  <c r="K9" i="224"/>
  <c r="L9" i="224"/>
  <c r="M9" i="224"/>
  <c r="N9" i="224"/>
  <c r="O9" i="224"/>
  <c r="P9" i="224"/>
  <c r="Q9" i="224"/>
  <c r="Q48" i="224" s="1"/>
  <c r="R9" i="224"/>
  <c r="S9" i="224"/>
  <c r="T9" i="224"/>
  <c r="U9" i="224"/>
  <c r="V9" i="224"/>
  <c r="W9" i="224"/>
  <c r="X9" i="224"/>
  <c r="Y9" i="224"/>
  <c r="Z9" i="224"/>
  <c r="AA9" i="224"/>
  <c r="AB9" i="224"/>
  <c r="D10" i="224"/>
  <c r="E10" i="224"/>
  <c r="F10" i="224"/>
  <c r="G10" i="224"/>
  <c r="H10" i="224"/>
  <c r="H48" i="224" s="1"/>
  <c r="I10" i="224"/>
  <c r="J10" i="224"/>
  <c r="K10" i="224"/>
  <c r="L10" i="224"/>
  <c r="M10" i="224"/>
  <c r="N10" i="224"/>
  <c r="O10" i="224"/>
  <c r="P10" i="224"/>
  <c r="Q10" i="224"/>
  <c r="R10" i="224"/>
  <c r="S10" i="224"/>
  <c r="T10" i="224"/>
  <c r="U10" i="224"/>
  <c r="V10" i="224"/>
  <c r="W10" i="224"/>
  <c r="X10" i="224"/>
  <c r="Y10" i="224"/>
  <c r="Z10" i="224"/>
  <c r="AA10" i="224"/>
  <c r="AB10" i="224"/>
  <c r="D11" i="224"/>
  <c r="E11" i="224"/>
  <c r="F11" i="224"/>
  <c r="G11" i="224"/>
  <c r="H11" i="224"/>
  <c r="I11" i="224"/>
  <c r="J11" i="224"/>
  <c r="K11" i="224"/>
  <c r="L11" i="224"/>
  <c r="M11" i="224"/>
  <c r="N11" i="224"/>
  <c r="O11" i="224"/>
  <c r="P11" i="224"/>
  <c r="Q11" i="224"/>
  <c r="R11" i="224"/>
  <c r="S11" i="224"/>
  <c r="T11" i="224"/>
  <c r="U11" i="224"/>
  <c r="V11" i="224"/>
  <c r="W11" i="224"/>
  <c r="X11" i="224"/>
  <c r="Y11" i="224"/>
  <c r="Z11" i="224"/>
  <c r="AA11" i="224"/>
  <c r="AB11" i="224"/>
  <c r="D12" i="224"/>
  <c r="E12" i="224"/>
  <c r="F12" i="224"/>
  <c r="G12" i="224"/>
  <c r="H12" i="224"/>
  <c r="I12" i="224"/>
  <c r="J12" i="224"/>
  <c r="K12" i="224"/>
  <c r="L12" i="224"/>
  <c r="M12" i="224"/>
  <c r="N12" i="224"/>
  <c r="P12" i="224"/>
  <c r="Q12" i="224"/>
  <c r="R12" i="224"/>
  <c r="S12" i="224"/>
  <c r="T12" i="224"/>
  <c r="X12" i="224"/>
  <c r="Y12" i="224"/>
  <c r="Z12" i="224"/>
  <c r="AA12" i="224"/>
  <c r="AB12" i="224"/>
  <c r="D13" i="224"/>
  <c r="E13" i="224"/>
  <c r="F13" i="224"/>
  <c r="G13" i="224"/>
  <c r="H13" i="224"/>
  <c r="I13" i="224"/>
  <c r="J13" i="224"/>
  <c r="K13" i="224"/>
  <c r="L13" i="224"/>
  <c r="M13" i="224"/>
  <c r="N13" i="224"/>
  <c r="O13" i="224"/>
  <c r="P13" i="224"/>
  <c r="Q13" i="224"/>
  <c r="R13" i="224"/>
  <c r="S13" i="224"/>
  <c r="T13" i="224"/>
  <c r="U13" i="224"/>
  <c r="V13" i="224"/>
  <c r="W13" i="224"/>
  <c r="X13" i="224"/>
  <c r="Y13" i="224"/>
  <c r="Z13" i="224"/>
  <c r="AA13" i="224"/>
  <c r="AB13" i="224"/>
  <c r="D14" i="224"/>
  <c r="E14" i="224"/>
  <c r="F14" i="224"/>
  <c r="G14" i="224"/>
  <c r="H14" i="224"/>
  <c r="I14" i="224"/>
  <c r="J14" i="224"/>
  <c r="K14" i="224"/>
  <c r="L14" i="224"/>
  <c r="M14" i="224"/>
  <c r="N14" i="224"/>
  <c r="P14" i="224"/>
  <c r="Q14" i="224"/>
  <c r="R14" i="224"/>
  <c r="S14" i="224"/>
  <c r="T14" i="224"/>
  <c r="W14" i="224"/>
  <c r="X14" i="224"/>
  <c r="Y14" i="224"/>
  <c r="Z14" i="224"/>
  <c r="AA14" i="224"/>
  <c r="AB14" i="224"/>
  <c r="D15" i="224"/>
  <c r="E15" i="224"/>
  <c r="F15" i="224"/>
  <c r="G15" i="224"/>
  <c r="H15" i="224"/>
  <c r="I15" i="224"/>
  <c r="J15" i="224"/>
  <c r="K15" i="224"/>
  <c r="L15" i="224"/>
  <c r="M15" i="224"/>
  <c r="N15" i="224"/>
  <c r="O15" i="224"/>
  <c r="P15" i="224"/>
  <c r="Q15" i="224"/>
  <c r="R15" i="224"/>
  <c r="S15" i="224"/>
  <c r="T15" i="224"/>
  <c r="U15" i="224"/>
  <c r="V15" i="224"/>
  <c r="W15" i="224"/>
  <c r="X15" i="224"/>
  <c r="Y15" i="224"/>
  <c r="Z15" i="224"/>
  <c r="AA15" i="224"/>
  <c r="AB15" i="224"/>
  <c r="D16" i="224"/>
  <c r="E16" i="224"/>
  <c r="F16" i="224"/>
  <c r="G16" i="224"/>
  <c r="H16" i="224"/>
  <c r="I16" i="224"/>
  <c r="J16" i="224"/>
  <c r="K16" i="224"/>
  <c r="L16" i="224"/>
  <c r="M16" i="224"/>
  <c r="N16" i="224"/>
  <c r="P16" i="224"/>
  <c r="Q16" i="224"/>
  <c r="R16" i="224"/>
  <c r="S16" i="224"/>
  <c r="T16" i="224"/>
  <c r="V16" i="224"/>
  <c r="X16" i="224"/>
  <c r="Y16" i="224"/>
  <c r="Z16" i="224"/>
  <c r="AA16" i="224"/>
  <c r="AB16" i="224"/>
  <c r="D17" i="224"/>
  <c r="E17" i="224"/>
  <c r="F17" i="224"/>
  <c r="G17" i="224"/>
  <c r="H17" i="224"/>
  <c r="I17" i="224"/>
  <c r="J17" i="224"/>
  <c r="K17" i="224"/>
  <c r="L17" i="224"/>
  <c r="M17" i="224"/>
  <c r="N17" i="224"/>
  <c r="O17" i="224"/>
  <c r="P17" i="224"/>
  <c r="Q17" i="224"/>
  <c r="R17" i="224"/>
  <c r="S17" i="224"/>
  <c r="T17" i="224"/>
  <c r="U17" i="224"/>
  <c r="V17" i="224"/>
  <c r="W17" i="224"/>
  <c r="X17" i="224"/>
  <c r="Y17" i="224"/>
  <c r="Z17" i="224"/>
  <c r="AA17" i="224"/>
  <c r="AB17" i="224"/>
  <c r="D18" i="224"/>
  <c r="E18" i="224"/>
  <c r="F18" i="224"/>
  <c r="G18" i="224"/>
  <c r="H18" i="224"/>
  <c r="I18" i="224"/>
  <c r="J18" i="224"/>
  <c r="K18" i="224"/>
  <c r="L18" i="224"/>
  <c r="M18" i="224"/>
  <c r="N18" i="224"/>
  <c r="P18" i="224"/>
  <c r="Q18" i="224"/>
  <c r="R18" i="224"/>
  <c r="S18" i="224"/>
  <c r="T18" i="224"/>
  <c r="W18" i="224"/>
  <c r="X18" i="224"/>
  <c r="Y18" i="224"/>
  <c r="Z18" i="224"/>
  <c r="AA18" i="224"/>
  <c r="AB18" i="224"/>
  <c r="D19" i="224"/>
  <c r="E19" i="224"/>
  <c r="F19" i="224"/>
  <c r="G19" i="224"/>
  <c r="H19" i="224"/>
  <c r="I19" i="224"/>
  <c r="J19" i="224"/>
  <c r="K19" i="224"/>
  <c r="L19" i="224"/>
  <c r="M19" i="224"/>
  <c r="N19" i="224"/>
  <c r="O19" i="224"/>
  <c r="P19" i="224"/>
  <c r="Q19" i="224"/>
  <c r="R19" i="224"/>
  <c r="S19" i="224"/>
  <c r="T19" i="224"/>
  <c r="U19" i="224"/>
  <c r="V19" i="224"/>
  <c r="W19" i="224"/>
  <c r="X19" i="224"/>
  <c r="Y19" i="224"/>
  <c r="Z19" i="224"/>
  <c r="AA19" i="224"/>
  <c r="AB19" i="224"/>
  <c r="D20" i="224"/>
  <c r="E20" i="224"/>
  <c r="F20" i="224"/>
  <c r="G20" i="224"/>
  <c r="H20" i="224"/>
  <c r="I20" i="224"/>
  <c r="J20" i="224"/>
  <c r="K20" i="224"/>
  <c r="L20" i="224"/>
  <c r="M20" i="224"/>
  <c r="N20" i="224"/>
  <c r="O20" i="224"/>
  <c r="P20" i="224"/>
  <c r="Q20" i="224"/>
  <c r="R20" i="224"/>
  <c r="S20" i="224"/>
  <c r="T20" i="224"/>
  <c r="U20" i="224"/>
  <c r="V20" i="224"/>
  <c r="W20" i="224"/>
  <c r="X20" i="224"/>
  <c r="Y20" i="224"/>
  <c r="Z20" i="224"/>
  <c r="AA20" i="224"/>
  <c r="AB20" i="224"/>
  <c r="D21" i="224"/>
  <c r="E21" i="224"/>
  <c r="F21" i="224"/>
  <c r="G21" i="224"/>
  <c r="H21" i="224"/>
  <c r="I21" i="224"/>
  <c r="J21" i="224"/>
  <c r="K21" i="224"/>
  <c r="L21" i="224"/>
  <c r="M21" i="224"/>
  <c r="N21" i="224"/>
  <c r="O21" i="224"/>
  <c r="P21" i="224"/>
  <c r="Q21" i="224"/>
  <c r="R21" i="224"/>
  <c r="S21" i="224"/>
  <c r="T21" i="224"/>
  <c r="U21" i="224"/>
  <c r="V21" i="224"/>
  <c r="W21" i="224"/>
  <c r="X21" i="224"/>
  <c r="Y21" i="224"/>
  <c r="Z21" i="224"/>
  <c r="AA21" i="224"/>
  <c r="AB21" i="224"/>
  <c r="D22" i="224"/>
  <c r="E22" i="224"/>
  <c r="F22" i="224"/>
  <c r="G22" i="224"/>
  <c r="H22" i="224"/>
  <c r="I22" i="224"/>
  <c r="J22" i="224"/>
  <c r="K22" i="224"/>
  <c r="L22" i="224"/>
  <c r="M22" i="224"/>
  <c r="N22" i="224"/>
  <c r="O22" i="224"/>
  <c r="P22" i="224"/>
  <c r="Q22" i="224"/>
  <c r="R22" i="224"/>
  <c r="S22" i="224"/>
  <c r="T22" i="224"/>
  <c r="U22" i="224"/>
  <c r="V22" i="224"/>
  <c r="W22" i="224"/>
  <c r="X22" i="224"/>
  <c r="Y22" i="224"/>
  <c r="Z22" i="224"/>
  <c r="AA22" i="224"/>
  <c r="AB22" i="224"/>
  <c r="D23" i="224"/>
  <c r="E23" i="224"/>
  <c r="F23" i="224"/>
  <c r="G23" i="224"/>
  <c r="H23" i="224"/>
  <c r="I23" i="224"/>
  <c r="J23" i="224"/>
  <c r="K23" i="224"/>
  <c r="L23" i="224"/>
  <c r="M23" i="224"/>
  <c r="N23" i="224"/>
  <c r="O23" i="224"/>
  <c r="P23" i="224"/>
  <c r="Q23" i="224"/>
  <c r="R23" i="224"/>
  <c r="S23" i="224"/>
  <c r="T23" i="224"/>
  <c r="U23" i="224"/>
  <c r="V23" i="224"/>
  <c r="W23" i="224"/>
  <c r="X23" i="224"/>
  <c r="Y23" i="224"/>
  <c r="Z23" i="224"/>
  <c r="AA23" i="224"/>
  <c r="AB23" i="224"/>
  <c r="D24" i="224"/>
  <c r="E24" i="224"/>
  <c r="F24" i="224"/>
  <c r="G24" i="224"/>
  <c r="H24" i="224"/>
  <c r="I24" i="224"/>
  <c r="J24" i="224"/>
  <c r="K24" i="224"/>
  <c r="L24" i="224"/>
  <c r="M24" i="224"/>
  <c r="N24" i="224"/>
  <c r="O24" i="224"/>
  <c r="P24" i="224"/>
  <c r="Q24" i="224"/>
  <c r="R24" i="224"/>
  <c r="S24" i="224"/>
  <c r="T24" i="224"/>
  <c r="U24" i="224"/>
  <c r="V24" i="224"/>
  <c r="W24" i="224"/>
  <c r="X24" i="224"/>
  <c r="Y24" i="224"/>
  <c r="Z24" i="224"/>
  <c r="AA24" i="224"/>
  <c r="AB24" i="224"/>
  <c r="D25" i="224"/>
  <c r="E25" i="224"/>
  <c r="F25" i="224"/>
  <c r="G25" i="224"/>
  <c r="H25" i="224"/>
  <c r="I25" i="224"/>
  <c r="J25" i="224"/>
  <c r="K25" i="224"/>
  <c r="L25" i="224"/>
  <c r="M25" i="224"/>
  <c r="N25" i="224"/>
  <c r="O25" i="224"/>
  <c r="P25" i="224"/>
  <c r="Q25" i="224"/>
  <c r="R25" i="224"/>
  <c r="S25" i="224"/>
  <c r="T25" i="224"/>
  <c r="U25" i="224"/>
  <c r="V25" i="224"/>
  <c r="W25" i="224"/>
  <c r="X25" i="224"/>
  <c r="Y25" i="224"/>
  <c r="Z25" i="224"/>
  <c r="AA25" i="224"/>
  <c r="AB25" i="224"/>
  <c r="D26" i="224"/>
  <c r="E26" i="224"/>
  <c r="F26" i="224"/>
  <c r="G26" i="224"/>
  <c r="H26" i="224"/>
  <c r="I26" i="224"/>
  <c r="J26" i="224"/>
  <c r="K26" i="224"/>
  <c r="L26" i="224"/>
  <c r="M26" i="224"/>
  <c r="N26" i="224"/>
  <c r="P26" i="224"/>
  <c r="Q26" i="224"/>
  <c r="R26" i="224"/>
  <c r="S26" i="224"/>
  <c r="T26" i="224"/>
  <c r="V26" i="224"/>
  <c r="X26" i="224"/>
  <c r="Y26" i="224"/>
  <c r="Z26" i="224"/>
  <c r="AA26" i="224"/>
  <c r="AB26" i="224"/>
  <c r="D27" i="224"/>
  <c r="E27" i="224"/>
  <c r="F27" i="224"/>
  <c r="G27" i="224"/>
  <c r="H27" i="224"/>
  <c r="I27" i="224"/>
  <c r="J27" i="224"/>
  <c r="K27" i="224"/>
  <c r="L27" i="224"/>
  <c r="M27" i="224"/>
  <c r="N27" i="224"/>
  <c r="O27" i="224"/>
  <c r="P27" i="224"/>
  <c r="Q27" i="224"/>
  <c r="R27" i="224"/>
  <c r="S27" i="224"/>
  <c r="T27" i="224"/>
  <c r="U27" i="224"/>
  <c r="V27" i="224"/>
  <c r="W27" i="224"/>
  <c r="X27" i="224"/>
  <c r="Y27" i="224"/>
  <c r="Z27" i="224"/>
  <c r="AA27" i="224"/>
  <c r="AB27" i="224"/>
  <c r="D28" i="224"/>
  <c r="E28" i="224"/>
  <c r="F28" i="224"/>
  <c r="G28" i="224"/>
  <c r="H28" i="224"/>
  <c r="I28" i="224"/>
  <c r="J28" i="224"/>
  <c r="K28" i="224"/>
  <c r="L28" i="224"/>
  <c r="M28" i="224"/>
  <c r="N28" i="224"/>
  <c r="O28" i="224"/>
  <c r="P28" i="224"/>
  <c r="Q28" i="224"/>
  <c r="R28" i="224"/>
  <c r="S28" i="224"/>
  <c r="T28" i="224"/>
  <c r="U28" i="224"/>
  <c r="V28" i="224"/>
  <c r="W28" i="224"/>
  <c r="X28" i="224"/>
  <c r="Y28" i="224"/>
  <c r="Z28" i="224"/>
  <c r="AA28" i="224"/>
  <c r="AB28" i="224"/>
  <c r="D29" i="224"/>
  <c r="E29" i="224"/>
  <c r="F29" i="224"/>
  <c r="G29" i="224"/>
  <c r="H29" i="224"/>
  <c r="I29" i="224"/>
  <c r="J29" i="224"/>
  <c r="K29" i="224"/>
  <c r="L29" i="224"/>
  <c r="M29" i="224"/>
  <c r="N29" i="224"/>
  <c r="P29" i="224"/>
  <c r="Q29" i="224"/>
  <c r="R29" i="224"/>
  <c r="S29" i="224"/>
  <c r="T29" i="224"/>
  <c r="V29" i="224"/>
  <c r="X29" i="224"/>
  <c r="Y29" i="224"/>
  <c r="Z29" i="224"/>
  <c r="AA29" i="224"/>
  <c r="AB29" i="224"/>
  <c r="D30" i="224"/>
  <c r="E30" i="224"/>
  <c r="F30" i="224"/>
  <c r="G30" i="224"/>
  <c r="H30" i="224"/>
  <c r="I30" i="224"/>
  <c r="J30" i="224"/>
  <c r="K30" i="224"/>
  <c r="L30" i="224"/>
  <c r="M30" i="224"/>
  <c r="N30" i="224"/>
  <c r="O30" i="224"/>
  <c r="P30" i="224"/>
  <c r="Q30" i="224"/>
  <c r="R30" i="224"/>
  <c r="S30" i="224"/>
  <c r="T30" i="224"/>
  <c r="U30" i="224"/>
  <c r="V30" i="224"/>
  <c r="W30" i="224"/>
  <c r="X30" i="224"/>
  <c r="Y30" i="224"/>
  <c r="Z30" i="224"/>
  <c r="AA30" i="224"/>
  <c r="AB30" i="224"/>
  <c r="D31" i="224"/>
  <c r="E31" i="224"/>
  <c r="F31" i="224"/>
  <c r="G31" i="224"/>
  <c r="H31" i="224"/>
  <c r="I31" i="224"/>
  <c r="J31" i="224"/>
  <c r="K31" i="224"/>
  <c r="L31" i="224"/>
  <c r="M31" i="224"/>
  <c r="N31" i="224"/>
  <c r="O31" i="224"/>
  <c r="P31" i="224"/>
  <c r="Q31" i="224"/>
  <c r="R31" i="224"/>
  <c r="S31" i="224"/>
  <c r="T31" i="224"/>
  <c r="U31" i="224"/>
  <c r="V31" i="224"/>
  <c r="W31" i="224"/>
  <c r="X31" i="224"/>
  <c r="Y31" i="224"/>
  <c r="Z31" i="224"/>
  <c r="AA31" i="224"/>
  <c r="AB31" i="224"/>
  <c r="D32" i="224"/>
  <c r="E32" i="224"/>
  <c r="F32" i="224"/>
  <c r="G32" i="224"/>
  <c r="H32" i="224"/>
  <c r="I32" i="224"/>
  <c r="J32" i="224"/>
  <c r="K32" i="224"/>
  <c r="L32" i="224"/>
  <c r="M32" i="224"/>
  <c r="N32" i="224"/>
  <c r="O32" i="224"/>
  <c r="P32" i="224"/>
  <c r="Q32" i="224"/>
  <c r="R32" i="224"/>
  <c r="S32" i="224"/>
  <c r="T32" i="224"/>
  <c r="U32" i="224"/>
  <c r="V32" i="224"/>
  <c r="W32" i="224"/>
  <c r="X32" i="224"/>
  <c r="Y32" i="224"/>
  <c r="Z32" i="224"/>
  <c r="AA32" i="224"/>
  <c r="AB32" i="224"/>
  <c r="D33" i="224"/>
  <c r="E33" i="224"/>
  <c r="F33" i="224"/>
  <c r="G33" i="224"/>
  <c r="H33" i="224"/>
  <c r="I33" i="224"/>
  <c r="J33" i="224"/>
  <c r="K33" i="224"/>
  <c r="L33" i="224"/>
  <c r="M33" i="224"/>
  <c r="N33" i="224"/>
  <c r="P33" i="224"/>
  <c r="Q33" i="224"/>
  <c r="R33" i="224"/>
  <c r="S33" i="224"/>
  <c r="T33" i="224"/>
  <c r="W33" i="224"/>
  <c r="X33" i="224"/>
  <c r="Y33" i="224"/>
  <c r="Z33" i="224"/>
  <c r="AA33" i="224"/>
  <c r="AB33" i="224"/>
  <c r="D34" i="224"/>
  <c r="E34" i="224"/>
  <c r="F34" i="224"/>
  <c r="G34" i="224"/>
  <c r="H34" i="224"/>
  <c r="I34" i="224"/>
  <c r="J34" i="224"/>
  <c r="K34" i="224"/>
  <c r="L34" i="224"/>
  <c r="M34" i="224"/>
  <c r="N34" i="224"/>
  <c r="P34" i="224"/>
  <c r="Q34" i="224"/>
  <c r="R34" i="224"/>
  <c r="S34" i="224"/>
  <c r="T34" i="224"/>
  <c r="W34" i="224"/>
  <c r="X34" i="224"/>
  <c r="Y34" i="224"/>
  <c r="Z34" i="224"/>
  <c r="AA34" i="224"/>
  <c r="AB34" i="224"/>
  <c r="D35" i="224"/>
  <c r="E35" i="224"/>
  <c r="F35" i="224"/>
  <c r="G35" i="224"/>
  <c r="H35" i="224"/>
  <c r="I35" i="224"/>
  <c r="J35" i="224"/>
  <c r="K35" i="224"/>
  <c r="L35" i="224"/>
  <c r="M35" i="224"/>
  <c r="N35" i="224"/>
  <c r="O35" i="224"/>
  <c r="P35" i="224"/>
  <c r="Q35" i="224"/>
  <c r="R35" i="224"/>
  <c r="S35" i="224"/>
  <c r="T35" i="224"/>
  <c r="U35" i="224"/>
  <c r="V35" i="224"/>
  <c r="W35" i="224"/>
  <c r="X35" i="224"/>
  <c r="Y35" i="224"/>
  <c r="Z35" i="224"/>
  <c r="AA35" i="224"/>
  <c r="AB35" i="224"/>
  <c r="D36" i="224"/>
  <c r="E36" i="224"/>
  <c r="F36" i="224"/>
  <c r="G36" i="224"/>
  <c r="H36" i="224"/>
  <c r="I36" i="224"/>
  <c r="J36" i="224"/>
  <c r="K36" i="224"/>
  <c r="L36" i="224"/>
  <c r="M36" i="224"/>
  <c r="N36" i="224"/>
  <c r="P36" i="224"/>
  <c r="Q36" i="224"/>
  <c r="R36" i="224"/>
  <c r="S36" i="224"/>
  <c r="T36" i="224"/>
  <c r="V36" i="224"/>
  <c r="X36" i="224"/>
  <c r="Y36" i="224"/>
  <c r="Z36" i="224"/>
  <c r="AA36" i="224"/>
  <c r="AB36" i="224"/>
  <c r="D37" i="224"/>
  <c r="E37" i="224"/>
  <c r="F37" i="224"/>
  <c r="G37" i="224"/>
  <c r="H37" i="224"/>
  <c r="I37" i="224"/>
  <c r="J37" i="224"/>
  <c r="K37" i="224"/>
  <c r="L37" i="224"/>
  <c r="M37" i="224"/>
  <c r="N37" i="224"/>
  <c r="O37" i="224"/>
  <c r="P37" i="224"/>
  <c r="Q37" i="224"/>
  <c r="R37" i="224"/>
  <c r="S37" i="224"/>
  <c r="T37" i="224"/>
  <c r="U37" i="224"/>
  <c r="V37" i="224"/>
  <c r="W37" i="224"/>
  <c r="X37" i="224"/>
  <c r="Y37" i="224"/>
  <c r="Z37" i="224"/>
  <c r="AA37" i="224"/>
  <c r="AB37" i="224"/>
  <c r="D38" i="224"/>
  <c r="E38" i="224"/>
  <c r="F38" i="224"/>
  <c r="G38" i="224"/>
  <c r="H38" i="224"/>
  <c r="I38" i="224"/>
  <c r="J38" i="224"/>
  <c r="K38" i="224"/>
  <c r="L38" i="224"/>
  <c r="M38" i="224"/>
  <c r="N38" i="224"/>
  <c r="O38" i="224"/>
  <c r="P38" i="224"/>
  <c r="Q38" i="224"/>
  <c r="R38" i="224"/>
  <c r="S38" i="224"/>
  <c r="T38" i="224"/>
  <c r="U38" i="224"/>
  <c r="V38" i="224"/>
  <c r="W38" i="224"/>
  <c r="X38" i="224"/>
  <c r="Y38" i="224"/>
  <c r="Z38" i="224"/>
  <c r="AA38" i="224"/>
  <c r="AB38" i="224"/>
  <c r="D39" i="224"/>
  <c r="E39" i="224"/>
  <c r="F39" i="224"/>
  <c r="G39" i="224"/>
  <c r="H39" i="224"/>
  <c r="I39" i="224"/>
  <c r="J39" i="224"/>
  <c r="K39" i="224"/>
  <c r="L39" i="224"/>
  <c r="M39" i="224"/>
  <c r="N39" i="224"/>
  <c r="O39" i="224"/>
  <c r="P39" i="224"/>
  <c r="Q39" i="224"/>
  <c r="R39" i="224"/>
  <c r="S39" i="224"/>
  <c r="T39" i="224"/>
  <c r="U39" i="224"/>
  <c r="V39" i="224"/>
  <c r="W39" i="224"/>
  <c r="X39" i="224"/>
  <c r="Y39" i="224"/>
  <c r="Z39" i="224"/>
  <c r="AA39" i="224"/>
  <c r="AB39" i="224"/>
  <c r="D40" i="224"/>
  <c r="E40" i="224"/>
  <c r="F40" i="224"/>
  <c r="G40" i="224"/>
  <c r="H40" i="224"/>
  <c r="I40" i="224"/>
  <c r="J40" i="224"/>
  <c r="K40" i="224"/>
  <c r="L40" i="224"/>
  <c r="M40" i="224"/>
  <c r="N40" i="224"/>
  <c r="O40" i="224"/>
  <c r="P40" i="224"/>
  <c r="Q40" i="224"/>
  <c r="R40" i="224"/>
  <c r="S40" i="224"/>
  <c r="T40" i="224"/>
  <c r="U40" i="224"/>
  <c r="V40" i="224"/>
  <c r="W40" i="224"/>
  <c r="X40" i="224"/>
  <c r="Y40" i="224"/>
  <c r="Z40" i="224"/>
  <c r="AA40" i="224"/>
  <c r="AB40" i="224"/>
  <c r="D41" i="224"/>
  <c r="E41" i="224"/>
  <c r="F41" i="224"/>
  <c r="G41" i="224"/>
  <c r="H41" i="224"/>
  <c r="I41" i="224"/>
  <c r="J41" i="224"/>
  <c r="K41" i="224"/>
  <c r="L41" i="224"/>
  <c r="M41" i="224"/>
  <c r="N41" i="224"/>
  <c r="O41" i="224"/>
  <c r="P41" i="224"/>
  <c r="Q41" i="224"/>
  <c r="R41" i="224"/>
  <c r="S41" i="224"/>
  <c r="T41" i="224"/>
  <c r="U41" i="224"/>
  <c r="V41" i="224"/>
  <c r="W41" i="224"/>
  <c r="X41" i="224"/>
  <c r="Y41" i="224"/>
  <c r="Z41" i="224"/>
  <c r="AA41" i="224"/>
  <c r="AB41" i="224"/>
  <c r="D42" i="224"/>
  <c r="E42" i="224"/>
  <c r="F42" i="224"/>
  <c r="G42" i="224"/>
  <c r="H42" i="224"/>
  <c r="I42" i="224"/>
  <c r="J42" i="224"/>
  <c r="K42" i="224"/>
  <c r="L42" i="224"/>
  <c r="M42" i="224"/>
  <c r="N42" i="224"/>
  <c r="O42" i="224"/>
  <c r="P42" i="224"/>
  <c r="Q42" i="224"/>
  <c r="R42" i="224"/>
  <c r="S42" i="224"/>
  <c r="T42" i="224"/>
  <c r="U42" i="224"/>
  <c r="V42" i="224"/>
  <c r="W42" i="224"/>
  <c r="X42" i="224"/>
  <c r="Y42" i="224"/>
  <c r="Z42" i="224"/>
  <c r="AA42" i="224"/>
  <c r="AB42" i="224"/>
  <c r="D43" i="224"/>
  <c r="E43" i="224"/>
  <c r="G43" i="224"/>
  <c r="H43" i="224"/>
  <c r="I43" i="224"/>
  <c r="J43" i="224"/>
  <c r="K43" i="224"/>
  <c r="L43" i="224"/>
  <c r="M43" i="224"/>
  <c r="N43" i="224"/>
  <c r="P43" i="224"/>
  <c r="Q43" i="224"/>
  <c r="R43" i="224"/>
  <c r="S43" i="224"/>
  <c r="T43" i="224"/>
  <c r="W43" i="224"/>
  <c r="X43" i="224"/>
  <c r="Y43" i="224"/>
  <c r="Z43" i="224"/>
  <c r="AA43" i="224"/>
  <c r="AB43" i="224"/>
  <c r="D44" i="224"/>
  <c r="E44" i="224"/>
  <c r="F44" i="224"/>
  <c r="G44" i="224"/>
  <c r="H44" i="224"/>
  <c r="I44" i="224"/>
  <c r="J44" i="224"/>
  <c r="K44" i="224"/>
  <c r="L44" i="224"/>
  <c r="M44" i="224"/>
  <c r="N44" i="224"/>
  <c r="P44" i="224"/>
  <c r="Q44" i="224"/>
  <c r="R44" i="224"/>
  <c r="S44" i="224"/>
  <c r="T44" i="224"/>
  <c r="W44" i="224"/>
  <c r="X44" i="224"/>
  <c r="Y44" i="224"/>
  <c r="Z44" i="224"/>
  <c r="AA44" i="224"/>
  <c r="AB44" i="224"/>
  <c r="D45" i="224"/>
  <c r="E45" i="224"/>
  <c r="F45" i="224"/>
  <c r="G45" i="224"/>
  <c r="H45" i="224"/>
  <c r="I45" i="224"/>
  <c r="J45" i="224"/>
  <c r="K45" i="224"/>
  <c r="L45" i="224"/>
  <c r="M45" i="224"/>
  <c r="N45" i="224"/>
  <c r="P45" i="224"/>
  <c r="Q45" i="224"/>
  <c r="R45" i="224"/>
  <c r="S45" i="224"/>
  <c r="T45" i="224"/>
  <c r="W45" i="224"/>
  <c r="X45" i="224"/>
  <c r="Y45" i="224"/>
  <c r="Z45" i="224"/>
  <c r="AA45" i="224"/>
  <c r="AB45" i="224"/>
  <c r="D46" i="224"/>
  <c r="E46" i="224"/>
  <c r="F46" i="224"/>
  <c r="G46" i="224"/>
  <c r="H46" i="224"/>
  <c r="I46" i="224"/>
  <c r="J46" i="224"/>
  <c r="K46" i="224"/>
  <c r="L46" i="224"/>
  <c r="M46" i="224"/>
  <c r="N46" i="224"/>
  <c r="P46" i="224"/>
  <c r="Q46" i="224"/>
  <c r="R46" i="224"/>
  <c r="S46" i="224"/>
  <c r="T46" i="224"/>
  <c r="W46" i="224"/>
  <c r="X46" i="224"/>
  <c r="Y46" i="224"/>
  <c r="Z46" i="224"/>
  <c r="AA46" i="224"/>
  <c r="AB46" i="224"/>
  <c r="D47" i="224"/>
  <c r="E47" i="224"/>
  <c r="F47" i="224"/>
  <c r="G47" i="224"/>
  <c r="H47" i="224"/>
  <c r="I47" i="224"/>
  <c r="J47" i="224"/>
  <c r="K47" i="224"/>
  <c r="L47" i="224"/>
  <c r="M47" i="224"/>
  <c r="N47" i="224"/>
  <c r="O47" i="224"/>
  <c r="P47" i="224"/>
  <c r="Q47" i="224"/>
  <c r="R47" i="224"/>
  <c r="S47" i="224"/>
  <c r="T47" i="224"/>
  <c r="U47" i="224"/>
  <c r="W47" i="224"/>
  <c r="X47" i="224"/>
  <c r="Y47" i="224"/>
  <c r="Z47" i="224"/>
  <c r="AA47" i="224"/>
  <c r="AB47" i="224"/>
  <c r="E7" i="224"/>
  <c r="F7" i="224"/>
  <c r="G7" i="224"/>
  <c r="H7" i="224"/>
  <c r="I7" i="224"/>
  <c r="J7" i="224"/>
  <c r="K7" i="224"/>
  <c r="L7" i="224"/>
  <c r="M7" i="224"/>
  <c r="N7" i="224"/>
  <c r="P7" i="224"/>
  <c r="Q7" i="224"/>
  <c r="R7" i="224"/>
  <c r="S7" i="224"/>
  <c r="V7" i="224"/>
  <c r="X7" i="224"/>
  <c r="Y7" i="224"/>
  <c r="Z7" i="224"/>
  <c r="AA7" i="224"/>
  <c r="AB7" i="224"/>
  <c r="D7" i="224"/>
  <c r="A8" i="224"/>
  <c r="A9" i="224" s="1"/>
  <c r="A10" i="224" s="1"/>
  <c r="A11" i="224" s="1"/>
  <c r="A12" i="224" s="1"/>
  <c r="A13" i="224" s="1"/>
  <c r="A14" i="224" s="1"/>
  <c r="A15" i="224" s="1"/>
  <c r="A16" i="224" s="1"/>
  <c r="A17" i="224" s="1"/>
  <c r="A18" i="224" s="1"/>
  <c r="A19" i="224" s="1"/>
  <c r="A20" i="224" s="1"/>
  <c r="A21" i="224" s="1"/>
  <c r="A22" i="224" s="1"/>
  <c r="A23" i="224" s="1"/>
  <c r="A24" i="224" s="1"/>
  <c r="A25" i="224" s="1"/>
  <c r="A26" i="224" s="1"/>
  <c r="A27" i="224" s="1"/>
  <c r="A28" i="224" s="1"/>
  <c r="A29" i="224" s="1"/>
  <c r="A30" i="224" s="1"/>
  <c r="A31" i="224" s="1"/>
  <c r="A32" i="224" s="1"/>
  <c r="A33" i="224" s="1"/>
  <c r="A34" i="224" s="1"/>
  <c r="A35" i="224" s="1"/>
  <c r="A36" i="224" s="1"/>
  <c r="A37" i="224" s="1"/>
  <c r="A38" i="224" s="1"/>
  <c r="A39" i="224" s="1"/>
  <c r="A40" i="224" s="1"/>
  <c r="A41" i="224" s="1"/>
  <c r="A42" i="224" s="1"/>
  <c r="A43" i="224" s="1"/>
  <c r="A44" i="224" s="1"/>
  <c r="A45" i="224" s="1"/>
  <c r="A46" i="224" s="1"/>
  <c r="A47" i="224" s="1"/>
  <c r="A48" i="224" s="1"/>
  <c r="E17" i="73"/>
  <c r="F9" i="73"/>
  <c r="F7" i="74"/>
  <c r="E13" i="72"/>
  <c r="F7" i="72"/>
  <c r="E12" i="71"/>
  <c r="F7" i="71"/>
  <c r="F5" i="71"/>
  <c r="E7" i="223"/>
  <c r="G7" i="223"/>
  <c r="H7" i="223"/>
  <c r="I7" i="223"/>
  <c r="J7" i="223"/>
  <c r="N7" i="223"/>
  <c r="Q7" i="223"/>
  <c r="R7" i="223"/>
  <c r="V7" i="223"/>
  <c r="X7" i="223"/>
  <c r="Y7" i="223"/>
  <c r="Z7" i="223"/>
  <c r="AA7" i="223"/>
  <c r="AB7" i="223"/>
  <c r="E8" i="223"/>
  <c r="G8" i="223"/>
  <c r="H8" i="223"/>
  <c r="I8" i="223"/>
  <c r="J8" i="223"/>
  <c r="N8" i="223"/>
  <c r="Q8" i="223"/>
  <c r="R8" i="223"/>
  <c r="V8" i="223"/>
  <c r="X8" i="223"/>
  <c r="Y8" i="223"/>
  <c r="Z8" i="223"/>
  <c r="AA8" i="223"/>
  <c r="AB8" i="223"/>
  <c r="E9" i="223"/>
  <c r="G9" i="223"/>
  <c r="H9" i="223"/>
  <c r="I9" i="223"/>
  <c r="J9" i="223"/>
  <c r="N9" i="223"/>
  <c r="Q9" i="223"/>
  <c r="R9" i="223"/>
  <c r="V9" i="223"/>
  <c r="X9" i="223"/>
  <c r="Y9" i="223"/>
  <c r="Z9" i="223"/>
  <c r="AA9" i="223"/>
  <c r="AB9" i="223"/>
  <c r="E10" i="223"/>
  <c r="G10" i="223"/>
  <c r="H10" i="223"/>
  <c r="I10" i="223"/>
  <c r="J10" i="223"/>
  <c r="N10" i="223"/>
  <c r="Q10" i="223"/>
  <c r="R10" i="223"/>
  <c r="V10" i="223"/>
  <c r="X10" i="223"/>
  <c r="Y10" i="223"/>
  <c r="Z10" i="223"/>
  <c r="AA10" i="223"/>
  <c r="AB10" i="223"/>
  <c r="D11" i="223"/>
  <c r="E11" i="223"/>
  <c r="G11" i="223"/>
  <c r="H11" i="223"/>
  <c r="I11" i="223"/>
  <c r="J11" i="223"/>
  <c r="N11" i="223"/>
  <c r="Q11" i="223"/>
  <c r="R11" i="223"/>
  <c r="V11" i="223"/>
  <c r="X11" i="223"/>
  <c r="Y11" i="223"/>
  <c r="Z11" i="223"/>
  <c r="AA11" i="223"/>
  <c r="AB11" i="223"/>
  <c r="D12" i="223"/>
  <c r="E12" i="223"/>
  <c r="G12" i="223"/>
  <c r="H12" i="223"/>
  <c r="I12" i="223"/>
  <c r="J12" i="223"/>
  <c r="N12" i="223"/>
  <c r="Q12" i="223"/>
  <c r="R12" i="223"/>
  <c r="W12" i="223"/>
  <c r="X12" i="223"/>
  <c r="Y12" i="223"/>
  <c r="Z12" i="223"/>
  <c r="AA12" i="223"/>
  <c r="AB12" i="223"/>
  <c r="D13" i="223"/>
  <c r="E13" i="223"/>
  <c r="G13" i="223"/>
  <c r="H13" i="223"/>
  <c r="I13" i="223"/>
  <c r="J13" i="223"/>
  <c r="N13" i="223"/>
  <c r="Q13" i="223"/>
  <c r="R13" i="223"/>
  <c r="V13" i="223"/>
  <c r="X13" i="223"/>
  <c r="Y13" i="223"/>
  <c r="Z13" i="223"/>
  <c r="AA13" i="223"/>
  <c r="AB13" i="223"/>
  <c r="E14" i="223"/>
  <c r="G14" i="223"/>
  <c r="H14" i="223"/>
  <c r="I14" i="223"/>
  <c r="J14" i="223"/>
  <c r="N14" i="223"/>
  <c r="Q14" i="223"/>
  <c r="R14" i="223"/>
  <c r="V14" i="223"/>
  <c r="X14" i="223"/>
  <c r="Y14" i="223"/>
  <c r="Z14" i="223"/>
  <c r="AA14" i="223"/>
  <c r="AB14" i="223"/>
  <c r="E15" i="223"/>
  <c r="G15" i="223"/>
  <c r="H15" i="223"/>
  <c r="I15" i="223"/>
  <c r="J15" i="223"/>
  <c r="N15" i="223"/>
  <c r="Q15" i="223"/>
  <c r="R15" i="223"/>
  <c r="V15" i="223"/>
  <c r="X15" i="223"/>
  <c r="Y15" i="223"/>
  <c r="Z15" i="223"/>
  <c r="AA15" i="223"/>
  <c r="AB15" i="223"/>
  <c r="D16" i="223"/>
  <c r="E16" i="223"/>
  <c r="G16" i="223"/>
  <c r="H16" i="223"/>
  <c r="I16" i="223"/>
  <c r="J16" i="223"/>
  <c r="N16" i="223"/>
  <c r="Q16" i="223"/>
  <c r="R16" i="223"/>
  <c r="V16" i="223"/>
  <c r="X16" i="223"/>
  <c r="Y16" i="223"/>
  <c r="Z16" i="223"/>
  <c r="AA16" i="223"/>
  <c r="AB16" i="223"/>
  <c r="D17" i="223"/>
  <c r="E17" i="223"/>
  <c r="G17" i="223"/>
  <c r="H17" i="223"/>
  <c r="I17" i="223"/>
  <c r="J17" i="223"/>
  <c r="N17" i="223"/>
  <c r="Q17" i="223"/>
  <c r="R17" i="223"/>
  <c r="V17" i="223"/>
  <c r="X17" i="223"/>
  <c r="Y17" i="223"/>
  <c r="Z17" i="223"/>
  <c r="AA17" i="223"/>
  <c r="AB17" i="223"/>
  <c r="D18" i="223"/>
  <c r="E18" i="223"/>
  <c r="G18" i="223"/>
  <c r="H18" i="223"/>
  <c r="I18" i="223"/>
  <c r="J18" i="223"/>
  <c r="N18" i="223"/>
  <c r="Q18" i="223"/>
  <c r="R18" i="223"/>
  <c r="V18" i="223"/>
  <c r="X18" i="223"/>
  <c r="Y18" i="223"/>
  <c r="Z18" i="223"/>
  <c r="AA18" i="223"/>
  <c r="AB18" i="223"/>
  <c r="D19" i="223"/>
  <c r="E19" i="223"/>
  <c r="G19" i="223"/>
  <c r="H19" i="223"/>
  <c r="I19" i="223"/>
  <c r="J19" i="223"/>
  <c r="N19" i="223"/>
  <c r="Q19" i="223"/>
  <c r="R19" i="223"/>
  <c r="V19" i="223"/>
  <c r="X19" i="223"/>
  <c r="Y19" i="223"/>
  <c r="Z19" i="223"/>
  <c r="AA19" i="223"/>
  <c r="AB19" i="223"/>
  <c r="D20" i="223"/>
  <c r="E20" i="223"/>
  <c r="G20" i="223"/>
  <c r="H20" i="223"/>
  <c r="I20" i="223"/>
  <c r="J20" i="223"/>
  <c r="N20" i="223"/>
  <c r="Q20" i="223"/>
  <c r="R20" i="223"/>
  <c r="V20" i="223"/>
  <c r="X20" i="223"/>
  <c r="Y20" i="223"/>
  <c r="Z20" i="223"/>
  <c r="AA20" i="223"/>
  <c r="AB20" i="223"/>
  <c r="D21" i="223"/>
  <c r="E21" i="223"/>
  <c r="G21" i="223"/>
  <c r="H21" i="223"/>
  <c r="I21" i="223"/>
  <c r="J21" i="223"/>
  <c r="N21" i="223"/>
  <c r="Q21" i="223"/>
  <c r="R21" i="223"/>
  <c r="V21" i="223"/>
  <c r="X21" i="223"/>
  <c r="Y21" i="223"/>
  <c r="Z21" i="223"/>
  <c r="AA21" i="223"/>
  <c r="AB21" i="223"/>
  <c r="D22" i="223"/>
  <c r="E22" i="223"/>
  <c r="G22" i="223"/>
  <c r="H22" i="223"/>
  <c r="I22" i="223"/>
  <c r="J22" i="223"/>
  <c r="N22" i="223"/>
  <c r="Q22" i="223"/>
  <c r="R22" i="223"/>
  <c r="W22" i="223"/>
  <c r="X22" i="223"/>
  <c r="Y22" i="223"/>
  <c r="Z22" i="223"/>
  <c r="AA22" i="223"/>
  <c r="AB22" i="223"/>
  <c r="E23" i="223"/>
  <c r="G23" i="223"/>
  <c r="H23" i="223"/>
  <c r="I23" i="223"/>
  <c r="J23" i="223"/>
  <c r="N23" i="223"/>
  <c r="Q23" i="223"/>
  <c r="R23" i="223"/>
  <c r="V23" i="223"/>
  <c r="X23" i="223"/>
  <c r="Y23" i="223"/>
  <c r="Z23" i="223"/>
  <c r="AA23" i="223"/>
  <c r="AB23" i="223"/>
  <c r="D24" i="223"/>
  <c r="E24" i="223"/>
  <c r="G24" i="223"/>
  <c r="H24" i="223"/>
  <c r="I24" i="223"/>
  <c r="J24" i="223"/>
  <c r="N24" i="223"/>
  <c r="Q24" i="223"/>
  <c r="R24" i="223"/>
  <c r="V24" i="223"/>
  <c r="X24" i="223"/>
  <c r="Y24" i="223"/>
  <c r="Z24" i="223"/>
  <c r="AA24" i="223"/>
  <c r="AB24" i="223"/>
  <c r="D25" i="223"/>
  <c r="E25" i="223"/>
  <c r="G25" i="223"/>
  <c r="H25" i="223"/>
  <c r="I25" i="223"/>
  <c r="J25" i="223"/>
  <c r="N25" i="223"/>
  <c r="Q25" i="223"/>
  <c r="R25" i="223"/>
  <c r="V25" i="223"/>
  <c r="X25" i="223"/>
  <c r="Y25" i="223"/>
  <c r="Z25" i="223"/>
  <c r="AA25" i="223"/>
  <c r="AB25" i="223"/>
  <c r="D26" i="223"/>
  <c r="E26" i="223"/>
  <c r="G26" i="223"/>
  <c r="H26" i="223"/>
  <c r="I26" i="223"/>
  <c r="J26" i="223"/>
  <c r="N26" i="223"/>
  <c r="Q26" i="223"/>
  <c r="R26" i="223"/>
  <c r="V26" i="223"/>
  <c r="X26" i="223"/>
  <c r="Y26" i="223"/>
  <c r="Z26" i="223"/>
  <c r="AA26" i="223"/>
  <c r="AB26" i="223"/>
  <c r="D27" i="223"/>
  <c r="E27" i="223"/>
  <c r="G27" i="223"/>
  <c r="H27" i="223"/>
  <c r="I27" i="223"/>
  <c r="J27" i="223"/>
  <c r="N27" i="223"/>
  <c r="Q27" i="223"/>
  <c r="R27" i="223"/>
  <c r="V27" i="223"/>
  <c r="X27" i="223"/>
  <c r="Y27" i="223"/>
  <c r="Z27" i="223"/>
  <c r="AA27" i="223"/>
  <c r="AB27" i="223"/>
  <c r="D28" i="223"/>
  <c r="E28" i="223"/>
  <c r="G28" i="223"/>
  <c r="H28" i="223"/>
  <c r="I28" i="223"/>
  <c r="J28" i="223"/>
  <c r="N28" i="223"/>
  <c r="Q28" i="223"/>
  <c r="R28" i="223"/>
  <c r="W28" i="223"/>
  <c r="X28" i="223"/>
  <c r="Y28" i="223"/>
  <c r="Z28" i="223"/>
  <c r="AA28" i="223"/>
  <c r="AB28" i="223"/>
  <c r="D29" i="223"/>
  <c r="E29" i="223"/>
  <c r="G29" i="223"/>
  <c r="H29" i="223"/>
  <c r="I29" i="223"/>
  <c r="J29" i="223"/>
  <c r="N29" i="223"/>
  <c r="Q29" i="223"/>
  <c r="R29" i="223"/>
  <c r="V29" i="223"/>
  <c r="X29" i="223"/>
  <c r="Y29" i="223"/>
  <c r="Z29" i="223"/>
  <c r="AA29" i="223"/>
  <c r="AB29" i="223"/>
  <c r="D30" i="223"/>
  <c r="E30" i="223"/>
  <c r="G30" i="223"/>
  <c r="H30" i="223"/>
  <c r="I30" i="223"/>
  <c r="J30" i="223"/>
  <c r="Q30" i="223"/>
  <c r="R30" i="223"/>
  <c r="W30" i="223"/>
  <c r="X30" i="223"/>
  <c r="Y30" i="223"/>
  <c r="Z30" i="223"/>
  <c r="AA30" i="223"/>
  <c r="AB30" i="223"/>
  <c r="D31" i="223"/>
  <c r="E31" i="223"/>
  <c r="G31" i="223"/>
  <c r="H31" i="223"/>
  <c r="I31" i="223"/>
  <c r="J31" i="223"/>
  <c r="N31" i="223"/>
  <c r="Q31" i="223"/>
  <c r="R31" i="223"/>
  <c r="V31" i="223"/>
  <c r="X31" i="223"/>
  <c r="Y31" i="223"/>
  <c r="Z31" i="223"/>
  <c r="AA31" i="223"/>
  <c r="AB31" i="223"/>
  <c r="D32" i="223"/>
  <c r="E32" i="223"/>
  <c r="G32" i="223"/>
  <c r="H32" i="223"/>
  <c r="I32" i="223"/>
  <c r="J32" i="223"/>
  <c r="N32" i="223"/>
  <c r="Q32" i="223"/>
  <c r="R32" i="223"/>
  <c r="V32" i="223"/>
  <c r="X32" i="223"/>
  <c r="Y32" i="223"/>
  <c r="Z32" i="223"/>
  <c r="AA32" i="223"/>
  <c r="AB32" i="223"/>
  <c r="D33" i="223"/>
  <c r="E33" i="223"/>
  <c r="G33" i="223"/>
  <c r="H33" i="223"/>
  <c r="I33" i="223"/>
  <c r="J33" i="223"/>
  <c r="N33" i="223"/>
  <c r="Q33" i="223"/>
  <c r="R33" i="223"/>
  <c r="W33" i="223"/>
  <c r="X33" i="223"/>
  <c r="Y33" i="223"/>
  <c r="Z33" i="223"/>
  <c r="AA33" i="223"/>
  <c r="AB33" i="223"/>
  <c r="D34" i="223"/>
  <c r="E34" i="223"/>
  <c r="G34" i="223"/>
  <c r="H34" i="223"/>
  <c r="I34" i="223"/>
  <c r="J34" i="223"/>
  <c r="N34" i="223"/>
  <c r="Q34" i="223"/>
  <c r="R34" i="223"/>
  <c r="V34" i="223"/>
  <c r="X34" i="223"/>
  <c r="Y34" i="223"/>
  <c r="Z34" i="223"/>
  <c r="AA34" i="223"/>
  <c r="AB34" i="223"/>
  <c r="D35" i="223"/>
  <c r="E35" i="223"/>
  <c r="G35" i="223"/>
  <c r="H35" i="223"/>
  <c r="I35" i="223"/>
  <c r="J35" i="223"/>
  <c r="N35" i="223"/>
  <c r="Q35" i="223"/>
  <c r="R35" i="223"/>
  <c r="W35" i="223"/>
  <c r="X35" i="223"/>
  <c r="Y35" i="223"/>
  <c r="Z35" i="223"/>
  <c r="AA35" i="223"/>
  <c r="AB35" i="223"/>
  <c r="D36" i="223"/>
  <c r="E36" i="223"/>
  <c r="G36" i="223"/>
  <c r="H36" i="223"/>
  <c r="I36" i="223"/>
  <c r="J36" i="223"/>
  <c r="N36" i="223"/>
  <c r="Q36" i="223"/>
  <c r="R36" i="223"/>
  <c r="V36" i="223"/>
  <c r="X36" i="223"/>
  <c r="Y36" i="223"/>
  <c r="Z36" i="223"/>
  <c r="AA36" i="223"/>
  <c r="AB36" i="223"/>
  <c r="D37" i="223"/>
  <c r="E37" i="223"/>
  <c r="G37" i="223"/>
  <c r="H37" i="223"/>
  <c r="I37" i="223"/>
  <c r="J37" i="223"/>
  <c r="N37" i="223"/>
  <c r="Q37" i="223"/>
  <c r="R37" i="223"/>
  <c r="W37" i="223"/>
  <c r="X37" i="223"/>
  <c r="Y37" i="223"/>
  <c r="Z37" i="223"/>
  <c r="AA37" i="223"/>
  <c r="AB37" i="223"/>
  <c r="E38" i="223"/>
  <c r="G38" i="223"/>
  <c r="H38" i="223"/>
  <c r="I38" i="223"/>
  <c r="J38" i="223"/>
  <c r="N38" i="223"/>
  <c r="Q38" i="223"/>
  <c r="R38" i="223"/>
  <c r="V38" i="223"/>
  <c r="X38" i="223"/>
  <c r="Y38" i="223"/>
  <c r="Z38" i="223"/>
  <c r="AA38" i="223"/>
  <c r="AB38" i="223"/>
  <c r="E39" i="223"/>
  <c r="G39" i="223"/>
  <c r="H39" i="223"/>
  <c r="I39" i="223"/>
  <c r="J39" i="223"/>
  <c r="Q39" i="223"/>
  <c r="R39" i="223"/>
  <c r="V39" i="223"/>
  <c r="X39" i="223"/>
  <c r="Y39" i="223"/>
  <c r="Z39" i="223"/>
  <c r="AA39" i="223"/>
  <c r="AB39" i="223"/>
  <c r="D40" i="223"/>
  <c r="E40" i="223"/>
  <c r="G40" i="223"/>
  <c r="H40" i="223"/>
  <c r="I40" i="223"/>
  <c r="J40" i="223"/>
  <c r="N40" i="223"/>
  <c r="Q40" i="223"/>
  <c r="R40" i="223"/>
  <c r="W40" i="223"/>
  <c r="X40" i="223"/>
  <c r="Y40" i="223"/>
  <c r="Z40" i="223"/>
  <c r="AA40" i="223"/>
  <c r="AB40" i="223"/>
  <c r="D41" i="223"/>
  <c r="E41" i="223"/>
  <c r="G41" i="223"/>
  <c r="H41" i="223"/>
  <c r="I41" i="223"/>
  <c r="J41" i="223"/>
  <c r="N41" i="223"/>
  <c r="Q41" i="223"/>
  <c r="R41" i="223"/>
  <c r="V41" i="223"/>
  <c r="X41" i="223"/>
  <c r="Y41" i="223"/>
  <c r="Z41" i="223"/>
  <c r="AA41" i="223"/>
  <c r="AB41" i="223"/>
  <c r="E42" i="223"/>
  <c r="G42" i="223"/>
  <c r="H42" i="223"/>
  <c r="I42" i="223"/>
  <c r="J42" i="223"/>
  <c r="N42" i="223"/>
  <c r="Q42" i="223"/>
  <c r="R42" i="223"/>
  <c r="V42" i="223"/>
  <c r="X42" i="223"/>
  <c r="Y42" i="223"/>
  <c r="Z42" i="223"/>
  <c r="AA42" i="223"/>
  <c r="AB42" i="223"/>
  <c r="D43" i="223"/>
  <c r="E43" i="223"/>
  <c r="G43" i="223"/>
  <c r="H43" i="223"/>
  <c r="I43" i="223"/>
  <c r="J43" i="223"/>
  <c r="N43" i="223"/>
  <c r="Q43" i="223"/>
  <c r="R43" i="223"/>
  <c r="V43" i="223"/>
  <c r="X43" i="223"/>
  <c r="Y43" i="223"/>
  <c r="Z43" i="223"/>
  <c r="AA43" i="223"/>
  <c r="AB43" i="223"/>
  <c r="D44" i="223"/>
  <c r="E44" i="223"/>
  <c r="G44" i="223"/>
  <c r="H44" i="223"/>
  <c r="I44" i="223"/>
  <c r="J44" i="223"/>
  <c r="N44" i="223"/>
  <c r="Q44" i="223"/>
  <c r="R44" i="223"/>
  <c r="W44" i="223"/>
  <c r="X44" i="223"/>
  <c r="Y44" i="223"/>
  <c r="Z44" i="223"/>
  <c r="AA44" i="223"/>
  <c r="AB44" i="223"/>
  <c r="D45" i="223"/>
  <c r="E45" i="223"/>
  <c r="G45" i="223"/>
  <c r="H45" i="223"/>
  <c r="I45" i="223"/>
  <c r="J45" i="223"/>
  <c r="N45" i="223"/>
  <c r="Q45" i="223"/>
  <c r="R45" i="223"/>
  <c r="V45" i="223"/>
  <c r="X45" i="223"/>
  <c r="Y45" i="223"/>
  <c r="Z45" i="223"/>
  <c r="AA45" i="223"/>
  <c r="AB45" i="223"/>
  <c r="D46" i="223"/>
  <c r="E46" i="223"/>
  <c r="G46" i="223"/>
  <c r="H46" i="223"/>
  <c r="I46" i="223"/>
  <c r="J46" i="223"/>
  <c r="N46" i="223"/>
  <c r="Q46" i="223"/>
  <c r="R46" i="223"/>
  <c r="V46" i="223"/>
  <c r="X46" i="223"/>
  <c r="Y46" i="223"/>
  <c r="Z46" i="223"/>
  <c r="AA46" i="223"/>
  <c r="AB46" i="223"/>
  <c r="D47" i="223"/>
  <c r="E47" i="223"/>
  <c r="G47" i="223"/>
  <c r="H47" i="223"/>
  <c r="I47" i="223"/>
  <c r="J47" i="223"/>
  <c r="N47" i="223"/>
  <c r="Q47" i="223"/>
  <c r="R47" i="223"/>
  <c r="V47" i="223"/>
  <c r="X47" i="223"/>
  <c r="Y47" i="223"/>
  <c r="Z47" i="223"/>
  <c r="AA47" i="223"/>
  <c r="AB47" i="223"/>
  <c r="D48" i="223"/>
  <c r="E48" i="223"/>
  <c r="G48" i="223"/>
  <c r="H48" i="223"/>
  <c r="I48" i="223"/>
  <c r="J48" i="223"/>
  <c r="N48" i="223"/>
  <c r="Q48" i="223"/>
  <c r="R48" i="223"/>
  <c r="V48" i="223"/>
  <c r="X48" i="223"/>
  <c r="Y48" i="223"/>
  <c r="Z48" i="223"/>
  <c r="AA48" i="223"/>
  <c r="AB48" i="223"/>
  <c r="D49" i="223"/>
  <c r="E49" i="223"/>
  <c r="G49" i="223"/>
  <c r="H49" i="223"/>
  <c r="I49" i="223"/>
  <c r="J49" i="223"/>
  <c r="Q49" i="223"/>
  <c r="R49" i="223"/>
  <c r="V49" i="223"/>
  <c r="X49" i="223"/>
  <c r="Y49" i="223"/>
  <c r="Z49" i="223"/>
  <c r="AA49" i="223"/>
  <c r="AB49" i="223"/>
  <c r="D50" i="223"/>
  <c r="E50" i="223"/>
  <c r="G50" i="223"/>
  <c r="H50" i="223"/>
  <c r="I50" i="223"/>
  <c r="J50" i="223"/>
  <c r="N50" i="223"/>
  <c r="Q50" i="223"/>
  <c r="R50" i="223"/>
  <c r="X50" i="223"/>
  <c r="Y50" i="223"/>
  <c r="Z50" i="223"/>
  <c r="AA50" i="223"/>
  <c r="AB50" i="223"/>
  <c r="D51" i="223"/>
  <c r="E51" i="223"/>
  <c r="G51" i="223"/>
  <c r="H51" i="223"/>
  <c r="I51" i="223"/>
  <c r="J51" i="223"/>
  <c r="N51" i="223"/>
  <c r="Q51" i="223"/>
  <c r="R51" i="223"/>
  <c r="V51" i="223"/>
  <c r="X51" i="223"/>
  <c r="Y51" i="223"/>
  <c r="Z51" i="223"/>
  <c r="AA51" i="223"/>
  <c r="AB51" i="223"/>
  <c r="D52" i="223"/>
  <c r="E52" i="223"/>
  <c r="G52" i="223"/>
  <c r="H52" i="223"/>
  <c r="I52" i="223"/>
  <c r="J52" i="223"/>
  <c r="N52" i="223"/>
  <c r="Q52" i="223"/>
  <c r="R52" i="223"/>
  <c r="X52" i="223"/>
  <c r="Y52" i="223"/>
  <c r="Z52" i="223"/>
  <c r="AA52" i="223"/>
  <c r="AB52" i="223"/>
  <c r="D53" i="223"/>
  <c r="E53" i="223"/>
  <c r="G53" i="223"/>
  <c r="H53" i="223"/>
  <c r="I53" i="223"/>
  <c r="J53" i="223"/>
  <c r="N53" i="223"/>
  <c r="Q53" i="223"/>
  <c r="R53" i="223"/>
  <c r="V53" i="223"/>
  <c r="X53" i="223"/>
  <c r="Y53" i="223"/>
  <c r="Z53" i="223"/>
  <c r="AA53" i="223"/>
  <c r="AB53" i="223"/>
  <c r="D54" i="223"/>
  <c r="E54" i="223"/>
  <c r="G54" i="223"/>
  <c r="H54" i="223"/>
  <c r="I54" i="223"/>
  <c r="J54" i="223"/>
  <c r="N54" i="223"/>
  <c r="Q54" i="223"/>
  <c r="R54" i="223"/>
  <c r="X54" i="223"/>
  <c r="Y54" i="223"/>
  <c r="Z54" i="223"/>
  <c r="AA54" i="223"/>
  <c r="AB54" i="223"/>
  <c r="D55" i="223"/>
  <c r="E55" i="223"/>
  <c r="G55" i="223"/>
  <c r="H55" i="223"/>
  <c r="I55" i="223"/>
  <c r="J55" i="223"/>
  <c r="N55" i="223"/>
  <c r="Q55" i="223"/>
  <c r="R55" i="223"/>
  <c r="X55" i="223"/>
  <c r="Y55" i="223"/>
  <c r="Z55" i="223"/>
  <c r="AA55" i="223"/>
  <c r="AB55" i="223"/>
  <c r="D56" i="223"/>
  <c r="E56" i="223"/>
  <c r="G56" i="223"/>
  <c r="H56" i="223"/>
  <c r="I56" i="223"/>
  <c r="J56" i="223"/>
  <c r="N56" i="223"/>
  <c r="Q56" i="223"/>
  <c r="R56" i="223"/>
  <c r="X56" i="223"/>
  <c r="Y56" i="223"/>
  <c r="Z56" i="223"/>
  <c r="AA56" i="223"/>
  <c r="AB56" i="223"/>
  <c r="D57" i="223"/>
  <c r="E57" i="223"/>
  <c r="G57" i="223"/>
  <c r="H57" i="223"/>
  <c r="I57" i="223"/>
  <c r="J57" i="223"/>
  <c r="N57" i="223"/>
  <c r="Q57" i="223"/>
  <c r="R57" i="223"/>
  <c r="X57" i="223"/>
  <c r="Y57" i="223"/>
  <c r="Z57" i="223"/>
  <c r="AA57" i="223"/>
  <c r="AB57" i="223"/>
  <c r="D58" i="223"/>
  <c r="E58" i="223"/>
  <c r="G58" i="223"/>
  <c r="H58" i="223"/>
  <c r="I58" i="223"/>
  <c r="J58" i="223"/>
  <c r="N58" i="223"/>
  <c r="Q58" i="223"/>
  <c r="R58" i="223"/>
  <c r="X58" i="223"/>
  <c r="Y58" i="223"/>
  <c r="Z58" i="223"/>
  <c r="AA58" i="223"/>
  <c r="AB58" i="223"/>
  <c r="D59" i="223"/>
  <c r="E59" i="223"/>
  <c r="G59" i="223"/>
  <c r="H59" i="223"/>
  <c r="I59" i="223"/>
  <c r="J59" i="223"/>
  <c r="N59" i="223"/>
  <c r="Q59" i="223"/>
  <c r="R59" i="223"/>
  <c r="X59" i="223"/>
  <c r="Y59" i="223"/>
  <c r="Z59" i="223"/>
  <c r="AA59" i="223"/>
  <c r="AB59" i="223"/>
  <c r="D60" i="223"/>
  <c r="E60" i="223"/>
  <c r="G60" i="223"/>
  <c r="H60" i="223"/>
  <c r="I60" i="223"/>
  <c r="J60" i="223"/>
  <c r="N60" i="223"/>
  <c r="Q60" i="223"/>
  <c r="R60" i="223"/>
  <c r="W60" i="223"/>
  <c r="X60" i="223"/>
  <c r="Y60" i="223"/>
  <c r="Z60" i="223"/>
  <c r="AA60" i="223"/>
  <c r="AB60" i="223"/>
  <c r="D61" i="223"/>
  <c r="E61" i="223"/>
  <c r="G61" i="223"/>
  <c r="H61" i="223"/>
  <c r="I61" i="223"/>
  <c r="J61" i="223"/>
  <c r="N61" i="223"/>
  <c r="Q61" i="223"/>
  <c r="R61" i="223"/>
  <c r="W61" i="223"/>
  <c r="X61" i="223"/>
  <c r="Y61" i="223"/>
  <c r="Z61" i="223"/>
  <c r="AA61" i="223"/>
  <c r="AB61" i="223"/>
  <c r="D62" i="223"/>
  <c r="E62" i="223"/>
  <c r="G62" i="223"/>
  <c r="H62" i="223"/>
  <c r="I62" i="223"/>
  <c r="J62" i="223"/>
  <c r="Q62" i="223"/>
  <c r="R62" i="223"/>
  <c r="W62" i="223"/>
  <c r="X62" i="223"/>
  <c r="Y62" i="223"/>
  <c r="Z62" i="223"/>
  <c r="AA62" i="223"/>
  <c r="AB62" i="223"/>
  <c r="E63" i="223"/>
  <c r="G63" i="223"/>
  <c r="H63" i="223"/>
  <c r="I63" i="223"/>
  <c r="J63" i="223"/>
  <c r="Q63" i="223"/>
  <c r="R63" i="223"/>
  <c r="W63" i="223"/>
  <c r="X63" i="223"/>
  <c r="Y63" i="223"/>
  <c r="Z63" i="223"/>
  <c r="AA63" i="223"/>
  <c r="AB63" i="223"/>
  <c r="D64" i="223"/>
  <c r="E64" i="223"/>
  <c r="G64" i="223"/>
  <c r="H64" i="223"/>
  <c r="I64" i="223"/>
  <c r="J64" i="223"/>
  <c r="Q64" i="223"/>
  <c r="R64" i="223"/>
  <c r="W64" i="223"/>
  <c r="X64" i="223"/>
  <c r="Y64" i="223"/>
  <c r="Z64" i="223"/>
  <c r="AA64" i="223"/>
  <c r="AB64" i="223"/>
  <c r="E6" i="223"/>
  <c r="G6" i="223"/>
  <c r="H6" i="223"/>
  <c r="I6" i="223"/>
  <c r="J6" i="223"/>
  <c r="N6" i="223"/>
  <c r="Q6" i="223"/>
  <c r="R6" i="223"/>
  <c r="W6" i="223"/>
  <c r="X6" i="223"/>
  <c r="Y6" i="223"/>
  <c r="Z6" i="223"/>
  <c r="AA6" i="223"/>
  <c r="AB6" i="223"/>
  <c r="D6" i="223"/>
  <c r="A7" i="223"/>
  <c r="A8" i="223" s="1"/>
  <c r="A9" i="223" s="1"/>
  <c r="A10" i="223" s="1"/>
  <c r="A11" i="223" s="1"/>
  <c r="A12" i="223" s="1"/>
  <c r="A13" i="223" s="1"/>
  <c r="A14" i="223" s="1"/>
  <c r="A15" i="223" s="1"/>
  <c r="A16" i="223" s="1"/>
  <c r="A17" i="223" s="1"/>
  <c r="A18" i="223" s="1"/>
  <c r="A19" i="223" s="1"/>
  <c r="A20" i="223" s="1"/>
  <c r="A21" i="223" s="1"/>
  <c r="A22" i="223" s="1"/>
  <c r="A23" i="223" s="1"/>
  <c r="A24" i="223" s="1"/>
  <c r="A25" i="223" s="1"/>
  <c r="A26" i="223" s="1"/>
  <c r="A27" i="223" s="1"/>
  <c r="A28" i="223" s="1"/>
  <c r="A29" i="223" s="1"/>
  <c r="A30" i="223" s="1"/>
  <c r="A31" i="223" s="1"/>
  <c r="A32" i="223" s="1"/>
  <c r="A33" i="223" s="1"/>
  <c r="A34" i="223" s="1"/>
  <c r="A35" i="223" s="1"/>
  <c r="A36" i="223" s="1"/>
  <c r="A37" i="223" s="1"/>
  <c r="A38" i="223" s="1"/>
  <c r="A39" i="223" s="1"/>
  <c r="A40" i="223" s="1"/>
  <c r="A41" i="223" s="1"/>
  <c r="A42" i="223" s="1"/>
  <c r="A43" i="223" s="1"/>
  <c r="A44" i="223" s="1"/>
  <c r="A45" i="223" s="1"/>
  <c r="A46" i="223" s="1"/>
  <c r="A47" i="223" s="1"/>
  <c r="A48" i="223" s="1"/>
  <c r="A49" i="223" s="1"/>
  <c r="A50" i="223" s="1"/>
  <c r="A51" i="223" s="1"/>
  <c r="A52" i="223" s="1"/>
  <c r="A53" i="223" s="1"/>
  <c r="A54" i="223" s="1"/>
  <c r="A55" i="223" s="1"/>
  <c r="A56" i="223" s="1"/>
  <c r="A57" i="223" s="1"/>
  <c r="A58" i="223" s="1"/>
  <c r="A59" i="223" s="1"/>
  <c r="A60" i="223" s="1"/>
  <c r="A61" i="223" s="1"/>
  <c r="A62" i="223" s="1"/>
  <c r="A63" i="223" s="1"/>
  <c r="A65" i="223" s="1"/>
  <c r="X65" i="223" l="1"/>
  <c r="E65" i="223"/>
  <c r="H65" i="223"/>
  <c r="Y65" i="223"/>
  <c r="Z65" i="223"/>
  <c r="R65" i="223"/>
  <c r="J65" i="223"/>
  <c r="E48" i="224"/>
  <c r="D48" i="224"/>
  <c r="S48" i="224"/>
  <c r="K48" i="224"/>
  <c r="L49" i="224" s="1"/>
  <c r="R48" i="224"/>
  <c r="Y48" i="224"/>
  <c r="X48" i="224"/>
  <c r="G48" i="224"/>
  <c r="N48" i="224"/>
  <c r="Q65" i="223"/>
  <c r="I65" i="223"/>
  <c r="G65" i="223"/>
  <c r="L110" i="222"/>
  <c r="M110" i="222"/>
  <c r="N110" i="222"/>
  <c r="O110" i="222"/>
  <c r="P110" i="222"/>
  <c r="Q110" i="222"/>
  <c r="R110" i="222"/>
  <c r="S110" i="222"/>
  <c r="T110" i="222"/>
  <c r="U110" i="222"/>
  <c r="V110" i="222"/>
  <c r="W110" i="222"/>
  <c r="X110" i="222"/>
  <c r="Y110" i="222"/>
  <c r="Z110" i="222"/>
  <c r="AA110" i="222"/>
  <c r="AB110" i="222"/>
  <c r="L111" i="222"/>
  <c r="M111" i="222"/>
  <c r="N111" i="222"/>
  <c r="O111" i="222"/>
  <c r="P111" i="222"/>
  <c r="Q111" i="222"/>
  <c r="R111" i="222"/>
  <c r="S111" i="222"/>
  <c r="T111" i="222"/>
  <c r="U111" i="222"/>
  <c r="V111" i="222"/>
  <c r="W111" i="222"/>
  <c r="X111" i="222"/>
  <c r="Y111" i="222"/>
  <c r="Z111" i="222"/>
  <c r="AA111" i="222"/>
  <c r="AB111" i="222"/>
  <c r="L112" i="222"/>
  <c r="M112" i="222"/>
  <c r="N112" i="222"/>
  <c r="P112" i="222"/>
  <c r="Q112" i="222"/>
  <c r="R112" i="222"/>
  <c r="S112" i="222"/>
  <c r="T112" i="222"/>
  <c r="U112" i="222"/>
  <c r="V112" i="222"/>
  <c r="W112" i="222"/>
  <c r="X112" i="222"/>
  <c r="Y112" i="222"/>
  <c r="Z112" i="222"/>
  <c r="AA112" i="222"/>
  <c r="AB112" i="222"/>
  <c r="L113" i="222"/>
  <c r="M113" i="222"/>
  <c r="N113" i="222"/>
  <c r="P113" i="222"/>
  <c r="Q113" i="222"/>
  <c r="R113" i="222"/>
  <c r="S113" i="222"/>
  <c r="T113" i="222"/>
  <c r="U113" i="222"/>
  <c r="V113" i="222"/>
  <c r="W113" i="222"/>
  <c r="X113" i="222"/>
  <c r="Y113" i="222"/>
  <c r="Z113" i="222"/>
  <c r="AA113" i="222"/>
  <c r="AB113" i="222"/>
  <c r="L114" i="222"/>
  <c r="M114" i="222"/>
  <c r="N114" i="222"/>
  <c r="O114" i="222"/>
  <c r="P114" i="222"/>
  <c r="Q114" i="222"/>
  <c r="R114" i="222"/>
  <c r="S114" i="222"/>
  <c r="T114" i="222"/>
  <c r="U114" i="222"/>
  <c r="V114" i="222"/>
  <c r="W114" i="222"/>
  <c r="X114" i="222"/>
  <c r="Y114" i="222"/>
  <c r="Z114" i="222"/>
  <c r="AA114" i="222"/>
  <c r="AB114" i="222"/>
  <c r="L115" i="222"/>
  <c r="M115" i="222"/>
  <c r="N115" i="222"/>
  <c r="P115" i="222"/>
  <c r="Q115" i="222"/>
  <c r="R115" i="222"/>
  <c r="S115" i="222"/>
  <c r="T115" i="222"/>
  <c r="V115" i="222"/>
  <c r="W115" i="222"/>
  <c r="X115" i="222"/>
  <c r="Z115" i="222"/>
  <c r="AA115" i="222"/>
  <c r="AB115" i="222"/>
  <c r="L116" i="222"/>
  <c r="M116" i="222"/>
  <c r="N116" i="222"/>
  <c r="O116" i="222"/>
  <c r="P116" i="222"/>
  <c r="Q116" i="222"/>
  <c r="R116" i="222"/>
  <c r="S116" i="222"/>
  <c r="T116" i="222"/>
  <c r="U116" i="222"/>
  <c r="V116" i="222"/>
  <c r="W116" i="222"/>
  <c r="X116" i="222"/>
  <c r="Y116" i="222"/>
  <c r="Z116" i="222"/>
  <c r="AA116" i="222"/>
  <c r="AB116" i="222"/>
  <c r="L117" i="222"/>
  <c r="M117" i="222"/>
  <c r="N117" i="222"/>
  <c r="P117" i="222"/>
  <c r="Q117" i="222"/>
  <c r="R117" i="222"/>
  <c r="S117" i="222"/>
  <c r="T117" i="222"/>
  <c r="W117" i="222"/>
  <c r="X117" i="222"/>
  <c r="Z117" i="222"/>
  <c r="AA117" i="222"/>
  <c r="AB117" i="222"/>
  <c r="L118" i="222"/>
  <c r="M118" i="222"/>
  <c r="N118" i="222"/>
  <c r="O118" i="222"/>
  <c r="P118" i="222"/>
  <c r="Q118" i="222"/>
  <c r="R118" i="222"/>
  <c r="S118" i="222"/>
  <c r="T118" i="222"/>
  <c r="U118" i="222"/>
  <c r="V118" i="222"/>
  <c r="W118" i="222"/>
  <c r="X118" i="222"/>
  <c r="Y118" i="222"/>
  <c r="Z118" i="222"/>
  <c r="AA118" i="222"/>
  <c r="AB118" i="222"/>
  <c r="L119" i="222"/>
  <c r="M119" i="222"/>
  <c r="N119" i="222"/>
  <c r="O119" i="222"/>
  <c r="P119" i="222"/>
  <c r="Q119" i="222"/>
  <c r="R119" i="222"/>
  <c r="S119" i="222"/>
  <c r="T119" i="222"/>
  <c r="U119" i="222"/>
  <c r="V119" i="222"/>
  <c r="W119" i="222"/>
  <c r="X119" i="222"/>
  <c r="Y119" i="222"/>
  <c r="Z119" i="222"/>
  <c r="AA119" i="222"/>
  <c r="AB119" i="222"/>
  <c r="L120" i="222"/>
  <c r="M120" i="222"/>
  <c r="N120" i="222"/>
  <c r="O120" i="222"/>
  <c r="P120" i="222"/>
  <c r="Q120" i="222"/>
  <c r="R120" i="222"/>
  <c r="S120" i="222"/>
  <c r="T120" i="222"/>
  <c r="U120" i="222"/>
  <c r="V120" i="222"/>
  <c r="W120" i="222"/>
  <c r="X120" i="222"/>
  <c r="Y120" i="222"/>
  <c r="Z120" i="222"/>
  <c r="AA120" i="222"/>
  <c r="AB120" i="222"/>
  <c r="L121" i="222"/>
  <c r="M121" i="222"/>
  <c r="N121" i="222"/>
  <c r="O121" i="222"/>
  <c r="P121" i="222"/>
  <c r="Q121" i="222"/>
  <c r="R121" i="222"/>
  <c r="S121" i="222"/>
  <c r="T121" i="222"/>
  <c r="U121" i="222"/>
  <c r="V121" i="222"/>
  <c r="W121" i="222"/>
  <c r="X121" i="222"/>
  <c r="Y121" i="222"/>
  <c r="Z121" i="222"/>
  <c r="AA121" i="222"/>
  <c r="AB121" i="222"/>
  <c r="L122" i="222"/>
  <c r="M122" i="222"/>
  <c r="N122" i="222"/>
  <c r="O122" i="222"/>
  <c r="P122" i="222"/>
  <c r="Q122" i="222"/>
  <c r="R122" i="222"/>
  <c r="S122" i="222"/>
  <c r="T122" i="222"/>
  <c r="U122" i="222"/>
  <c r="V122" i="222"/>
  <c r="W122" i="222"/>
  <c r="X122" i="222"/>
  <c r="Y122" i="222"/>
  <c r="Z122" i="222"/>
  <c r="AA122" i="222"/>
  <c r="AB122" i="222"/>
  <c r="L123" i="222"/>
  <c r="M123" i="222"/>
  <c r="N123" i="222"/>
  <c r="O123" i="222"/>
  <c r="P123" i="222"/>
  <c r="Q123" i="222"/>
  <c r="R123" i="222"/>
  <c r="S123" i="222"/>
  <c r="T123" i="222"/>
  <c r="U123" i="222"/>
  <c r="V123" i="222"/>
  <c r="W123" i="222"/>
  <c r="X123" i="222"/>
  <c r="Y123" i="222"/>
  <c r="Z123" i="222"/>
  <c r="AA123" i="222"/>
  <c r="AB123" i="222"/>
  <c r="E109" i="222"/>
  <c r="E124" i="222" s="1"/>
  <c r="F109" i="222"/>
  <c r="G109" i="222"/>
  <c r="H109" i="222"/>
  <c r="I109" i="222"/>
  <c r="I124" i="222" s="1"/>
  <c r="J109" i="222"/>
  <c r="K109" i="222"/>
  <c r="L109" i="222"/>
  <c r="M109" i="222"/>
  <c r="N109" i="222"/>
  <c r="O109" i="222"/>
  <c r="P109" i="222"/>
  <c r="Q109" i="222"/>
  <c r="R109" i="222"/>
  <c r="S109" i="222"/>
  <c r="T109" i="222"/>
  <c r="U109" i="222"/>
  <c r="V109" i="222"/>
  <c r="W109" i="222"/>
  <c r="X109" i="222"/>
  <c r="Y109" i="222"/>
  <c r="Z109" i="222"/>
  <c r="AA109" i="222"/>
  <c r="AB109" i="222"/>
  <c r="D7" i="222"/>
  <c r="E7" i="222"/>
  <c r="F7" i="222"/>
  <c r="G7" i="222"/>
  <c r="H7" i="222"/>
  <c r="I7" i="222"/>
  <c r="J7" i="222"/>
  <c r="K7" i="222"/>
  <c r="L7" i="222"/>
  <c r="M7" i="222"/>
  <c r="N7" i="222"/>
  <c r="O7" i="222"/>
  <c r="P7" i="222"/>
  <c r="Q7" i="222"/>
  <c r="R7" i="222"/>
  <c r="S7" i="222"/>
  <c r="T7" i="222"/>
  <c r="U7" i="222"/>
  <c r="V7" i="222"/>
  <c r="W7" i="222"/>
  <c r="X7" i="222"/>
  <c r="Y7" i="222"/>
  <c r="Z7" i="222"/>
  <c r="AA7" i="222"/>
  <c r="AB7" i="222"/>
  <c r="D8" i="222"/>
  <c r="E8" i="222"/>
  <c r="F8" i="222"/>
  <c r="G8" i="222"/>
  <c r="H8" i="222"/>
  <c r="I8" i="222"/>
  <c r="J8" i="222"/>
  <c r="K8" i="222"/>
  <c r="L8" i="222"/>
  <c r="M8" i="222"/>
  <c r="N8" i="222"/>
  <c r="O8" i="222"/>
  <c r="P8" i="222"/>
  <c r="Q8" i="222"/>
  <c r="R8" i="222"/>
  <c r="S8" i="222"/>
  <c r="T8" i="222"/>
  <c r="U8" i="222"/>
  <c r="V8" i="222"/>
  <c r="W8" i="222"/>
  <c r="X8" i="222"/>
  <c r="Y8" i="222"/>
  <c r="Z8" i="222"/>
  <c r="AA8" i="222"/>
  <c r="AB8" i="222"/>
  <c r="D9" i="222"/>
  <c r="E9" i="222"/>
  <c r="F9" i="222"/>
  <c r="G9" i="222"/>
  <c r="H9" i="222"/>
  <c r="I9" i="222"/>
  <c r="J9" i="222"/>
  <c r="K9" i="222"/>
  <c r="L9" i="222"/>
  <c r="M9" i="222"/>
  <c r="N9" i="222"/>
  <c r="O9" i="222"/>
  <c r="P9" i="222"/>
  <c r="Q9" i="222"/>
  <c r="R9" i="222"/>
  <c r="S9" i="222"/>
  <c r="T9" i="222"/>
  <c r="U9" i="222"/>
  <c r="V9" i="222"/>
  <c r="W9" i="222"/>
  <c r="X9" i="222"/>
  <c r="Y9" i="222"/>
  <c r="Z9" i="222"/>
  <c r="AA9" i="222"/>
  <c r="AB9" i="222"/>
  <c r="D10" i="222"/>
  <c r="E10" i="222"/>
  <c r="F10" i="222"/>
  <c r="G10" i="222"/>
  <c r="H10" i="222"/>
  <c r="I10" i="222"/>
  <c r="J10" i="222"/>
  <c r="K10" i="222"/>
  <c r="L10" i="222"/>
  <c r="M10" i="222"/>
  <c r="N10" i="222"/>
  <c r="O10" i="222"/>
  <c r="P10" i="222"/>
  <c r="Q10" i="222"/>
  <c r="R10" i="222"/>
  <c r="S10" i="222"/>
  <c r="T10" i="222"/>
  <c r="U10" i="222"/>
  <c r="V10" i="222"/>
  <c r="W10" i="222"/>
  <c r="X10" i="222"/>
  <c r="Y10" i="222"/>
  <c r="Z10" i="222"/>
  <c r="AA10" i="222"/>
  <c r="AB10" i="222"/>
  <c r="D11" i="222"/>
  <c r="E11" i="222"/>
  <c r="F11" i="222"/>
  <c r="G11" i="222"/>
  <c r="H11" i="222"/>
  <c r="I11" i="222"/>
  <c r="J11" i="222"/>
  <c r="K11" i="222"/>
  <c r="L11" i="222"/>
  <c r="M11" i="222"/>
  <c r="N11" i="222"/>
  <c r="P11" i="222"/>
  <c r="Q11" i="222"/>
  <c r="R11" i="222"/>
  <c r="S11" i="222"/>
  <c r="T11" i="222"/>
  <c r="W11" i="222"/>
  <c r="X11" i="222"/>
  <c r="Y11" i="222"/>
  <c r="Z11" i="222"/>
  <c r="AA11" i="222"/>
  <c r="AB11" i="222"/>
  <c r="D12" i="222"/>
  <c r="E12" i="222"/>
  <c r="F12" i="222"/>
  <c r="G12" i="222"/>
  <c r="H12" i="222"/>
  <c r="I12" i="222"/>
  <c r="J12" i="222"/>
  <c r="K12" i="222"/>
  <c r="L12" i="222"/>
  <c r="M12" i="222"/>
  <c r="N12" i="222"/>
  <c r="O12" i="222"/>
  <c r="P12" i="222"/>
  <c r="Q12" i="222"/>
  <c r="R12" i="222"/>
  <c r="S12" i="222"/>
  <c r="T12" i="222"/>
  <c r="U12" i="222"/>
  <c r="V12" i="222"/>
  <c r="W12" i="222"/>
  <c r="X12" i="222"/>
  <c r="Y12" i="222"/>
  <c r="Z12" i="222"/>
  <c r="AA12" i="222"/>
  <c r="AB12" i="222"/>
  <c r="D13" i="222"/>
  <c r="E13" i="222"/>
  <c r="F13" i="222"/>
  <c r="G13" i="222"/>
  <c r="H13" i="222"/>
  <c r="I13" i="222"/>
  <c r="J13" i="222"/>
  <c r="K13" i="222"/>
  <c r="L13" i="222"/>
  <c r="M13" i="222"/>
  <c r="N13" i="222"/>
  <c r="O13" i="222"/>
  <c r="P13" i="222"/>
  <c r="Q13" i="222"/>
  <c r="R13" i="222"/>
  <c r="S13" i="222"/>
  <c r="T13" i="222"/>
  <c r="U13" i="222"/>
  <c r="V13" i="222"/>
  <c r="W13" i="222"/>
  <c r="X13" i="222"/>
  <c r="Y13" i="222"/>
  <c r="Z13" i="222"/>
  <c r="AA13" i="222"/>
  <c r="AB13" i="222"/>
  <c r="D14" i="222"/>
  <c r="E14" i="222"/>
  <c r="F14" i="222"/>
  <c r="G14" i="222"/>
  <c r="H14" i="222"/>
  <c r="I14" i="222"/>
  <c r="J14" i="222"/>
  <c r="K14" i="222"/>
  <c r="L14" i="222"/>
  <c r="M14" i="222"/>
  <c r="N14" i="222"/>
  <c r="O14" i="222"/>
  <c r="P14" i="222"/>
  <c r="Q14" i="222"/>
  <c r="R14" i="222"/>
  <c r="S14" i="222"/>
  <c r="T14" i="222"/>
  <c r="U14" i="222"/>
  <c r="V14" i="222"/>
  <c r="W14" i="222"/>
  <c r="X14" i="222"/>
  <c r="Y14" i="222"/>
  <c r="Z14" i="222"/>
  <c r="AA14" i="222"/>
  <c r="AB14" i="222"/>
  <c r="D15" i="222"/>
  <c r="E15" i="222"/>
  <c r="F15" i="222"/>
  <c r="G15" i="222"/>
  <c r="H15" i="222"/>
  <c r="I15" i="222"/>
  <c r="J15" i="222"/>
  <c r="K15" i="222"/>
  <c r="L15" i="222"/>
  <c r="M15" i="222"/>
  <c r="N15" i="222"/>
  <c r="O15" i="222"/>
  <c r="P15" i="222"/>
  <c r="Q15" i="222"/>
  <c r="R15" i="222"/>
  <c r="S15" i="222"/>
  <c r="T15" i="222"/>
  <c r="U15" i="222"/>
  <c r="V15" i="222"/>
  <c r="W15" i="222"/>
  <c r="X15" i="222"/>
  <c r="Y15" i="222"/>
  <c r="Z15" i="222"/>
  <c r="AA15" i="222"/>
  <c r="AB15" i="222"/>
  <c r="D16" i="222"/>
  <c r="E16" i="222"/>
  <c r="F16" i="222"/>
  <c r="G16" i="222"/>
  <c r="H16" i="222"/>
  <c r="I16" i="222"/>
  <c r="J16" i="222"/>
  <c r="K16" i="222"/>
  <c r="L16" i="222"/>
  <c r="M16" i="222"/>
  <c r="N16" i="222"/>
  <c r="P16" i="222"/>
  <c r="Q16" i="222"/>
  <c r="R16" i="222"/>
  <c r="S16" i="222"/>
  <c r="T16" i="222"/>
  <c r="W16" i="222"/>
  <c r="X16" i="222"/>
  <c r="Y16" i="222"/>
  <c r="Z16" i="222"/>
  <c r="AA16" i="222"/>
  <c r="AB16" i="222"/>
  <c r="D17" i="222"/>
  <c r="E17" i="222"/>
  <c r="F17" i="222"/>
  <c r="G17" i="222"/>
  <c r="H17" i="222"/>
  <c r="I17" i="222"/>
  <c r="J17" i="222"/>
  <c r="K17" i="222"/>
  <c r="L17" i="222"/>
  <c r="M17" i="222"/>
  <c r="N17" i="222"/>
  <c r="O17" i="222"/>
  <c r="P17" i="222"/>
  <c r="Q17" i="222"/>
  <c r="R17" i="222"/>
  <c r="S17" i="222"/>
  <c r="T17" i="222"/>
  <c r="U17" i="222"/>
  <c r="V17" i="222"/>
  <c r="W17" i="222"/>
  <c r="X17" i="222"/>
  <c r="Y17" i="222"/>
  <c r="Z17" i="222"/>
  <c r="AA17" i="222"/>
  <c r="AB17" i="222"/>
  <c r="D18" i="222"/>
  <c r="E18" i="222"/>
  <c r="F18" i="222"/>
  <c r="G18" i="222"/>
  <c r="H18" i="222"/>
  <c r="I18" i="222"/>
  <c r="J18" i="222"/>
  <c r="K18" i="222"/>
  <c r="L18" i="222"/>
  <c r="M18" i="222"/>
  <c r="N18" i="222"/>
  <c r="O18" i="222"/>
  <c r="P18" i="222"/>
  <c r="Q18" i="222"/>
  <c r="R18" i="222"/>
  <c r="S18" i="222"/>
  <c r="T18" i="222"/>
  <c r="U18" i="222"/>
  <c r="V18" i="222"/>
  <c r="W18" i="222"/>
  <c r="X18" i="222"/>
  <c r="Y18" i="222"/>
  <c r="Z18" i="222"/>
  <c r="AA18" i="222"/>
  <c r="AB18" i="222"/>
  <c r="D19" i="222"/>
  <c r="E19" i="222"/>
  <c r="F19" i="222"/>
  <c r="G19" i="222"/>
  <c r="H19" i="222"/>
  <c r="I19" i="222"/>
  <c r="J19" i="222"/>
  <c r="K19" i="222"/>
  <c r="L19" i="222"/>
  <c r="M19" i="222"/>
  <c r="N19" i="222"/>
  <c r="O19" i="222"/>
  <c r="P19" i="222"/>
  <c r="Q19" i="222"/>
  <c r="R19" i="222"/>
  <c r="S19" i="222"/>
  <c r="T19" i="222"/>
  <c r="U19" i="222"/>
  <c r="V19" i="222"/>
  <c r="W19" i="222"/>
  <c r="X19" i="222"/>
  <c r="Y19" i="222"/>
  <c r="Z19" i="222"/>
  <c r="AA19" i="222"/>
  <c r="AB19" i="222"/>
  <c r="D20" i="222"/>
  <c r="E20" i="222"/>
  <c r="F20" i="222"/>
  <c r="G20" i="222"/>
  <c r="H20" i="222"/>
  <c r="I20" i="222"/>
  <c r="J20" i="222"/>
  <c r="K20" i="222"/>
  <c r="L20" i="222"/>
  <c r="M20" i="222"/>
  <c r="N20" i="222"/>
  <c r="O20" i="222"/>
  <c r="P20" i="222"/>
  <c r="Q20" i="222"/>
  <c r="R20" i="222"/>
  <c r="S20" i="222"/>
  <c r="T20" i="222"/>
  <c r="U20" i="222"/>
  <c r="V20" i="222"/>
  <c r="W20" i="222"/>
  <c r="X20" i="222"/>
  <c r="Y20" i="222"/>
  <c r="Z20" i="222"/>
  <c r="AA20" i="222"/>
  <c r="AB20" i="222"/>
  <c r="D21" i="222"/>
  <c r="E21" i="222"/>
  <c r="F21" i="222"/>
  <c r="G21" i="222"/>
  <c r="H21" i="222"/>
  <c r="I21" i="222"/>
  <c r="J21" i="222"/>
  <c r="K21" i="222"/>
  <c r="L21" i="222"/>
  <c r="M21" i="222"/>
  <c r="N21" i="222"/>
  <c r="O21" i="222"/>
  <c r="P21" i="222"/>
  <c r="Q21" i="222"/>
  <c r="R21" i="222"/>
  <c r="S21" i="222"/>
  <c r="T21" i="222"/>
  <c r="U21" i="222"/>
  <c r="V21" i="222"/>
  <c r="W21" i="222"/>
  <c r="X21" i="222"/>
  <c r="Y21" i="222"/>
  <c r="Z21" i="222"/>
  <c r="AA21" i="222"/>
  <c r="AB21" i="222"/>
  <c r="D22" i="222"/>
  <c r="E22" i="222"/>
  <c r="F22" i="222"/>
  <c r="G22" i="222"/>
  <c r="H22" i="222"/>
  <c r="I22" i="222"/>
  <c r="J22" i="222"/>
  <c r="K22" i="222"/>
  <c r="L22" i="222"/>
  <c r="M22" i="222"/>
  <c r="N22" i="222"/>
  <c r="O22" i="222"/>
  <c r="P22" i="222"/>
  <c r="Q22" i="222"/>
  <c r="R22" i="222"/>
  <c r="S22" i="222"/>
  <c r="T22" i="222"/>
  <c r="U22" i="222"/>
  <c r="V22" i="222"/>
  <c r="W22" i="222"/>
  <c r="X22" i="222"/>
  <c r="Y22" i="222"/>
  <c r="Z22" i="222"/>
  <c r="AA22" i="222"/>
  <c r="AB22" i="222"/>
  <c r="D23" i="222"/>
  <c r="E23" i="222"/>
  <c r="F23" i="222"/>
  <c r="G23" i="222"/>
  <c r="H23" i="222"/>
  <c r="I23" i="222"/>
  <c r="J23" i="222"/>
  <c r="K23" i="222"/>
  <c r="L23" i="222"/>
  <c r="M23" i="222"/>
  <c r="N23" i="222"/>
  <c r="O23" i="222"/>
  <c r="P23" i="222"/>
  <c r="Q23" i="222"/>
  <c r="R23" i="222"/>
  <c r="S23" i="222"/>
  <c r="T23" i="222"/>
  <c r="U23" i="222"/>
  <c r="V23" i="222"/>
  <c r="W23" i="222"/>
  <c r="X23" i="222"/>
  <c r="Y23" i="222"/>
  <c r="Z23" i="222"/>
  <c r="AA23" i="222"/>
  <c r="AB23" i="222"/>
  <c r="D24" i="222"/>
  <c r="E24" i="222"/>
  <c r="F24" i="222"/>
  <c r="G24" i="222"/>
  <c r="H24" i="222"/>
  <c r="I24" i="222"/>
  <c r="J24" i="222"/>
  <c r="K24" i="222"/>
  <c r="L24" i="222"/>
  <c r="M24" i="222"/>
  <c r="N24" i="222"/>
  <c r="O24" i="222"/>
  <c r="P24" i="222"/>
  <c r="Q24" i="222"/>
  <c r="R24" i="222"/>
  <c r="S24" i="222"/>
  <c r="T24" i="222"/>
  <c r="U24" i="222"/>
  <c r="V24" i="222"/>
  <c r="W24" i="222"/>
  <c r="X24" i="222"/>
  <c r="Y24" i="222"/>
  <c r="Z24" i="222"/>
  <c r="AA24" i="222"/>
  <c r="AB24" i="222"/>
  <c r="D25" i="222"/>
  <c r="E25" i="222"/>
  <c r="F25" i="222"/>
  <c r="G25" i="222"/>
  <c r="H25" i="222"/>
  <c r="I25" i="222"/>
  <c r="J25" i="222"/>
  <c r="K25" i="222"/>
  <c r="L25" i="222"/>
  <c r="M25" i="222"/>
  <c r="N25" i="222"/>
  <c r="O25" i="222"/>
  <c r="P25" i="222"/>
  <c r="Q25" i="222"/>
  <c r="R25" i="222"/>
  <c r="S25" i="222"/>
  <c r="T25" i="222"/>
  <c r="U25" i="222"/>
  <c r="V25" i="222"/>
  <c r="W25" i="222"/>
  <c r="X25" i="222"/>
  <c r="Y25" i="222"/>
  <c r="Z25" i="222"/>
  <c r="AA25" i="222"/>
  <c r="AB25" i="222"/>
  <c r="D26" i="222"/>
  <c r="E26" i="222"/>
  <c r="F26" i="222"/>
  <c r="G26" i="222"/>
  <c r="H26" i="222"/>
  <c r="I26" i="222"/>
  <c r="J26" i="222"/>
  <c r="K26" i="222"/>
  <c r="L26" i="222"/>
  <c r="M26" i="222"/>
  <c r="N26" i="222"/>
  <c r="O26" i="222"/>
  <c r="P26" i="222"/>
  <c r="Q26" i="222"/>
  <c r="R26" i="222"/>
  <c r="S26" i="222"/>
  <c r="T26" i="222"/>
  <c r="U26" i="222"/>
  <c r="V26" i="222"/>
  <c r="W26" i="222"/>
  <c r="X26" i="222"/>
  <c r="Y26" i="222"/>
  <c r="Z26" i="222"/>
  <c r="AA26" i="222"/>
  <c r="AB26" i="222"/>
  <c r="D27" i="222"/>
  <c r="E27" i="222"/>
  <c r="F27" i="222"/>
  <c r="G27" i="222"/>
  <c r="H27" i="222"/>
  <c r="I27" i="222"/>
  <c r="J27" i="222"/>
  <c r="K27" i="222"/>
  <c r="L27" i="222"/>
  <c r="M27" i="222"/>
  <c r="N27" i="222"/>
  <c r="P27" i="222"/>
  <c r="Q27" i="222"/>
  <c r="R27" i="222"/>
  <c r="S27" i="222"/>
  <c r="T27" i="222"/>
  <c r="W27" i="222"/>
  <c r="X27" i="222"/>
  <c r="Y27" i="222"/>
  <c r="Z27" i="222"/>
  <c r="AA27" i="222"/>
  <c r="AB27" i="222"/>
  <c r="D28" i="222"/>
  <c r="E28" i="222"/>
  <c r="F28" i="222"/>
  <c r="G28" i="222"/>
  <c r="H28" i="222"/>
  <c r="I28" i="222"/>
  <c r="J28" i="222"/>
  <c r="K28" i="222"/>
  <c r="L28" i="222"/>
  <c r="M28" i="222"/>
  <c r="N28" i="222"/>
  <c r="O28" i="222"/>
  <c r="P28" i="222"/>
  <c r="Q28" i="222"/>
  <c r="R28" i="222"/>
  <c r="S28" i="222"/>
  <c r="T28" i="222"/>
  <c r="U28" i="222"/>
  <c r="V28" i="222"/>
  <c r="W28" i="222"/>
  <c r="X28" i="222"/>
  <c r="Y28" i="222"/>
  <c r="Z28" i="222"/>
  <c r="AA28" i="222"/>
  <c r="AB28" i="222"/>
  <c r="D29" i="222"/>
  <c r="E29" i="222"/>
  <c r="F29" i="222"/>
  <c r="G29" i="222"/>
  <c r="H29" i="222"/>
  <c r="I29" i="222"/>
  <c r="J29" i="222"/>
  <c r="K29" i="222"/>
  <c r="L29" i="222"/>
  <c r="M29" i="222"/>
  <c r="N29" i="222"/>
  <c r="P29" i="222"/>
  <c r="Q29" i="222"/>
  <c r="R29" i="222"/>
  <c r="S29" i="222"/>
  <c r="T29" i="222"/>
  <c r="W29" i="222"/>
  <c r="X29" i="222"/>
  <c r="Y29" i="222"/>
  <c r="Z29" i="222"/>
  <c r="AA29" i="222"/>
  <c r="AB29" i="222"/>
  <c r="D30" i="222"/>
  <c r="E30" i="222"/>
  <c r="F30" i="222"/>
  <c r="G30" i="222"/>
  <c r="H30" i="222"/>
  <c r="I30" i="222"/>
  <c r="J30" i="222"/>
  <c r="K30" i="222"/>
  <c r="L30" i="222"/>
  <c r="M30" i="222"/>
  <c r="N30" i="222"/>
  <c r="O30" i="222"/>
  <c r="P30" i="222"/>
  <c r="Q30" i="222"/>
  <c r="R30" i="222"/>
  <c r="S30" i="222"/>
  <c r="T30" i="222"/>
  <c r="U30" i="222"/>
  <c r="V30" i="222"/>
  <c r="W30" i="222"/>
  <c r="X30" i="222"/>
  <c r="Y30" i="222"/>
  <c r="Z30" i="222"/>
  <c r="AA30" i="222"/>
  <c r="AB30" i="222"/>
  <c r="D31" i="222"/>
  <c r="E31" i="222"/>
  <c r="F31" i="222"/>
  <c r="G31" i="222"/>
  <c r="H31" i="222"/>
  <c r="I31" i="222"/>
  <c r="J31" i="222"/>
  <c r="K31" i="222"/>
  <c r="L31" i="222"/>
  <c r="M31" i="222"/>
  <c r="N31" i="222"/>
  <c r="O31" i="222"/>
  <c r="P31" i="222"/>
  <c r="Q31" i="222"/>
  <c r="R31" i="222"/>
  <c r="S31" i="222"/>
  <c r="T31" i="222"/>
  <c r="U31" i="222"/>
  <c r="V31" i="222"/>
  <c r="W31" i="222"/>
  <c r="X31" i="222"/>
  <c r="Y31" i="222"/>
  <c r="Z31" i="222"/>
  <c r="AA31" i="222"/>
  <c r="AB31" i="222"/>
  <c r="D32" i="222"/>
  <c r="E32" i="222"/>
  <c r="F32" i="222"/>
  <c r="G32" i="222"/>
  <c r="H32" i="222"/>
  <c r="I32" i="222"/>
  <c r="J32" i="222"/>
  <c r="K32" i="222"/>
  <c r="L32" i="222"/>
  <c r="M32" i="222"/>
  <c r="N32" i="222"/>
  <c r="O32" i="222"/>
  <c r="P32" i="222"/>
  <c r="Q32" i="222"/>
  <c r="R32" i="222"/>
  <c r="S32" i="222"/>
  <c r="T32" i="222"/>
  <c r="U32" i="222"/>
  <c r="V32" i="222"/>
  <c r="W32" i="222"/>
  <c r="X32" i="222"/>
  <c r="Y32" i="222"/>
  <c r="Z32" i="222"/>
  <c r="AA32" i="222"/>
  <c r="AB32" i="222"/>
  <c r="D33" i="222"/>
  <c r="E33" i="222"/>
  <c r="F33" i="222"/>
  <c r="G33" i="222"/>
  <c r="H33" i="222"/>
  <c r="I33" i="222"/>
  <c r="J33" i="222"/>
  <c r="K33" i="222"/>
  <c r="L33" i="222"/>
  <c r="M33" i="222"/>
  <c r="N33" i="222"/>
  <c r="O33" i="222"/>
  <c r="P33" i="222"/>
  <c r="Q33" i="222"/>
  <c r="R33" i="222"/>
  <c r="S33" i="222"/>
  <c r="T33" i="222"/>
  <c r="U33" i="222"/>
  <c r="V33" i="222"/>
  <c r="W33" i="222"/>
  <c r="X33" i="222"/>
  <c r="Y33" i="222"/>
  <c r="Z33" i="222"/>
  <c r="AA33" i="222"/>
  <c r="AB33" i="222"/>
  <c r="D34" i="222"/>
  <c r="E34" i="222"/>
  <c r="F34" i="222"/>
  <c r="G34" i="222"/>
  <c r="H34" i="222"/>
  <c r="I34" i="222"/>
  <c r="J34" i="222"/>
  <c r="K34" i="222"/>
  <c r="L34" i="222"/>
  <c r="M34" i="222"/>
  <c r="N34" i="222"/>
  <c r="O34" i="222"/>
  <c r="P34" i="222"/>
  <c r="Q34" i="222"/>
  <c r="R34" i="222"/>
  <c r="S34" i="222"/>
  <c r="T34" i="222"/>
  <c r="U34" i="222"/>
  <c r="V34" i="222"/>
  <c r="W34" i="222"/>
  <c r="X34" i="222"/>
  <c r="Y34" i="222"/>
  <c r="Z34" i="222"/>
  <c r="AA34" i="222"/>
  <c r="AB34" i="222"/>
  <c r="D35" i="222"/>
  <c r="E35" i="222"/>
  <c r="F35" i="222"/>
  <c r="G35" i="222"/>
  <c r="H35" i="222"/>
  <c r="I35" i="222"/>
  <c r="J35" i="222"/>
  <c r="K35" i="222"/>
  <c r="L35" i="222"/>
  <c r="M35" i="222"/>
  <c r="N35" i="222"/>
  <c r="O35" i="222"/>
  <c r="P35" i="222"/>
  <c r="Q35" i="222"/>
  <c r="R35" i="222"/>
  <c r="S35" i="222"/>
  <c r="T35" i="222"/>
  <c r="U35" i="222"/>
  <c r="V35" i="222"/>
  <c r="W35" i="222"/>
  <c r="X35" i="222"/>
  <c r="Y35" i="222"/>
  <c r="Z35" i="222"/>
  <c r="AA35" i="222"/>
  <c r="AB35" i="222"/>
  <c r="D36" i="222"/>
  <c r="E36" i="222"/>
  <c r="F36" i="222"/>
  <c r="G36" i="222"/>
  <c r="H36" i="222"/>
  <c r="I36" i="222"/>
  <c r="J36" i="222"/>
  <c r="K36" i="222"/>
  <c r="L36" i="222"/>
  <c r="M36" i="222"/>
  <c r="N36" i="222"/>
  <c r="O36" i="222"/>
  <c r="P36" i="222"/>
  <c r="Q36" i="222"/>
  <c r="R36" i="222"/>
  <c r="S36" i="222"/>
  <c r="T36" i="222"/>
  <c r="U36" i="222"/>
  <c r="V36" i="222"/>
  <c r="W36" i="222"/>
  <c r="X36" i="222"/>
  <c r="Y36" i="222"/>
  <c r="Z36" i="222"/>
  <c r="AA36" i="222"/>
  <c r="AB36" i="222"/>
  <c r="D37" i="222"/>
  <c r="E37" i="222"/>
  <c r="F37" i="222"/>
  <c r="G37" i="222"/>
  <c r="H37" i="222"/>
  <c r="I37" i="222"/>
  <c r="J37" i="222"/>
  <c r="K37" i="222"/>
  <c r="L37" i="222"/>
  <c r="M37" i="222"/>
  <c r="N37" i="222"/>
  <c r="P37" i="222"/>
  <c r="Q37" i="222"/>
  <c r="R37" i="222"/>
  <c r="S37" i="222"/>
  <c r="T37" i="222"/>
  <c r="W37" i="222"/>
  <c r="X37" i="222"/>
  <c r="Y37" i="222"/>
  <c r="Z37" i="222"/>
  <c r="AA37" i="222"/>
  <c r="AB37" i="222"/>
  <c r="D38" i="222"/>
  <c r="E38" i="222"/>
  <c r="F38" i="222"/>
  <c r="G38" i="222"/>
  <c r="H38" i="222"/>
  <c r="I38" i="222"/>
  <c r="J38" i="222"/>
  <c r="K38" i="222"/>
  <c r="L38" i="222"/>
  <c r="M38" i="222"/>
  <c r="N38" i="222"/>
  <c r="P38" i="222"/>
  <c r="Q38" i="222"/>
  <c r="R38" i="222"/>
  <c r="S38" i="222"/>
  <c r="T38" i="222"/>
  <c r="W38" i="222"/>
  <c r="X38" i="222"/>
  <c r="Y38" i="222"/>
  <c r="Z38" i="222"/>
  <c r="AA38" i="222"/>
  <c r="AB38" i="222"/>
  <c r="D39" i="222"/>
  <c r="E39" i="222"/>
  <c r="F39" i="222"/>
  <c r="G39" i="222"/>
  <c r="H39" i="222"/>
  <c r="I39" i="222"/>
  <c r="J39" i="222"/>
  <c r="K39" i="222"/>
  <c r="L39" i="222"/>
  <c r="M39" i="222"/>
  <c r="N39" i="222"/>
  <c r="P39" i="222"/>
  <c r="Q39" i="222"/>
  <c r="R39" i="222"/>
  <c r="S39" i="222"/>
  <c r="T39" i="222"/>
  <c r="W39" i="222"/>
  <c r="X39" i="222"/>
  <c r="Y39" i="222"/>
  <c r="Z39" i="222"/>
  <c r="AA39" i="222"/>
  <c r="AB39" i="222"/>
  <c r="D40" i="222"/>
  <c r="E40" i="222"/>
  <c r="F40" i="222"/>
  <c r="G40" i="222"/>
  <c r="H40" i="222"/>
  <c r="I40" i="222"/>
  <c r="J40" i="222"/>
  <c r="K40" i="222"/>
  <c r="L40" i="222"/>
  <c r="M40" i="222"/>
  <c r="N40" i="222"/>
  <c r="O40" i="222"/>
  <c r="P40" i="222"/>
  <c r="Q40" i="222"/>
  <c r="R40" i="222"/>
  <c r="S40" i="222"/>
  <c r="T40" i="222"/>
  <c r="U40" i="222"/>
  <c r="V40" i="222"/>
  <c r="W40" i="222"/>
  <c r="X40" i="222"/>
  <c r="Y40" i="222"/>
  <c r="Z40" i="222"/>
  <c r="AA40" i="222"/>
  <c r="AB40" i="222"/>
  <c r="D41" i="222"/>
  <c r="E41" i="222"/>
  <c r="F41" i="222"/>
  <c r="G41" i="222"/>
  <c r="H41" i="222"/>
  <c r="I41" i="222"/>
  <c r="J41" i="222"/>
  <c r="K41" i="222"/>
  <c r="L41" i="222"/>
  <c r="M41" i="222"/>
  <c r="N41" i="222"/>
  <c r="O41" i="222"/>
  <c r="P41" i="222"/>
  <c r="Q41" i="222"/>
  <c r="R41" i="222"/>
  <c r="S41" i="222"/>
  <c r="T41" i="222"/>
  <c r="U41" i="222"/>
  <c r="V41" i="222"/>
  <c r="W41" i="222"/>
  <c r="X41" i="222"/>
  <c r="Y41" i="222"/>
  <c r="Z41" i="222"/>
  <c r="AA41" i="222"/>
  <c r="AB41" i="222"/>
  <c r="D42" i="222"/>
  <c r="E42" i="222"/>
  <c r="F42" i="222"/>
  <c r="G42" i="222"/>
  <c r="H42" i="222"/>
  <c r="I42" i="222"/>
  <c r="J42" i="222"/>
  <c r="K42" i="222"/>
  <c r="L42" i="222"/>
  <c r="M42" i="222"/>
  <c r="N42" i="222"/>
  <c r="O42" i="222"/>
  <c r="P42" i="222"/>
  <c r="Q42" i="222"/>
  <c r="R42" i="222"/>
  <c r="S42" i="222"/>
  <c r="T42" i="222"/>
  <c r="U42" i="222"/>
  <c r="V42" i="222"/>
  <c r="W42" i="222"/>
  <c r="X42" i="222"/>
  <c r="Y42" i="222"/>
  <c r="Z42" i="222"/>
  <c r="AA42" i="222"/>
  <c r="AB42" i="222"/>
  <c r="D43" i="222"/>
  <c r="E43" i="222"/>
  <c r="F43" i="222"/>
  <c r="G43" i="222"/>
  <c r="H43" i="222"/>
  <c r="I43" i="222"/>
  <c r="J43" i="222"/>
  <c r="K43" i="222"/>
  <c r="L43" i="222"/>
  <c r="M43" i="222"/>
  <c r="N43" i="222"/>
  <c r="O43" i="222"/>
  <c r="P43" i="222"/>
  <c r="Q43" i="222"/>
  <c r="R43" i="222"/>
  <c r="S43" i="222"/>
  <c r="T43" i="222"/>
  <c r="U43" i="222"/>
  <c r="V43" i="222"/>
  <c r="W43" i="222"/>
  <c r="X43" i="222"/>
  <c r="Y43" i="222"/>
  <c r="Z43" i="222"/>
  <c r="AB43" i="222"/>
  <c r="D44" i="222"/>
  <c r="E44" i="222"/>
  <c r="F44" i="222"/>
  <c r="G44" i="222"/>
  <c r="H44" i="222"/>
  <c r="I44" i="222"/>
  <c r="J44" i="222"/>
  <c r="K44" i="222"/>
  <c r="L44" i="222"/>
  <c r="M44" i="222"/>
  <c r="N44" i="222"/>
  <c r="O44" i="222"/>
  <c r="P44" i="222"/>
  <c r="Q44" i="222"/>
  <c r="R44" i="222"/>
  <c r="S44" i="222"/>
  <c r="T44" i="222"/>
  <c r="U44" i="222"/>
  <c r="V44" i="222"/>
  <c r="W44" i="222"/>
  <c r="X44" i="222"/>
  <c r="Y44" i="222"/>
  <c r="Z44" i="222"/>
  <c r="AA44" i="222"/>
  <c r="AB44" i="222"/>
  <c r="D45" i="222"/>
  <c r="E45" i="222"/>
  <c r="F45" i="222"/>
  <c r="G45" i="222"/>
  <c r="H45" i="222"/>
  <c r="I45" i="222"/>
  <c r="J45" i="222"/>
  <c r="K45" i="222"/>
  <c r="L45" i="222"/>
  <c r="M45" i="222"/>
  <c r="N45" i="222"/>
  <c r="O45" i="222"/>
  <c r="P45" i="222"/>
  <c r="Q45" i="222"/>
  <c r="R45" i="222"/>
  <c r="S45" i="222"/>
  <c r="T45" i="222"/>
  <c r="U45" i="222"/>
  <c r="V45" i="222"/>
  <c r="W45" i="222"/>
  <c r="X45" i="222"/>
  <c r="Y45" i="222"/>
  <c r="Z45" i="222"/>
  <c r="AA45" i="222"/>
  <c r="AB45" i="222"/>
  <c r="D46" i="222"/>
  <c r="E46" i="222"/>
  <c r="F46" i="222"/>
  <c r="G46" i="222"/>
  <c r="H46" i="222"/>
  <c r="I46" i="222"/>
  <c r="J46" i="222"/>
  <c r="K46" i="222"/>
  <c r="L46" i="222"/>
  <c r="M46" i="222"/>
  <c r="N46" i="222"/>
  <c r="O46" i="222"/>
  <c r="P46" i="222"/>
  <c r="Q46" i="222"/>
  <c r="R46" i="222"/>
  <c r="S46" i="222"/>
  <c r="T46" i="222"/>
  <c r="U46" i="222"/>
  <c r="V46" i="222"/>
  <c r="W46" i="222"/>
  <c r="X46" i="222"/>
  <c r="Y46" i="222"/>
  <c r="Z46" i="222"/>
  <c r="AA46" i="222"/>
  <c r="AB46" i="222"/>
  <c r="D47" i="222"/>
  <c r="E47" i="222"/>
  <c r="F47" i="222"/>
  <c r="G47" i="222"/>
  <c r="H47" i="222"/>
  <c r="I47" i="222"/>
  <c r="J47" i="222"/>
  <c r="K47" i="222"/>
  <c r="L47" i="222"/>
  <c r="M47" i="222"/>
  <c r="N47" i="222"/>
  <c r="O47" i="222"/>
  <c r="P47" i="222"/>
  <c r="Q47" i="222"/>
  <c r="R47" i="222"/>
  <c r="S47" i="222"/>
  <c r="T47" i="222"/>
  <c r="U47" i="222"/>
  <c r="V47" i="222"/>
  <c r="W47" i="222"/>
  <c r="X47" i="222"/>
  <c r="Y47" i="222"/>
  <c r="Z47" i="222"/>
  <c r="AA47" i="222"/>
  <c r="AB47" i="222"/>
  <c r="D48" i="222"/>
  <c r="E48" i="222"/>
  <c r="F48" i="222"/>
  <c r="G48" i="222"/>
  <c r="H48" i="222"/>
  <c r="I48" i="222"/>
  <c r="J48" i="222"/>
  <c r="K48" i="222"/>
  <c r="L48" i="222"/>
  <c r="M48" i="222"/>
  <c r="N48" i="222"/>
  <c r="O48" i="222"/>
  <c r="P48" i="222"/>
  <c r="Q48" i="222"/>
  <c r="R48" i="222"/>
  <c r="S48" i="222"/>
  <c r="T48" i="222"/>
  <c r="U48" i="222"/>
  <c r="V48" i="222"/>
  <c r="W48" i="222"/>
  <c r="X48" i="222"/>
  <c r="Y48" i="222"/>
  <c r="Z48" i="222"/>
  <c r="AA48" i="222"/>
  <c r="AB48" i="222"/>
  <c r="D49" i="222"/>
  <c r="E49" i="222"/>
  <c r="F49" i="222"/>
  <c r="G49" i="222"/>
  <c r="H49" i="222"/>
  <c r="I49" i="222"/>
  <c r="J49" i="222"/>
  <c r="K49" i="222"/>
  <c r="L49" i="222"/>
  <c r="M49" i="222"/>
  <c r="N49" i="222"/>
  <c r="O49" i="222"/>
  <c r="P49" i="222"/>
  <c r="Q49" i="222"/>
  <c r="R49" i="222"/>
  <c r="S49" i="222"/>
  <c r="T49" i="222"/>
  <c r="U49" i="222"/>
  <c r="V49" i="222"/>
  <c r="W49" i="222"/>
  <c r="X49" i="222"/>
  <c r="Y49" i="222"/>
  <c r="Z49" i="222"/>
  <c r="AA49" i="222"/>
  <c r="AB49" i="222"/>
  <c r="D50" i="222"/>
  <c r="E50" i="222"/>
  <c r="F50" i="222"/>
  <c r="G50" i="222"/>
  <c r="H50" i="222"/>
  <c r="I50" i="222"/>
  <c r="J50" i="222"/>
  <c r="K50" i="222"/>
  <c r="L50" i="222"/>
  <c r="M50" i="222"/>
  <c r="N50" i="222"/>
  <c r="O50" i="222"/>
  <c r="P50" i="222"/>
  <c r="Q50" i="222"/>
  <c r="R50" i="222"/>
  <c r="S50" i="222"/>
  <c r="T50" i="222"/>
  <c r="U50" i="222"/>
  <c r="V50" i="222"/>
  <c r="W50" i="222"/>
  <c r="X50" i="222"/>
  <c r="Y50" i="222"/>
  <c r="Z50" i="222"/>
  <c r="AA50" i="222"/>
  <c r="AB50" i="222"/>
  <c r="D51" i="222"/>
  <c r="E51" i="222"/>
  <c r="F51" i="222"/>
  <c r="G51" i="222"/>
  <c r="H51" i="222"/>
  <c r="I51" i="222"/>
  <c r="J51" i="222"/>
  <c r="K51" i="222"/>
  <c r="L51" i="222"/>
  <c r="M51" i="222"/>
  <c r="N51" i="222"/>
  <c r="O51" i="222"/>
  <c r="P51" i="222"/>
  <c r="Q51" i="222"/>
  <c r="R51" i="222"/>
  <c r="S51" i="222"/>
  <c r="T51" i="222"/>
  <c r="U51" i="222"/>
  <c r="V51" i="222"/>
  <c r="W51" i="222"/>
  <c r="X51" i="222"/>
  <c r="Y51" i="222"/>
  <c r="Z51" i="222"/>
  <c r="AA51" i="222"/>
  <c r="AB51" i="222"/>
  <c r="D52" i="222"/>
  <c r="E52" i="222"/>
  <c r="F52" i="222"/>
  <c r="G52" i="222"/>
  <c r="H52" i="222"/>
  <c r="I52" i="222"/>
  <c r="J52" i="222"/>
  <c r="K52" i="222"/>
  <c r="L52" i="222"/>
  <c r="M52" i="222"/>
  <c r="N52" i="222"/>
  <c r="O52" i="222"/>
  <c r="P52" i="222"/>
  <c r="Q52" i="222"/>
  <c r="R52" i="222"/>
  <c r="S52" i="222"/>
  <c r="T52" i="222"/>
  <c r="U52" i="222"/>
  <c r="V52" i="222"/>
  <c r="W52" i="222"/>
  <c r="X52" i="222"/>
  <c r="Y52" i="222"/>
  <c r="Z52" i="222"/>
  <c r="AA52" i="222"/>
  <c r="AB52" i="222"/>
  <c r="D53" i="222"/>
  <c r="E53" i="222"/>
  <c r="F53" i="222"/>
  <c r="G53" i="222"/>
  <c r="H53" i="222"/>
  <c r="I53" i="222"/>
  <c r="J53" i="222"/>
  <c r="K53" i="222"/>
  <c r="L53" i="222"/>
  <c r="M53" i="222"/>
  <c r="N53" i="222"/>
  <c r="O53" i="222"/>
  <c r="P53" i="222"/>
  <c r="Q53" i="222"/>
  <c r="R53" i="222"/>
  <c r="S53" i="222"/>
  <c r="T53" i="222"/>
  <c r="U53" i="222"/>
  <c r="V53" i="222"/>
  <c r="W53" i="222"/>
  <c r="X53" i="222"/>
  <c r="Y53" i="222"/>
  <c r="Z53" i="222"/>
  <c r="AA53" i="222"/>
  <c r="AB53" i="222"/>
  <c r="D54" i="222"/>
  <c r="E54" i="222"/>
  <c r="F54" i="222"/>
  <c r="G54" i="222"/>
  <c r="H54" i="222"/>
  <c r="I54" i="222"/>
  <c r="J54" i="222"/>
  <c r="K54" i="222"/>
  <c r="L54" i="222"/>
  <c r="M54" i="222"/>
  <c r="N54" i="222"/>
  <c r="P54" i="222"/>
  <c r="Q54" i="222"/>
  <c r="R54" i="222"/>
  <c r="S54" i="222"/>
  <c r="T54" i="222"/>
  <c r="W54" i="222"/>
  <c r="X54" i="222"/>
  <c r="Y54" i="222"/>
  <c r="Z54" i="222"/>
  <c r="AA54" i="222"/>
  <c r="AB54" i="222"/>
  <c r="D55" i="222"/>
  <c r="E55" i="222"/>
  <c r="F55" i="222"/>
  <c r="G55" i="222"/>
  <c r="H55" i="222"/>
  <c r="I55" i="222"/>
  <c r="J55" i="222"/>
  <c r="K55" i="222"/>
  <c r="L55" i="222"/>
  <c r="M55" i="222"/>
  <c r="N55" i="222"/>
  <c r="O55" i="222"/>
  <c r="P55" i="222"/>
  <c r="Q55" i="222"/>
  <c r="R55" i="222"/>
  <c r="S55" i="222"/>
  <c r="T55" i="222"/>
  <c r="U55" i="222"/>
  <c r="V55" i="222"/>
  <c r="W55" i="222"/>
  <c r="X55" i="222"/>
  <c r="Y55" i="222"/>
  <c r="Z55" i="222"/>
  <c r="AA55" i="222"/>
  <c r="AB55" i="222"/>
  <c r="D56" i="222"/>
  <c r="E56" i="222"/>
  <c r="F56" i="222"/>
  <c r="G56" i="222"/>
  <c r="H56" i="222"/>
  <c r="I56" i="222"/>
  <c r="J56" i="222"/>
  <c r="K56" i="222"/>
  <c r="L56" i="222"/>
  <c r="M56" i="222"/>
  <c r="N56" i="222"/>
  <c r="O56" i="222"/>
  <c r="P56" i="222"/>
  <c r="Q56" i="222"/>
  <c r="R56" i="222"/>
  <c r="S56" i="222"/>
  <c r="T56" i="222"/>
  <c r="U56" i="222"/>
  <c r="V56" i="222"/>
  <c r="W56" i="222"/>
  <c r="X56" i="222"/>
  <c r="Y56" i="222"/>
  <c r="Z56" i="222"/>
  <c r="AA56" i="222"/>
  <c r="AB56" i="222"/>
  <c r="D57" i="222"/>
  <c r="E57" i="222"/>
  <c r="F57" i="222"/>
  <c r="G57" i="222"/>
  <c r="H57" i="222"/>
  <c r="I57" i="222"/>
  <c r="J57" i="222"/>
  <c r="K57" i="222"/>
  <c r="L57" i="222"/>
  <c r="M57" i="222"/>
  <c r="N57" i="222"/>
  <c r="O57" i="222"/>
  <c r="P57" i="222"/>
  <c r="Q57" i="222"/>
  <c r="R57" i="222"/>
  <c r="S57" i="222"/>
  <c r="T57" i="222"/>
  <c r="U57" i="222"/>
  <c r="V57" i="222"/>
  <c r="W57" i="222"/>
  <c r="X57" i="222"/>
  <c r="Y57" i="222"/>
  <c r="Z57" i="222"/>
  <c r="AA57" i="222"/>
  <c r="AB57" i="222"/>
  <c r="D58" i="222"/>
  <c r="E58" i="222"/>
  <c r="F58" i="222"/>
  <c r="G58" i="222"/>
  <c r="H58" i="222"/>
  <c r="I58" i="222"/>
  <c r="J58" i="222"/>
  <c r="K58" i="222"/>
  <c r="L58" i="222"/>
  <c r="M58" i="222"/>
  <c r="N58" i="222"/>
  <c r="O58" i="222"/>
  <c r="P58" i="222"/>
  <c r="Q58" i="222"/>
  <c r="R58" i="222"/>
  <c r="S58" i="222"/>
  <c r="T58" i="222"/>
  <c r="U58" i="222"/>
  <c r="V58" i="222"/>
  <c r="W58" i="222"/>
  <c r="X58" i="222"/>
  <c r="Y58" i="222"/>
  <c r="Z58" i="222"/>
  <c r="AA58" i="222"/>
  <c r="AB58" i="222"/>
  <c r="D59" i="222"/>
  <c r="E59" i="222"/>
  <c r="F59" i="222"/>
  <c r="G59" i="222"/>
  <c r="H59" i="222"/>
  <c r="I59" i="222"/>
  <c r="J59" i="222"/>
  <c r="K59" i="222"/>
  <c r="L59" i="222"/>
  <c r="M59" i="222"/>
  <c r="N59" i="222"/>
  <c r="P59" i="222"/>
  <c r="Q59" i="222"/>
  <c r="R59" i="222"/>
  <c r="S59" i="222"/>
  <c r="T59" i="222"/>
  <c r="W59" i="222"/>
  <c r="X59" i="222"/>
  <c r="Y59" i="222"/>
  <c r="Z59" i="222"/>
  <c r="AA59" i="222"/>
  <c r="AB59" i="222"/>
  <c r="D60" i="222"/>
  <c r="E60" i="222"/>
  <c r="G60" i="222"/>
  <c r="H60" i="222"/>
  <c r="I60" i="222"/>
  <c r="J60" i="222"/>
  <c r="K60" i="222"/>
  <c r="L60" i="222"/>
  <c r="M60" i="222"/>
  <c r="N60" i="222"/>
  <c r="P60" i="222"/>
  <c r="Q60" i="222"/>
  <c r="R60" i="222"/>
  <c r="S60" i="222"/>
  <c r="T60" i="222"/>
  <c r="U60" i="222"/>
  <c r="V60" i="222"/>
  <c r="W60" i="222"/>
  <c r="X60" i="222"/>
  <c r="Y60" i="222"/>
  <c r="Z60" i="222"/>
  <c r="AA60" i="222"/>
  <c r="AB60" i="222"/>
  <c r="D61" i="222"/>
  <c r="E61" i="222"/>
  <c r="F61" i="222"/>
  <c r="G61" i="222"/>
  <c r="H61" i="222"/>
  <c r="I61" i="222"/>
  <c r="J61" i="222"/>
  <c r="K61" i="222"/>
  <c r="L61" i="222"/>
  <c r="M61" i="222"/>
  <c r="N61" i="222"/>
  <c r="O61" i="222"/>
  <c r="P61" i="222"/>
  <c r="Q61" i="222"/>
  <c r="R61" i="222"/>
  <c r="S61" i="222"/>
  <c r="T61" i="222"/>
  <c r="U61" i="222"/>
  <c r="V61" i="222"/>
  <c r="W61" i="222"/>
  <c r="X61" i="222"/>
  <c r="Y61" i="222"/>
  <c r="Z61" i="222"/>
  <c r="AA61" i="222"/>
  <c r="AB61" i="222"/>
  <c r="D62" i="222"/>
  <c r="E62" i="222"/>
  <c r="F62" i="222"/>
  <c r="G62" i="222"/>
  <c r="H62" i="222"/>
  <c r="I62" i="222"/>
  <c r="J62" i="222"/>
  <c r="K62" i="222"/>
  <c r="L62" i="222"/>
  <c r="M62" i="222"/>
  <c r="N62" i="222"/>
  <c r="P62" i="222"/>
  <c r="Q62" i="222"/>
  <c r="R62" i="222"/>
  <c r="S62" i="222"/>
  <c r="T62" i="222"/>
  <c r="W62" i="222"/>
  <c r="X62" i="222"/>
  <c r="Y62" i="222"/>
  <c r="Z62" i="222"/>
  <c r="AA62" i="222"/>
  <c r="AB62" i="222"/>
  <c r="D63" i="222"/>
  <c r="E63" i="222"/>
  <c r="F63" i="222"/>
  <c r="G63" i="222"/>
  <c r="H63" i="222"/>
  <c r="I63" i="222"/>
  <c r="J63" i="222"/>
  <c r="K63" i="222"/>
  <c r="L63" i="222"/>
  <c r="M63" i="222"/>
  <c r="N63" i="222"/>
  <c r="O63" i="222"/>
  <c r="P63" i="222"/>
  <c r="Q63" i="222"/>
  <c r="R63" i="222"/>
  <c r="S63" i="222"/>
  <c r="T63" i="222"/>
  <c r="U63" i="222"/>
  <c r="V63" i="222"/>
  <c r="W63" i="222"/>
  <c r="X63" i="222"/>
  <c r="Y63" i="222"/>
  <c r="Z63" i="222"/>
  <c r="AA63" i="222"/>
  <c r="AB63" i="222"/>
  <c r="D64" i="222"/>
  <c r="E64" i="222"/>
  <c r="F64" i="222"/>
  <c r="G64" i="222"/>
  <c r="H64" i="222"/>
  <c r="I64" i="222"/>
  <c r="J64" i="222"/>
  <c r="K64" i="222"/>
  <c r="L64" i="222"/>
  <c r="M64" i="222"/>
  <c r="N64" i="222"/>
  <c r="O64" i="222"/>
  <c r="P64" i="222"/>
  <c r="Q64" i="222"/>
  <c r="R64" i="222"/>
  <c r="S64" i="222"/>
  <c r="T64" i="222"/>
  <c r="U64" i="222"/>
  <c r="V64" i="222"/>
  <c r="W64" i="222"/>
  <c r="X64" i="222"/>
  <c r="Y64" i="222"/>
  <c r="Z64" i="222"/>
  <c r="AA64" i="222"/>
  <c r="AB64" i="222"/>
  <c r="D65" i="222"/>
  <c r="E65" i="222"/>
  <c r="F65" i="222"/>
  <c r="G65" i="222"/>
  <c r="H65" i="222"/>
  <c r="I65" i="222"/>
  <c r="J65" i="222"/>
  <c r="K65" i="222"/>
  <c r="L65" i="222"/>
  <c r="M65" i="222"/>
  <c r="N65" i="222"/>
  <c r="O65" i="222"/>
  <c r="P65" i="222"/>
  <c r="Q65" i="222"/>
  <c r="R65" i="222"/>
  <c r="S65" i="222"/>
  <c r="T65" i="222"/>
  <c r="U65" i="222"/>
  <c r="V65" i="222"/>
  <c r="W65" i="222"/>
  <c r="X65" i="222"/>
  <c r="Y65" i="222"/>
  <c r="Z65" i="222"/>
  <c r="AA65" i="222"/>
  <c r="AB65" i="222"/>
  <c r="D66" i="222"/>
  <c r="E66" i="222"/>
  <c r="F66" i="222"/>
  <c r="G66" i="222"/>
  <c r="H66" i="222"/>
  <c r="I66" i="222"/>
  <c r="J66" i="222"/>
  <c r="K66" i="222"/>
  <c r="L66" i="222"/>
  <c r="M66" i="222"/>
  <c r="N66" i="222"/>
  <c r="O66" i="222"/>
  <c r="P66" i="222"/>
  <c r="Q66" i="222"/>
  <c r="R66" i="222"/>
  <c r="S66" i="222"/>
  <c r="T66" i="222"/>
  <c r="U66" i="222"/>
  <c r="V66" i="222"/>
  <c r="W66" i="222"/>
  <c r="X66" i="222"/>
  <c r="Y66" i="222"/>
  <c r="Z66" i="222"/>
  <c r="AA66" i="222"/>
  <c r="AB66" i="222"/>
  <c r="D67" i="222"/>
  <c r="E67" i="222"/>
  <c r="F67" i="222"/>
  <c r="G67" i="222"/>
  <c r="H67" i="222"/>
  <c r="I67" i="222"/>
  <c r="J67" i="222"/>
  <c r="K67" i="222"/>
  <c r="L67" i="222"/>
  <c r="M67" i="222"/>
  <c r="N67" i="222"/>
  <c r="O67" i="222"/>
  <c r="P67" i="222"/>
  <c r="Q67" i="222"/>
  <c r="R67" i="222"/>
  <c r="S67" i="222"/>
  <c r="T67" i="222"/>
  <c r="U67" i="222"/>
  <c r="V67" i="222"/>
  <c r="W67" i="222"/>
  <c r="X67" i="222"/>
  <c r="Y67" i="222"/>
  <c r="Z67" i="222"/>
  <c r="AA67" i="222"/>
  <c r="AB67" i="222"/>
  <c r="D68" i="222"/>
  <c r="E68" i="222"/>
  <c r="F68" i="222"/>
  <c r="G68" i="222"/>
  <c r="H68" i="222"/>
  <c r="I68" i="222"/>
  <c r="J68" i="222"/>
  <c r="K68" i="222"/>
  <c r="L68" i="222"/>
  <c r="M68" i="222"/>
  <c r="N68" i="222"/>
  <c r="O68" i="222"/>
  <c r="P68" i="222"/>
  <c r="Q68" i="222"/>
  <c r="R68" i="222"/>
  <c r="S68" i="222"/>
  <c r="T68" i="222"/>
  <c r="U68" i="222"/>
  <c r="V68" i="222"/>
  <c r="W68" i="222"/>
  <c r="X68" i="222"/>
  <c r="Y68" i="222"/>
  <c r="Z68" i="222"/>
  <c r="AA68" i="222"/>
  <c r="AB68" i="222"/>
  <c r="D69" i="222"/>
  <c r="E69" i="222"/>
  <c r="F69" i="222"/>
  <c r="G69" i="222"/>
  <c r="H69" i="222"/>
  <c r="I69" i="222"/>
  <c r="J69" i="222"/>
  <c r="K69" i="222"/>
  <c r="L69" i="222"/>
  <c r="M69" i="222"/>
  <c r="N69" i="222"/>
  <c r="O69" i="222"/>
  <c r="P69" i="222"/>
  <c r="Q69" i="222"/>
  <c r="R69" i="222"/>
  <c r="S69" i="222"/>
  <c r="T69" i="222"/>
  <c r="U69" i="222"/>
  <c r="V69" i="222"/>
  <c r="W69" i="222"/>
  <c r="X69" i="222"/>
  <c r="Y69" i="222"/>
  <c r="Z69" i="222"/>
  <c r="AA69" i="222"/>
  <c r="AB69" i="222"/>
  <c r="D70" i="222"/>
  <c r="E70" i="222"/>
  <c r="F70" i="222"/>
  <c r="G70" i="222"/>
  <c r="H70" i="222"/>
  <c r="I70" i="222"/>
  <c r="J70" i="222"/>
  <c r="K70" i="222"/>
  <c r="L70" i="222"/>
  <c r="M70" i="222"/>
  <c r="N70" i="222"/>
  <c r="O70" i="222"/>
  <c r="P70" i="222"/>
  <c r="Q70" i="222"/>
  <c r="R70" i="222"/>
  <c r="S70" i="222"/>
  <c r="T70" i="222"/>
  <c r="U70" i="222"/>
  <c r="V70" i="222"/>
  <c r="W70" i="222"/>
  <c r="X70" i="222"/>
  <c r="Y70" i="222"/>
  <c r="Z70" i="222"/>
  <c r="AA70" i="222"/>
  <c r="AB70" i="222"/>
  <c r="D71" i="222"/>
  <c r="E71" i="222"/>
  <c r="F71" i="222"/>
  <c r="G71" i="222"/>
  <c r="H71" i="222"/>
  <c r="I71" i="222"/>
  <c r="J71" i="222"/>
  <c r="K71" i="222"/>
  <c r="L71" i="222"/>
  <c r="M71" i="222"/>
  <c r="N71" i="222"/>
  <c r="O71" i="222"/>
  <c r="P71" i="222"/>
  <c r="Q71" i="222"/>
  <c r="R71" i="222"/>
  <c r="S71" i="222"/>
  <c r="T71" i="222"/>
  <c r="U71" i="222"/>
  <c r="V71" i="222"/>
  <c r="W71" i="222"/>
  <c r="X71" i="222"/>
  <c r="Y71" i="222"/>
  <c r="Z71" i="222"/>
  <c r="AA71" i="222"/>
  <c r="AB71" i="222"/>
  <c r="D72" i="222"/>
  <c r="E72" i="222"/>
  <c r="F72" i="222"/>
  <c r="G72" i="222"/>
  <c r="H72" i="222"/>
  <c r="I72" i="222"/>
  <c r="J72" i="222"/>
  <c r="K72" i="222"/>
  <c r="L72" i="222"/>
  <c r="M72" i="222"/>
  <c r="N72" i="222"/>
  <c r="O72" i="222"/>
  <c r="P72" i="222"/>
  <c r="Q72" i="222"/>
  <c r="R72" i="222"/>
  <c r="S72" i="222"/>
  <c r="T72" i="222"/>
  <c r="U72" i="222"/>
  <c r="V72" i="222"/>
  <c r="W72" i="222"/>
  <c r="X72" i="222"/>
  <c r="Y72" i="222"/>
  <c r="Z72" i="222"/>
  <c r="AA72" i="222"/>
  <c r="AB72" i="222"/>
  <c r="D73" i="222"/>
  <c r="E73" i="222"/>
  <c r="F73" i="222"/>
  <c r="G73" i="222"/>
  <c r="H73" i="222"/>
  <c r="I73" i="222"/>
  <c r="J73" i="222"/>
  <c r="K73" i="222"/>
  <c r="L73" i="222"/>
  <c r="M73" i="222"/>
  <c r="N73" i="222"/>
  <c r="O73" i="222"/>
  <c r="P73" i="222"/>
  <c r="Q73" i="222"/>
  <c r="R73" i="222"/>
  <c r="S73" i="222"/>
  <c r="T73" i="222"/>
  <c r="U73" i="222"/>
  <c r="V73" i="222"/>
  <c r="W73" i="222"/>
  <c r="X73" i="222"/>
  <c r="Y73" i="222"/>
  <c r="Z73" i="222"/>
  <c r="AA73" i="222"/>
  <c r="AB73" i="222"/>
  <c r="D74" i="222"/>
  <c r="E74" i="222"/>
  <c r="F74" i="222"/>
  <c r="G74" i="222"/>
  <c r="H74" i="222"/>
  <c r="I74" i="222"/>
  <c r="J74" i="222"/>
  <c r="K74" i="222"/>
  <c r="L74" i="222"/>
  <c r="M74" i="222"/>
  <c r="N74" i="222"/>
  <c r="O74" i="222"/>
  <c r="P74" i="222"/>
  <c r="Q74" i="222"/>
  <c r="R74" i="222"/>
  <c r="S74" i="222"/>
  <c r="T74" i="222"/>
  <c r="U74" i="222"/>
  <c r="V74" i="222"/>
  <c r="W74" i="222"/>
  <c r="X74" i="222"/>
  <c r="Y74" i="222"/>
  <c r="Z74" i="222"/>
  <c r="AA74" i="222"/>
  <c r="AB74" i="222"/>
  <c r="D75" i="222"/>
  <c r="E75" i="222"/>
  <c r="F75" i="222"/>
  <c r="G75" i="222"/>
  <c r="H75" i="222"/>
  <c r="I75" i="222"/>
  <c r="J75" i="222"/>
  <c r="K75" i="222"/>
  <c r="L75" i="222"/>
  <c r="M75" i="222"/>
  <c r="N75" i="222"/>
  <c r="O75" i="222"/>
  <c r="P75" i="222"/>
  <c r="Q75" i="222"/>
  <c r="R75" i="222"/>
  <c r="S75" i="222"/>
  <c r="T75" i="222"/>
  <c r="U75" i="222"/>
  <c r="V75" i="222"/>
  <c r="W75" i="222"/>
  <c r="X75" i="222"/>
  <c r="Y75" i="222"/>
  <c r="Z75" i="222"/>
  <c r="AA75" i="222"/>
  <c r="AB75" i="222"/>
  <c r="D76" i="222"/>
  <c r="E76" i="222"/>
  <c r="F76" i="222"/>
  <c r="G76" i="222"/>
  <c r="H76" i="222"/>
  <c r="I76" i="222"/>
  <c r="J76" i="222"/>
  <c r="K76" i="222"/>
  <c r="L76" i="222"/>
  <c r="M76" i="222"/>
  <c r="N76" i="222"/>
  <c r="O76" i="222"/>
  <c r="P76" i="222"/>
  <c r="Q76" i="222"/>
  <c r="R76" i="222"/>
  <c r="S76" i="222"/>
  <c r="T76" i="222"/>
  <c r="U76" i="222"/>
  <c r="V76" i="222"/>
  <c r="W76" i="222"/>
  <c r="X76" i="222"/>
  <c r="Y76" i="222"/>
  <c r="Z76" i="222"/>
  <c r="AA76" i="222"/>
  <c r="AB76" i="222"/>
  <c r="D77" i="222"/>
  <c r="E77" i="222"/>
  <c r="F77" i="222"/>
  <c r="G77" i="222"/>
  <c r="H77" i="222"/>
  <c r="I77" i="222"/>
  <c r="J77" i="222"/>
  <c r="K77" i="222"/>
  <c r="L77" i="222"/>
  <c r="M77" i="222"/>
  <c r="N77" i="222"/>
  <c r="O77" i="222"/>
  <c r="P77" i="222"/>
  <c r="Q77" i="222"/>
  <c r="R77" i="222"/>
  <c r="S77" i="222"/>
  <c r="T77" i="222"/>
  <c r="U77" i="222"/>
  <c r="V77" i="222"/>
  <c r="W77" i="222"/>
  <c r="X77" i="222"/>
  <c r="Y77" i="222"/>
  <c r="Z77" i="222"/>
  <c r="AA77" i="222"/>
  <c r="AB77" i="222"/>
  <c r="D78" i="222"/>
  <c r="E78" i="222"/>
  <c r="F78" i="222"/>
  <c r="G78" i="222"/>
  <c r="H78" i="222"/>
  <c r="I78" i="222"/>
  <c r="J78" i="222"/>
  <c r="K78" i="222"/>
  <c r="L78" i="222"/>
  <c r="M78" i="222"/>
  <c r="N78" i="222"/>
  <c r="O78" i="222"/>
  <c r="P78" i="222"/>
  <c r="Q78" i="222"/>
  <c r="R78" i="222"/>
  <c r="S78" i="222"/>
  <c r="T78" i="222"/>
  <c r="U78" i="222"/>
  <c r="V78" i="222"/>
  <c r="W78" i="222"/>
  <c r="X78" i="222"/>
  <c r="Y78" i="222"/>
  <c r="Z78" i="222"/>
  <c r="AA78" i="222"/>
  <c r="AB78" i="222"/>
  <c r="D79" i="222"/>
  <c r="E79" i="222"/>
  <c r="F79" i="222"/>
  <c r="G79" i="222"/>
  <c r="H79" i="222"/>
  <c r="I79" i="222"/>
  <c r="J79" i="222"/>
  <c r="K79" i="222"/>
  <c r="L79" i="222"/>
  <c r="M79" i="222"/>
  <c r="N79" i="222"/>
  <c r="O79" i="222"/>
  <c r="P79" i="222"/>
  <c r="Q79" i="222"/>
  <c r="R79" i="222"/>
  <c r="S79" i="222"/>
  <c r="T79" i="222"/>
  <c r="U79" i="222"/>
  <c r="V79" i="222"/>
  <c r="W79" i="222"/>
  <c r="X79" i="222"/>
  <c r="Y79" i="222"/>
  <c r="Z79" i="222"/>
  <c r="AA79" i="222"/>
  <c r="AB79" i="222"/>
  <c r="D80" i="222"/>
  <c r="E80" i="222"/>
  <c r="F80" i="222"/>
  <c r="G80" i="222"/>
  <c r="H80" i="222"/>
  <c r="I80" i="222"/>
  <c r="J80" i="222"/>
  <c r="K80" i="222"/>
  <c r="L80" i="222"/>
  <c r="M80" i="222"/>
  <c r="N80" i="222"/>
  <c r="P80" i="222"/>
  <c r="Q80" i="222"/>
  <c r="R80" i="222"/>
  <c r="S80" i="222"/>
  <c r="T80" i="222"/>
  <c r="W80" i="222"/>
  <c r="X80" i="222"/>
  <c r="Y80" i="222"/>
  <c r="Z80" i="222"/>
  <c r="AA80" i="222"/>
  <c r="AB80" i="222"/>
  <c r="D81" i="222"/>
  <c r="E81" i="222"/>
  <c r="F81" i="222"/>
  <c r="G81" i="222"/>
  <c r="H81" i="222"/>
  <c r="I81" i="222"/>
  <c r="J81" i="222"/>
  <c r="K81" i="222"/>
  <c r="L81" i="222"/>
  <c r="M81" i="222"/>
  <c r="N81" i="222"/>
  <c r="O81" i="222"/>
  <c r="P81" i="222"/>
  <c r="Q81" i="222"/>
  <c r="R81" i="222"/>
  <c r="S81" i="222"/>
  <c r="T81" i="222"/>
  <c r="U81" i="222"/>
  <c r="V81" i="222"/>
  <c r="W81" i="222"/>
  <c r="X81" i="222"/>
  <c r="Y81" i="222"/>
  <c r="Z81" i="222"/>
  <c r="AA81" i="222"/>
  <c r="AB81" i="222"/>
  <c r="D82" i="222"/>
  <c r="E82" i="222"/>
  <c r="F82" i="222"/>
  <c r="G82" i="222"/>
  <c r="H82" i="222"/>
  <c r="I82" i="222"/>
  <c r="J82" i="222"/>
  <c r="K82" i="222"/>
  <c r="L82" i="222"/>
  <c r="M82" i="222"/>
  <c r="N82" i="222"/>
  <c r="O82" i="222"/>
  <c r="P82" i="222"/>
  <c r="Q82" i="222"/>
  <c r="R82" i="222"/>
  <c r="S82" i="222"/>
  <c r="T82" i="222"/>
  <c r="U82" i="222"/>
  <c r="V82" i="222"/>
  <c r="W82" i="222"/>
  <c r="X82" i="222"/>
  <c r="Y82" i="222"/>
  <c r="Z82" i="222"/>
  <c r="AA82" i="222"/>
  <c r="AB82" i="222"/>
  <c r="D83" i="222"/>
  <c r="E83" i="222"/>
  <c r="F83" i="222"/>
  <c r="G83" i="222"/>
  <c r="H83" i="222"/>
  <c r="I83" i="222"/>
  <c r="J83" i="222"/>
  <c r="K83" i="222"/>
  <c r="L83" i="222"/>
  <c r="M83" i="222"/>
  <c r="N83" i="222"/>
  <c r="O83" i="222"/>
  <c r="P83" i="222"/>
  <c r="Q83" i="222"/>
  <c r="R83" i="222"/>
  <c r="S83" i="222"/>
  <c r="T83" i="222"/>
  <c r="U83" i="222"/>
  <c r="V83" i="222"/>
  <c r="W83" i="222"/>
  <c r="X83" i="222"/>
  <c r="Y83" i="222"/>
  <c r="Z83" i="222"/>
  <c r="AA83" i="222"/>
  <c r="AB83" i="222"/>
  <c r="D84" i="222"/>
  <c r="E84" i="222"/>
  <c r="F84" i="222"/>
  <c r="G84" i="222"/>
  <c r="H84" i="222"/>
  <c r="I84" i="222"/>
  <c r="J84" i="222"/>
  <c r="K84" i="222"/>
  <c r="L84" i="222"/>
  <c r="M84" i="222"/>
  <c r="N84" i="222"/>
  <c r="O84" i="222"/>
  <c r="P84" i="222"/>
  <c r="Q84" i="222"/>
  <c r="R84" i="222"/>
  <c r="S84" i="222"/>
  <c r="T84" i="222"/>
  <c r="U84" i="222"/>
  <c r="V84" i="222"/>
  <c r="W84" i="222"/>
  <c r="X84" i="222"/>
  <c r="Y84" i="222"/>
  <c r="Z84" i="222"/>
  <c r="AA84" i="222"/>
  <c r="AB84" i="222"/>
  <c r="D85" i="222"/>
  <c r="E85" i="222"/>
  <c r="F85" i="222"/>
  <c r="G85" i="222"/>
  <c r="H85" i="222"/>
  <c r="I85" i="222"/>
  <c r="J85" i="222"/>
  <c r="K85" i="222"/>
  <c r="L85" i="222"/>
  <c r="M85" i="222"/>
  <c r="N85" i="222"/>
  <c r="O85" i="222"/>
  <c r="P85" i="222"/>
  <c r="Q85" i="222"/>
  <c r="R85" i="222"/>
  <c r="S85" i="222"/>
  <c r="T85" i="222"/>
  <c r="U85" i="222"/>
  <c r="V85" i="222"/>
  <c r="W85" i="222"/>
  <c r="X85" i="222"/>
  <c r="Y85" i="222"/>
  <c r="Z85" i="222"/>
  <c r="AA85" i="222"/>
  <c r="AB85" i="222"/>
  <c r="D86" i="222"/>
  <c r="E86" i="222"/>
  <c r="F86" i="222"/>
  <c r="G86" i="222"/>
  <c r="H86" i="222"/>
  <c r="I86" i="222"/>
  <c r="J86" i="222"/>
  <c r="K86" i="222"/>
  <c r="L86" i="222"/>
  <c r="M86" i="222"/>
  <c r="N86" i="222"/>
  <c r="O86" i="222"/>
  <c r="P86" i="222"/>
  <c r="Q86" i="222"/>
  <c r="R86" i="222"/>
  <c r="S86" i="222"/>
  <c r="T86" i="222"/>
  <c r="U86" i="222"/>
  <c r="V86" i="222"/>
  <c r="W86" i="222"/>
  <c r="X86" i="222"/>
  <c r="Y86" i="222"/>
  <c r="Z86" i="222"/>
  <c r="AA86" i="222"/>
  <c r="AB86" i="222"/>
  <c r="D87" i="222"/>
  <c r="E87" i="222"/>
  <c r="F87" i="222"/>
  <c r="G87" i="222"/>
  <c r="H87" i="222"/>
  <c r="I87" i="222"/>
  <c r="J87" i="222"/>
  <c r="K87" i="222"/>
  <c r="L87" i="222"/>
  <c r="M87" i="222"/>
  <c r="N87" i="222"/>
  <c r="P87" i="222"/>
  <c r="Q87" i="222"/>
  <c r="R87" i="222"/>
  <c r="S87" i="222"/>
  <c r="T87" i="222"/>
  <c r="W87" i="222"/>
  <c r="X87" i="222"/>
  <c r="Y87" i="222"/>
  <c r="Z87" i="222"/>
  <c r="AA87" i="222"/>
  <c r="AB87" i="222"/>
  <c r="D88" i="222"/>
  <c r="E88" i="222"/>
  <c r="F88" i="222"/>
  <c r="G88" i="222"/>
  <c r="H88" i="222"/>
  <c r="I88" i="222"/>
  <c r="J88" i="222"/>
  <c r="K88" i="222"/>
  <c r="L88" i="222"/>
  <c r="M88" i="222"/>
  <c r="N88" i="222"/>
  <c r="O88" i="222"/>
  <c r="P88" i="222"/>
  <c r="Q88" i="222"/>
  <c r="R88" i="222"/>
  <c r="S88" i="222"/>
  <c r="T88" i="222"/>
  <c r="U88" i="222"/>
  <c r="V88" i="222"/>
  <c r="W88" i="222"/>
  <c r="X88" i="222"/>
  <c r="Y88" i="222"/>
  <c r="Z88" i="222"/>
  <c r="AA88" i="222"/>
  <c r="AB88" i="222"/>
  <c r="D89" i="222"/>
  <c r="E89" i="222"/>
  <c r="F89" i="222"/>
  <c r="G89" i="222"/>
  <c r="H89" i="222"/>
  <c r="I89" i="222"/>
  <c r="J89" i="222"/>
  <c r="K89" i="222"/>
  <c r="L89" i="222"/>
  <c r="M89" i="222"/>
  <c r="N89" i="222"/>
  <c r="O89" i="222"/>
  <c r="P89" i="222"/>
  <c r="Q89" i="222"/>
  <c r="R89" i="222"/>
  <c r="S89" i="222"/>
  <c r="T89" i="222"/>
  <c r="U89" i="222"/>
  <c r="V89" i="222"/>
  <c r="W89" i="222"/>
  <c r="X89" i="222"/>
  <c r="Y89" i="222"/>
  <c r="Z89" i="222"/>
  <c r="AA89" i="222"/>
  <c r="AB89" i="222"/>
  <c r="D90" i="222"/>
  <c r="E90" i="222"/>
  <c r="F90" i="222"/>
  <c r="G90" i="222"/>
  <c r="H90" i="222"/>
  <c r="I90" i="222"/>
  <c r="J90" i="222"/>
  <c r="K90" i="222"/>
  <c r="L90" i="222"/>
  <c r="M90" i="222"/>
  <c r="N90" i="222"/>
  <c r="O90" i="222"/>
  <c r="P90" i="222"/>
  <c r="Q90" i="222"/>
  <c r="R90" i="222"/>
  <c r="S90" i="222"/>
  <c r="T90" i="222"/>
  <c r="U90" i="222"/>
  <c r="V90" i="222"/>
  <c r="W90" i="222"/>
  <c r="X90" i="222"/>
  <c r="Y90" i="222"/>
  <c r="Z90" i="222"/>
  <c r="AA90" i="222"/>
  <c r="AB90" i="222"/>
  <c r="D91" i="222"/>
  <c r="E91" i="222"/>
  <c r="F91" i="222"/>
  <c r="G91" i="222"/>
  <c r="H91" i="222"/>
  <c r="I91" i="222"/>
  <c r="J91" i="222"/>
  <c r="K91" i="222"/>
  <c r="L91" i="222"/>
  <c r="M91" i="222"/>
  <c r="N91" i="222"/>
  <c r="O91" i="222"/>
  <c r="P91" i="222"/>
  <c r="Q91" i="222"/>
  <c r="R91" i="222"/>
  <c r="S91" i="222"/>
  <c r="T91" i="222"/>
  <c r="U91" i="222"/>
  <c r="V91" i="222"/>
  <c r="W91" i="222"/>
  <c r="X91" i="222"/>
  <c r="Y91" i="222"/>
  <c r="Z91" i="222"/>
  <c r="AA91" i="222"/>
  <c r="AB91" i="222"/>
  <c r="D92" i="222"/>
  <c r="E92" i="222"/>
  <c r="F92" i="222"/>
  <c r="G92" i="222"/>
  <c r="H92" i="222"/>
  <c r="I92" i="222"/>
  <c r="J92" i="222"/>
  <c r="K92" i="222"/>
  <c r="L92" i="222"/>
  <c r="M92" i="222"/>
  <c r="N92" i="222"/>
  <c r="O92" i="222"/>
  <c r="P92" i="222"/>
  <c r="Q92" i="222"/>
  <c r="R92" i="222"/>
  <c r="S92" i="222"/>
  <c r="T92" i="222"/>
  <c r="U92" i="222"/>
  <c r="V92" i="222"/>
  <c r="W92" i="222"/>
  <c r="X92" i="222"/>
  <c r="Y92" i="222"/>
  <c r="Z92" i="222"/>
  <c r="AA92" i="222"/>
  <c r="AB92" i="222"/>
  <c r="D93" i="222"/>
  <c r="E93" i="222"/>
  <c r="F93" i="222"/>
  <c r="G93" i="222"/>
  <c r="H93" i="222"/>
  <c r="I93" i="222"/>
  <c r="J93" i="222"/>
  <c r="K93" i="222"/>
  <c r="L93" i="222"/>
  <c r="M93" i="222"/>
  <c r="N93" i="222"/>
  <c r="O93" i="222"/>
  <c r="P93" i="222"/>
  <c r="Q93" i="222"/>
  <c r="R93" i="222"/>
  <c r="S93" i="222"/>
  <c r="T93" i="222"/>
  <c r="U93" i="222"/>
  <c r="V93" i="222"/>
  <c r="W93" i="222"/>
  <c r="X93" i="222"/>
  <c r="Y93" i="222"/>
  <c r="Z93" i="222"/>
  <c r="AA93" i="222"/>
  <c r="AB93" i="222"/>
  <c r="D94" i="222"/>
  <c r="E94" i="222"/>
  <c r="F94" i="222"/>
  <c r="G94" i="222"/>
  <c r="H94" i="222"/>
  <c r="I94" i="222"/>
  <c r="J94" i="222"/>
  <c r="K94" i="222"/>
  <c r="L94" i="222"/>
  <c r="M94" i="222"/>
  <c r="N94" i="222"/>
  <c r="O94" i="222"/>
  <c r="P94" i="222"/>
  <c r="Q94" i="222"/>
  <c r="R94" i="222"/>
  <c r="S94" i="222"/>
  <c r="T94" i="222"/>
  <c r="U94" i="222"/>
  <c r="V94" i="222"/>
  <c r="W94" i="222"/>
  <c r="X94" i="222"/>
  <c r="Y94" i="222"/>
  <c r="Z94" i="222"/>
  <c r="AA94" i="222"/>
  <c r="AB94" i="222"/>
  <c r="D95" i="222"/>
  <c r="E95" i="222"/>
  <c r="F95" i="222"/>
  <c r="G95" i="222"/>
  <c r="H95" i="222"/>
  <c r="I95" i="222"/>
  <c r="J95" i="222"/>
  <c r="K95" i="222"/>
  <c r="L95" i="222"/>
  <c r="M95" i="222"/>
  <c r="N95" i="222"/>
  <c r="O95" i="222"/>
  <c r="P95" i="222"/>
  <c r="Q95" i="222"/>
  <c r="R95" i="222"/>
  <c r="S95" i="222"/>
  <c r="T95" i="222"/>
  <c r="U95" i="222"/>
  <c r="V95" i="222"/>
  <c r="W95" i="222"/>
  <c r="X95" i="222"/>
  <c r="Y95" i="222"/>
  <c r="Z95" i="222"/>
  <c r="AA95" i="222"/>
  <c r="AB95" i="222"/>
  <c r="D96" i="222"/>
  <c r="E96" i="222"/>
  <c r="F96" i="222"/>
  <c r="G96" i="222"/>
  <c r="H96" i="222"/>
  <c r="I96" i="222"/>
  <c r="J96" i="222"/>
  <c r="K96" i="222"/>
  <c r="L96" i="222"/>
  <c r="M96" i="222"/>
  <c r="N96" i="222"/>
  <c r="O96" i="222"/>
  <c r="P96" i="222"/>
  <c r="Q96" i="222"/>
  <c r="R96" i="222"/>
  <c r="S96" i="222"/>
  <c r="T96" i="222"/>
  <c r="U96" i="222"/>
  <c r="V96" i="222"/>
  <c r="W96" i="222"/>
  <c r="X96" i="222"/>
  <c r="Y96" i="222"/>
  <c r="Z96" i="222"/>
  <c r="AA96" i="222"/>
  <c r="AB96" i="222"/>
  <c r="D97" i="222"/>
  <c r="E97" i="222"/>
  <c r="F97" i="222"/>
  <c r="G97" i="222"/>
  <c r="H97" i="222"/>
  <c r="I97" i="222"/>
  <c r="J97" i="222"/>
  <c r="K97" i="222"/>
  <c r="L97" i="222"/>
  <c r="M97" i="222"/>
  <c r="N97" i="222"/>
  <c r="O97" i="222"/>
  <c r="P97" i="222"/>
  <c r="Q97" i="222"/>
  <c r="R97" i="222"/>
  <c r="S97" i="222"/>
  <c r="T97" i="222"/>
  <c r="U97" i="222"/>
  <c r="V97" i="222"/>
  <c r="W97" i="222"/>
  <c r="X97" i="222"/>
  <c r="Y97" i="222"/>
  <c r="Z97" i="222"/>
  <c r="AA97" i="222"/>
  <c r="AB97" i="222"/>
  <c r="D98" i="222"/>
  <c r="E98" i="222"/>
  <c r="F98" i="222"/>
  <c r="G98" i="222"/>
  <c r="H98" i="222"/>
  <c r="I98" i="222"/>
  <c r="J98" i="222"/>
  <c r="K98" i="222"/>
  <c r="L98" i="222"/>
  <c r="M98" i="222"/>
  <c r="N98" i="222"/>
  <c r="O98" i="222"/>
  <c r="P98" i="222"/>
  <c r="Q98" i="222"/>
  <c r="R98" i="222"/>
  <c r="S98" i="222"/>
  <c r="T98" i="222"/>
  <c r="U98" i="222"/>
  <c r="V98" i="222"/>
  <c r="W98" i="222"/>
  <c r="X98" i="222"/>
  <c r="Y98" i="222"/>
  <c r="Z98" i="222"/>
  <c r="AA98" i="222"/>
  <c r="AB98" i="222"/>
  <c r="D99" i="222"/>
  <c r="E99" i="222"/>
  <c r="F99" i="222"/>
  <c r="G99" i="222"/>
  <c r="H99" i="222"/>
  <c r="I99" i="222"/>
  <c r="J99" i="222"/>
  <c r="K99" i="222"/>
  <c r="L99" i="222"/>
  <c r="M99" i="222"/>
  <c r="N99" i="222"/>
  <c r="P99" i="222"/>
  <c r="Q99" i="222"/>
  <c r="R99" i="222"/>
  <c r="S99" i="222"/>
  <c r="T99" i="222"/>
  <c r="W99" i="222"/>
  <c r="X99" i="222"/>
  <c r="Y99" i="222"/>
  <c r="Z99" i="222"/>
  <c r="AA99" i="222"/>
  <c r="AB99" i="222"/>
  <c r="D100" i="222"/>
  <c r="E100" i="222"/>
  <c r="F100" i="222"/>
  <c r="G100" i="222"/>
  <c r="H100" i="222"/>
  <c r="I100" i="222"/>
  <c r="J100" i="222"/>
  <c r="K100" i="222"/>
  <c r="L100" i="222"/>
  <c r="M100" i="222"/>
  <c r="N100" i="222"/>
  <c r="O100" i="222"/>
  <c r="P100" i="222"/>
  <c r="Q100" i="222"/>
  <c r="R100" i="222"/>
  <c r="S100" i="222"/>
  <c r="T100" i="222"/>
  <c r="U100" i="222"/>
  <c r="V100" i="222"/>
  <c r="W100" i="222"/>
  <c r="X100" i="222"/>
  <c r="Y100" i="222"/>
  <c r="Z100" i="222"/>
  <c r="AA100" i="222"/>
  <c r="AB100" i="222"/>
  <c r="D101" i="222"/>
  <c r="E101" i="222"/>
  <c r="F101" i="222"/>
  <c r="G101" i="222"/>
  <c r="H101" i="222"/>
  <c r="I101" i="222"/>
  <c r="J101" i="222"/>
  <c r="K101" i="222"/>
  <c r="L101" i="222"/>
  <c r="M101" i="222"/>
  <c r="N101" i="222"/>
  <c r="O101" i="222"/>
  <c r="P101" i="222"/>
  <c r="Q101" i="222"/>
  <c r="R101" i="222"/>
  <c r="S101" i="222"/>
  <c r="T101" i="222"/>
  <c r="U101" i="222"/>
  <c r="V101" i="222"/>
  <c r="W101" i="222"/>
  <c r="X101" i="222"/>
  <c r="Y101" i="222"/>
  <c r="Z101" i="222"/>
  <c r="AA101" i="222"/>
  <c r="AB101" i="222"/>
  <c r="D102" i="222"/>
  <c r="E102" i="222"/>
  <c r="F102" i="222"/>
  <c r="G102" i="222"/>
  <c r="H102" i="222"/>
  <c r="I102" i="222"/>
  <c r="J102" i="222"/>
  <c r="K102" i="222"/>
  <c r="L102" i="222"/>
  <c r="M102" i="222"/>
  <c r="N102" i="222"/>
  <c r="O102" i="222"/>
  <c r="P102" i="222"/>
  <c r="Q102" i="222"/>
  <c r="R102" i="222"/>
  <c r="S102" i="222"/>
  <c r="T102" i="222"/>
  <c r="U102" i="222"/>
  <c r="V102" i="222"/>
  <c r="W102" i="222"/>
  <c r="X102" i="222"/>
  <c r="Y102" i="222"/>
  <c r="Z102" i="222"/>
  <c r="AA102" i="222"/>
  <c r="AB102" i="222"/>
  <c r="D103" i="222"/>
  <c r="E103" i="222"/>
  <c r="F103" i="222"/>
  <c r="G103" i="222"/>
  <c r="H103" i="222"/>
  <c r="I103" i="222"/>
  <c r="J103" i="222"/>
  <c r="K103" i="222"/>
  <c r="L103" i="222"/>
  <c r="M103" i="222"/>
  <c r="N103" i="222"/>
  <c r="O103" i="222"/>
  <c r="P103" i="222"/>
  <c r="Q103" i="222"/>
  <c r="R103" i="222"/>
  <c r="S103" i="222"/>
  <c r="T103" i="222"/>
  <c r="U103" i="222"/>
  <c r="V103" i="222"/>
  <c r="W103" i="222"/>
  <c r="X103" i="222"/>
  <c r="Y103" i="222"/>
  <c r="Z103" i="222"/>
  <c r="AA103" i="222"/>
  <c r="AB103" i="222"/>
  <c r="D104" i="222"/>
  <c r="E104" i="222"/>
  <c r="G104" i="222"/>
  <c r="H104" i="222"/>
  <c r="I104" i="222"/>
  <c r="J104" i="222"/>
  <c r="K104" i="222"/>
  <c r="L104" i="222"/>
  <c r="M104" i="222"/>
  <c r="N104" i="222"/>
  <c r="P104" i="222"/>
  <c r="Q104" i="222"/>
  <c r="R104" i="222"/>
  <c r="S104" i="222"/>
  <c r="T104" i="222"/>
  <c r="W104" i="222"/>
  <c r="X104" i="222"/>
  <c r="Y104" i="222"/>
  <c r="Z104" i="222"/>
  <c r="AA104" i="222"/>
  <c r="AB104" i="222"/>
  <c r="D105" i="222"/>
  <c r="E105" i="222"/>
  <c r="G105" i="222"/>
  <c r="H105" i="222"/>
  <c r="I105" i="222"/>
  <c r="J105" i="222"/>
  <c r="K105" i="222"/>
  <c r="L105" i="222"/>
  <c r="M105" i="222"/>
  <c r="N105" i="222"/>
  <c r="P105" i="222"/>
  <c r="Q105" i="222"/>
  <c r="R105" i="222"/>
  <c r="S105" i="222"/>
  <c r="T105" i="222"/>
  <c r="W105" i="222"/>
  <c r="X105" i="222"/>
  <c r="Y105" i="222"/>
  <c r="Z105" i="222"/>
  <c r="AA105" i="222"/>
  <c r="AB105" i="222"/>
  <c r="E6" i="222"/>
  <c r="F6" i="222"/>
  <c r="G6" i="222"/>
  <c r="H6" i="222"/>
  <c r="I6" i="222"/>
  <c r="J6" i="222"/>
  <c r="K6" i="222"/>
  <c r="L6" i="222"/>
  <c r="M6" i="222"/>
  <c r="N6" i="222"/>
  <c r="O6" i="222"/>
  <c r="P6" i="222"/>
  <c r="Q6" i="222"/>
  <c r="R6" i="222"/>
  <c r="S6" i="222"/>
  <c r="T6" i="222"/>
  <c r="U6" i="222"/>
  <c r="V6" i="222"/>
  <c r="W6" i="222"/>
  <c r="X6" i="222"/>
  <c r="Y6" i="222"/>
  <c r="Z6" i="222"/>
  <c r="AA6" i="222"/>
  <c r="AB6" i="222"/>
  <c r="D110" i="222"/>
  <c r="F110" i="222" s="1"/>
  <c r="D111" i="222"/>
  <c r="F111" i="222" s="1"/>
  <c r="D112" i="222"/>
  <c r="F112" i="222" s="1"/>
  <c r="D113" i="222"/>
  <c r="F113" i="222" s="1"/>
  <c r="D114" i="222"/>
  <c r="F114" i="222" s="1"/>
  <c r="D115" i="222"/>
  <c r="F115" i="222" s="1"/>
  <c r="D116" i="222"/>
  <c r="D117" i="222"/>
  <c r="F117" i="222" s="1"/>
  <c r="D118" i="222"/>
  <c r="F118" i="222" s="1"/>
  <c r="D119" i="222"/>
  <c r="F119" i="222" s="1"/>
  <c r="D120" i="222"/>
  <c r="D121" i="222"/>
  <c r="F121" i="222" s="1"/>
  <c r="D122" i="222"/>
  <c r="F122" i="222" s="1"/>
  <c r="D123" i="222"/>
  <c r="F123" i="222" s="1"/>
  <c r="D109" i="222"/>
  <c r="D6" i="222"/>
  <c r="J124" i="222"/>
  <c r="H124" i="222"/>
  <c r="G124" i="222"/>
  <c r="K123" i="222"/>
  <c r="K122" i="222"/>
  <c r="K121" i="222"/>
  <c r="K120" i="222"/>
  <c r="K119" i="222"/>
  <c r="K118" i="222"/>
  <c r="K117" i="222"/>
  <c r="K116" i="222"/>
  <c r="F116" i="222"/>
  <c r="K115" i="222"/>
  <c r="K114" i="222"/>
  <c r="K113" i="222"/>
  <c r="K112" i="222"/>
  <c r="K111" i="222"/>
  <c r="K110" i="222"/>
  <c r="A7" i="222"/>
  <c r="A8" i="222" s="1"/>
  <c r="A9" i="222" s="1"/>
  <c r="A10" i="222" s="1"/>
  <c r="A11" i="222" s="1"/>
  <c r="A12" i="222" s="1"/>
  <c r="A13" i="222" s="1"/>
  <c r="A14" i="222" s="1"/>
  <c r="A15" i="222" s="1"/>
  <c r="A16" i="222" s="1"/>
  <c r="A17" i="222" s="1"/>
  <c r="A18" i="222" s="1"/>
  <c r="A19" i="222" s="1"/>
  <c r="A20" i="222" s="1"/>
  <c r="A21" i="222" s="1"/>
  <c r="A22" i="222" s="1"/>
  <c r="A23" i="222" s="1"/>
  <c r="A24" i="222" s="1"/>
  <c r="A25" i="222" s="1"/>
  <c r="A26" i="222" s="1"/>
  <c r="A27" i="222" s="1"/>
  <c r="A28" i="222" s="1"/>
  <c r="A29" i="222" s="1"/>
  <c r="A30" i="222" s="1"/>
  <c r="A31" i="222" s="1"/>
  <c r="A32" i="222" s="1"/>
  <c r="A33" i="222" s="1"/>
  <c r="A34" i="222" s="1"/>
  <c r="A35" i="222" s="1"/>
  <c r="A36" i="222" s="1"/>
  <c r="A37" i="222" s="1"/>
  <c r="A38" i="222" s="1"/>
  <c r="A39" i="222" s="1"/>
  <c r="A40" i="222" s="1"/>
  <c r="A41" i="222" s="1"/>
  <c r="A42" i="222" s="1"/>
  <c r="A43" i="222" s="1"/>
  <c r="A44" i="222" s="1"/>
  <c r="A45" i="222" s="1"/>
  <c r="A46" i="222" s="1"/>
  <c r="A47" i="222" s="1"/>
  <c r="A48" i="222" s="1"/>
  <c r="A49" i="222" s="1"/>
  <c r="A50" i="222" s="1"/>
  <c r="A51" i="222" s="1"/>
  <c r="A52" i="222" s="1"/>
  <c r="A53" i="222" s="1"/>
  <c r="A54" i="222" s="1"/>
  <c r="A55" i="222" s="1"/>
  <c r="A56" i="222" s="1"/>
  <c r="A57" i="222" s="1"/>
  <c r="A58" i="222" s="1"/>
  <c r="A59" i="222" s="1"/>
  <c r="A60" i="222" s="1"/>
  <c r="A61" i="222" s="1"/>
  <c r="A62" i="222" s="1"/>
  <c r="A63" i="222" s="1"/>
  <c r="A64" i="222" s="1"/>
  <c r="A65" i="222" s="1"/>
  <c r="A66" i="222" s="1"/>
  <c r="A67" i="222" s="1"/>
  <c r="A68" i="222" s="1"/>
  <c r="A69" i="222" s="1"/>
  <c r="A70" i="222" s="1"/>
  <c r="A71" i="222" s="1"/>
  <c r="A72" i="222" s="1"/>
  <c r="A73" i="222" s="1"/>
  <c r="A74" i="222" s="1"/>
  <c r="A75" i="222" s="1"/>
  <c r="A76" i="222" s="1"/>
  <c r="A77" i="222" s="1"/>
  <c r="A78" i="222" s="1"/>
  <c r="A79" i="222" s="1"/>
  <c r="A80" i="222" s="1"/>
  <c r="A81" i="222" s="1"/>
  <c r="A82" i="222" s="1"/>
  <c r="A83" i="222" s="1"/>
  <c r="A84" i="222" s="1"/>
  <c r="A85" i="222" s="1"/>
  <c r="A86" i="222" s="1"/>
  <c r="A87" i="222" s="1"/>
  <c r="A88" i="222" s="1"/>
  <c r="A89" i="222" s="1"/>
  <c r="A90" i="222" s="1"/>
  <c r="A91" i="222" s="1"/>
  <c r="A92" i="222" s="1"/>
  <c r="A93" i="222" s="1"/>
  <c r="A94" i="222" s="1"/>
  <c r="A95" i="222" s="1"/>
  <c r="A96" i="222" s="1"/>
  <c r="A97" i="222" s="1"/>
  <c r="A98" i="222" s="1"/>
  <c r="A99" i="222" s="1"/>
  <c r="A100" i="222" s="1"/>
  <c r="A101" i="222" s="1"/>
  <c r="A102" i="222" s="1"/>
  <c r="A103" i="222" s="1"/>
  <c r="A104" i="222" s="1"/>
  <c r="A105" i="222" s="1"/>
  <c r="A109" i="222" s="1"/>
  <c r="A110" i="222" s="1"/>
  <c r="A111" i="222" s="1"/>
  <c r="A112" i="222" s="1"/>
  <c r="A113" i="222" s="1"/>
  <c r="A114" i="222" s="1"/>
  <c r="A115" i="222" s="1"/>
  <c r="A116" i="222" s="1"/>
  <c r="A117" i="222" s="1"/>
  <c r="A118" i="222" s="1"/>
  <c r="A119" i="222" s="1"/>
  <c r="A120" i="222" s="1"/>
  <c r="A121" i="222" s="1"/>
  <c r="A122" i="222" s="1"/>
  <c r="A123" i="222" s="1"/>
  <c r="A126" i="222" s="1"/>
  <c r="A6" i="222"/>
  <c r="E16" i="68"/>
  <c r="E14" i="68"/>
  <c r="E13" i="68"/>
  <c r="F7" i="68"/>
  <c r="AA7" i="221"/>
  <c r="AB7" i="221"/>
  <c r="AA8" i="221"/>
  <c r="AB8" i="221"/>
  <c r="AA9" i="221"/>
  <c r="AB9" i="221"/>
  <c r="AA10" i="221"/>
  <c r="AB10" i="221"/>
  <c r="AA11" i="221"/>
  <c r="AB11" i="221"/>
  <c r="AA12" i="221"/>
  <c r="AB12" i="221"/>
  <c r="AA13" i="221"/>
  <c r="AB13" i="221"/>
  <c r="AA14" i="221"/>
  <c r="AB14" i="221"/>
  <c r="AA15" i="221"/>
  <c r="AB15" i="221"/>
  <c r="AA16" i="221"/>
  <c r="AB16" i="221"/>
  <c r="AA17" i="221"/>
  <c r="AB17" i="221"/>
  <c r="AA18" i="221"/>
  <c r="AB18" i="221"/>
  <c r="AA19" i="221"/>
  <c r="AB19" i="221"/>
  <c r="AA20" i="221"/>
  <c r="AB20" i="221"/>
  <c r="AA21" i="221"/>
  <c r="AB21" i="221"/>
  <c r="AA22" i="221"/>
  <c r="AB22" i="221"/>
  <c r="AA23" i="221"/>
  <c r="AB23" i="221"/>
  <c r="AA24" i="221"/>
  <c r="AB24" i="221"/>
  <c r="AA25" i="221"/>
  <c r="AB25" i="221"/>
  <c r="AA26" i="221"/>
  <c r="AB26" i="221"/>
  <c r="AA27" i="221"/>
  <c r="AB27" i="221"/>
  <c r="AA28" i="221"/>
  <c r="AB28" i="221"/>
  <c r="AA29" i="221"/>
  <c r="AB29" i="221"/>
  <c r="AA30" i="221"/>
  <c r="AB30" i="221"/>
  <c r="AA31" i="221"/>
  <c r="AB31" i="221"/>
  <c r="AA32" i="221"/>
  <c r="AB32" i="221"/>
  <c r="AA33" i="221"/>
  <c r="AB33" i="221"/>
  <c r="AA34" i="221"/>
  <c r="AB34" i="221"/>
  <c r="AA35" i="221"/>
  <c r="AB35" i="221"/>
  <c r="AA36" i="221"/>
  <c r="AB36" i="221"/>
  <c r="AA37" i="221"/>
  <c r="AB37" i="221"/>
  <c r="AA38" i="221"/>
  <c r="AB38" i="221"/>
  <c r="AA39" i="221"/>
  <c r="AB39" i="221"/>
  <c r="AA40" i="221"/>
  <c r="AB40" i="221"/>
  <c r="AA41" i="221"/>
  <c r="AB41" i="221"/>
  <c r="AA42" i="221"/>
  <c r="AB42" i="221"/>
  <c r="AA43" i="221"/>
  <c r="AB43" i="221"/>
  <c r="AA44" i="221"/>
  <c r="AB44" i="221"/>
  <c r="AA45" i="221"/>
  <c r="AB45" i="221"/>
  <c r="AA46" i="221"/>
  <c r="AB46" i="221"/>
  <c r="AA47" i="221"/>
  <c r="AB47" i="221"/>
  <c r="AA48" i="221"/>
  <c r="AB48" i="221"/>
  <c r="AA49" i="221"/>
  <c r="AB49" i="221"/>
  <c r="AA50" i="221"/>
  <c r="AB50" i="221"/>
  <c r="AA51" i="221"/>
  <c r="AB51" i="221"/>
  <c r="AA52" i="221"/>
  <c r="AB52" i="221"/>
  <c r="AA53" i="221"/>
  <c r="AB53" i="221"/>
  <c r="AA54" i="221"/>
  <c r="AB54" i="221"/>
  <c r="AA55" i="221"/>
  <c r="AB55" i="221"/>
  <c r="AA56" i="221"/>
  <c r="AB56" i="221"/>
  <c r="AA57" i="221"/>
  <c r="AB57" i="221"/>
  <c r="AA58" i="221"/>
  <c r="AB58" i="221"/>
  <c r="AA59" i="221"/>
  <c r="AB59" i="221"/>
  <c r="AA60" i="221"/>
  <c r="AB60" i="221"/>
  <c r="AA61" i="221"/>
  <c r="AB61" i="221"/>
  <c r="AA62" i="221"/>
  <c r="AB62" i="221"/>
  <c r="AA63" i="221"/>
  <c r="AB63" i="221"/>
  <c r="AA64" i="221"/>
  <c r="AB64" i="221"/>
  <c r="AA65" i="221"/>
  <c r="AB65" i="221"/>
  <c r="AA66" i="221"/>
  <c r="AB66" i="221"/>
  <c r="AA67" i="221"/>
  <c r="AB67" i="221"/>
  <c r="AA68" i="221"/>
  <c r="AB68" i="221"/>
  <c r="AA69" i="221"/>
  <c r="AB69" i="221"/>
  <c r="AA70" i="221"/>
  <c r="AB70" i="221"/>
  <c r="AA71" i="221"/>
  <c r="AB71" i="221"/>
  <c r="AA72" i="221"/>
  <c r="AB72" i="221"/>
  <c r="AA73" i="221"/>
  <c r="AB73" i="221"/>
  <c r="AA74" i="221"/>
  <c r="AB74" i="221"/>
  <c r="AA75" i="221"/>
  <c r="AB75" i="221"/>
  <c r="AA76" i="221"/>
  <c r="AB76" i="221"/>
  <c r="AA77" i="221"/>
  <c r="AB77" i="221"/>
  <c r="AA78" i="221"/>
  <c r="AB78" i="221"/>
  <c r="AA79" i="221"/>
  <c r="AB79" i="221"/>
  <c r="AA80" i="221"/>
  <c r="AB80" i="221"/>
  <c r="AA81" i="221"/>
  <c r="AB81" i="221"/>
  <c r="AA82" i="221"/>
  <c r="AB82" i="221"/>
  <c r="AA83" i="221"/>
  <c r="AB83" i="221"/>
  <c r="AA84" i="221"/>
  <c r="AB84" i="221"/>
  <c r="AA85" i="221"/>
  <c r="AB85" i="221"/>
  <c r="AA86" i="221"/>
  <c r="AB86" i="221"/>
  <c r="AA6" i="221"/>
  <c r="AB6" i="221"/>
  <c r="E6" i="221"/>
  <c r="F6" i="221"/>
  <c r="G6" i="221"/>
  <c r="H6" i="221"/>
  <c r="I6" i="221"/>
  <c r="J6" i="221"/>
  <c r="K6" i="221"/>
  <c r="L6" i="221"/>
  <c r="M6" i="221"/>
  <c r="N6" i="221"/>
  <c r="O6" i="221"/>
  <c r="P6" i="221"/>
  <c r="Q6" i="221"/>
  <c r="R6" i="221"/>
  <c r="S6" i="221"/>
  <c r="T6" i="221"/>
  <c r="U6" i="221"/>
  <c r="V6" i="221"/>
  <c r="W6" i="221"/>
  <c r="X6" i="221"/>
  <c r="Y6" i="221"/>
  <c r="Z6" i="221"/>
  <c r="E7" i="221"/>
  <c r="F7" i="221"/>
  <c r="G7" i="221"/>
  <c r="H7" i="221"/>
  <c r="I7" i="221"/>
  <c r="J7" i="221"/>
  <c r="K7" i="221"/>
  <c r="L7" i="221"/>
  <c r="M7" i="221"/>
  <c r="N7" i="221"/>
  <c r="O7" i="221"/>
  <c r="P7" i="221"/>
  <c r="Q7" i="221"/>
  <c r="R7" i="221"/>
  <c r="S7" i="221"/>
  <c r="T7" i="221"/>
  <c r="U7" i="221"/>
  <c r="V7" i="221"/>
  <c r="W7" i="221"/>
  <c r="X7" i="221"/>
  <c r="Y7" i="221"/>
  <c r="Z7" i="221"/>
  <c r="E8" i="221"/>
  <c r="F8" i="221"/>
  <c r="G8" i="221"/>
  <c r="H8" i="221"/>
  <c r="H87" i="221" s="1"/>
  <c r="I8" i="221"/>
  <c r="J8" i="221"/>
  <c r="K8" i="221"/>
  <c r="L8" i="221"/>
  <c r="M8" i="221"/>
  <c r="N8" i="221"/>
  <c r="O8" i="221"/>
  <c r="P8" i="221"/>
  <c r="Q8" i="221"/>
  <c r="R8" i="221"/>
  <c r="S8" i="221"/>
  <c r="T8" i="221"/>
  <c r="U8" i="221"/>
  <c r="V8" i="221"/>
  <c r="W8" i="221"/>
  <c r="X8" i="221"/>
  <c r="X87" i="221" s="1"/>
  <c r="Y8" i="221"/>
  <c r="Z8" i="221"/>
  <c r="E9" i="221"/>
  <c r="G9" i="221"/>
  <c r="H9" i="221"/>
  <c r="I9" i="221"/>
  <c r="J9" i="221"/>
  <c r="J87" i="221" s="1"/>
  <c r="K9" i="221"/>
  <c r="L9" i="221"/>
  <c r="M9" i="221"/>
  <c r="N9" i="221"/>
  <c r="P9" i="221"/>
  <c r="Q9" i="221"/>
  <c r="R9" i="221"/>
  <c r="R87" i="221" s="1"/>
  <c r="S9" i="221"/>
  <c r="T9" i="221"/>
  <c r="U9" i="221"/>
  <c r="V9" i="221"/>
  <c r="W9" i="221"/>
  <c r="X9" i="221"/>
  <c r="Y9" i="221"/>
  <c r="Z9" i="221"/>
  <c r="E10" i="221"/>
  <c r="F10" i="221"/>
  <c r="G10" i="221"/>
  <c r="H10" i="221"/>
  <c r="I10" i="221"/>
  <c r="J10" i="221"/>
  <c r="K10" i="221"/>
  <c r="L10" i="221"/>
  <c r="M10" i="221"/>
  <c r="N10" i="221"/>
  <c r="O10" i="221"/>
  <c r="P10" i="221"/>
  <c r="Q10" i="221"/>
  <c r="R10" i="221"/>
  <c r="S10" i="221"/>
  <c r="T10" i="221"/>
  <c r="U10" i="221"/>
  <c r="V10" i="221"/>
  <c r="W10" i="221"/>
  <c r="X10" i="221"/>
  <c r="Y10" i="221"/>
  <c r="Z10" i="221"/>
  <c r="E11" i="221"/>
  <c r="F11" i="221"/>
  <c r="G11" i="221"/>
  <c r="H11" i="221"/>
  <c r="I11" i="221"/>
  <c r="J11" i="221"/>
  <c r="K11" i="221"/>
  <c r="L11" i="221"/>
  <c r="M11" i="221"/>
  <c r="N11" i="221"/>
  <c r="O11" i="221"/>
  <c r="P11" i="221"/>
  <c r="Q11" i="221"/>
  <c r="R11" i="221"/>
  <c r="S11" i="221"/>
  <c r="T11" i="221"/>
  <c r="U11" i="221"/>
  <c r="V11" i="221"/>
  <c r="W11" i="221"/>
  <c r="X11" i="221"/>
  <c r="Y11" i="221"/>
  <c r="Z11" i="221"/>
  <c r="E12" i="221"/>
  <c r="F12" i="221"/>
  <c r="G12" i="221"/>
  <c r="H12" i="221"/>
  <c r="I12" i="221"/>
  <c r="J12" i="221"/>
  <c r="K12" i="221"/>
  <c r="L12" i="221"/>
  <c r="M12" i="221"/>
  <c r="N12" i="221"/>
  <c r="O12" i="221"/>
  <c r="P12" i="221"/>
  <c r="Q12" i="221"/>
  <c r="R12" i="221"/>
  <c r="S12" i="221"/>
  <c r="T12" i="221"/>
  <c r="U12" i="221"/>
  <c r="V12" i="221"/>
  <c r="W12" i="221"/>
  <c r="X12" i="221"/>
  <c r="Y12" i="221"/>
  <c r="Z12" i="221"/>
  <c r="E13" i="221"/>
  <c r="F13" i="221"/>
  <c r="G13" i="221"/>
  <c r="H13" i="221"/>
  <c r="I13" i="221"/>
  <c r="J13" i="221"/>
  <c r="K13" i="221"/>
  <c r="L13" i="221"/>
  <c r="M13" i="221"/>
  <c r="N13" i="221"/>
  <c r="O13" i="221"/>
  <c r="P13" i="221"/>
  <c r="Q13" i="221"/>
  <c r="R13" i="221"/>
  <c r="S13" i="221"/>
  <c r="T13" i="221"/>
  <c r="U13" i="221"/>
  <c r="V13" i="221"/>
  <c r="W13" i="221"/>
  <c r="X13" i="221"/>
  <c r="Y13" i="221"/>
  <c r="Z13" i="221"/>
  <c r="E14" i="221"/>
  <c r="F14" i="221"/>
  <c r="G14" i="221"/>
  <c r="H14" i="221"/>
  <c r="I14" i="221"/>
  <c r="J14" i="221"/>
  <c r="K14" i="221"/>
  <c r="L14" i="221"/>
  <c r="M14" i="221"/>
  <c r="N14" i="221"/>
  <c r="O14" i="221"/>
  <c r="P14" i="221"/>
  <c r="Q14" i="221"/>
  <c r="R14" i="221"/>
  <c r="S14" i="221"/>
  <c r="T14" i="221"/>
  <c r="U14" i="221"/>
  <c r="V14" i="221"/>
  <c r="W14" i="221"/>
  <c r="X14" i="221"/>
  <c r="Y14" i="221"/>
  <c r="Z14" i="221"/>
  <c r="E15" i="221"/>
  <c r="F15" i="221"/>
  <c r="G15" i="221"/>
  <c r="H15" i="221"/>
  <c r="I15" i="221"/>
  <c r="J15" i="221"/>
  <c r="K15" i="221"/>
  <c r="L15" i="221"/>
  <c r="M15" i="221"/>
  <c r="N15" i="221"/>
  <c r="O15" i="221"/>
  <c r="P15" i="221"/>
  <c r="Q15" i="221"/>
  <c r="R15" i="221"/>
  <c r="S15" i="221"/>
  <c r="T15" i="221"/>
  <c r="U15" i="221"/>
  <c r="V15" i="221"/>
  <c r="W15" i="221"/>
  <c r="X15" i="221"/>
  <c r="Y15" i="221"/>
  <c r="Z15" i="221"/>
  <c r="E16" i="221"/>
  <c r="F16" i="221"/>
  <c r="G16" i="221"/>
  <c r="H16" i="221"/>
  <c r="I16" i="221"/>
  <c r="J16" i="221"/>
  <c r="K16" i="221"/>
  <c r="L16" i="221"/>
  <c r="M16" i="221"/>
  <c r="N16" i="221"/>
  <c r="O16" i="221"/>
  <c r="P16" i="221"/>
  <c r="Q16" i="221"/>
  <c r="R16" i="221"/>
  <c r="S16" i="221"/>
  <c r="T16" i="221"/>
  <c r="U16" i="221"/>
  <c r="V16" i="221"/>
  <c r="W16" i="221"/>
  <c r="X16" i="221"/>
  <c r="Y16" i="221"/>
  <c r="Z16" i="221"/>
  <c r="E17" i="221"/>
  <c r="F17" i="221"/>
  <c r="G17" i="221"/>
  <c r="H17" i="221"/>
  <c r="I17" i="221"/>
  <c r="J17" i="221"/>
  <c r="K17" i="221"/>
  <c r="L17" i="221"/>
  <c r="M17" i="221"/>
  <c r="N17" i="221"/>
  <c r="O17" i="221"/>
  <c r="P17" i="221"/>
  <c r="Q17" i="221"/>
  <c r="R17" i="221"/>
  <c r="S17" i="221"/>
  <c r="T17" i="221"/>
  <c r="U17" i="221"/>
  <c r="V17" i="221"/>
  <c r="W17" i="221"/>
  <c r="X17" i="221"/>
  <c r="Y17" i="221"/>
  <c r="Z17" i="221"/>
  <c r="E18" i="221"/>
  <c r="F18" i="221"/>
  <c r="G18" i="221"/>
  <c r="H18" i="221"/>
  <c r="I18" i="221"/>
  <c r="J18" i="221"/>
  <c r="K18" i="221"/>
  <c r="L18" i="221"/>
  <c r="M18" i="221"/>
  <c r="N18" i="221"/>
  <c r="O18" i="221"/>
  <c r="P18" i="221"/>
  <c r="Q18" i="221"/>
  <c r="R18" i="221"/>
  <c r="S18" i="221"/>
  <c r="T18" i="221"/>
  <c r="U18" i="221"/>
  <c r="V18" i="221"/>
  <c r="W18" i="221"/>
  <c r="X18" i="221"/>
  <c r="Y18" i="221"/>
  <c r="Z18" i="221"/>
  <c r="E19" i="221"/>
  <c r="F19" i="221"/>
  <c r="G19" i="221"/>
  <c r="H19" i="221"/>
  <c r="I19" i="221"/>
  <c r="J19" i="221"/>
  <c r="K19" i="221"/>
  <c r="L19" i="221"/>
  <c r="M19" i="221"/>
  <c r="N19" i="221"/>
  <c r="O19" i="221"/>
  <c r="P19" i="221"/>
  <c r="Q19" i="221"/>
  <c r="R19" i="221"/>
  <c r="S19" i="221"/>
  <c r="T19" i="221"/>
  <c r="U19" i="221"/>
  <c r="V19" i="221"/>
  <c r="W19" i="221"/>
  <c r="X19" i="221"/>
  <c r="Y19" i="221"/>
  <c r="Z19" i="221"/>
  <c r="E20" i="221"/>
  <c r="F20" i="221"/>
  <c r="G20" i="221"/>
  <c r="H20" i="221"/>
  <c r="I20" i="221"/>
  <c r="J20" i="221"/>
  <c r="K20" i="221"/>
  <c r="L20" i="221"/>
  <c r="M20" i="221"/>
  <c r="N20" i="221"/>
  <c r="O20" i="221"/>
  <c r="P20" i="221"/>
  <c r="Q20" i="221"/>
  <c r="R20" i="221"/>
  <c r="S20" i="221"/>
  <c r="T20" i="221"/>
  <c r="U20" i="221"/>
  <c r="V20" i="221"/>
  <c r="W20" i="221"/>
  <c r="X20" i="221"/>
  <c r="Y20" i="221"/>
  <c r="Z20" i="221"/>
  <c r="E21" i="221"/>
  <c r="F21" i="221"/>
  <c r="G21" i="221"/>
  <c r="H21" i="221"/>
  <c r="I21" i="221"/>
  <c r="J21" i="221"/>
  <c r="K21" i="221"/>
  <c r="L21" i="221"/>
  <c r="M21" i="221"/>
  <c r="N21" i="221"/>
  <c r="O21" i="221"/>
  <c r="P21" i="221"/>
  <c r="Q21" i="221"/>
  <c r="R21" i="221"/>
  <c r="S21" i="221"/>
  <c r="T21" i="221"/>
  <c r="U21" i="221"/>
  <c r="V21" i="221"/>
  <c r="W21" i="221"/>
  <c r="X21" i="221"/>
  <c r="Y21" i="221"/>
  <c r="Z21" i="221"/>
  <c r="E22" i="221"/>
  <c r="F22" i="221"/>
  <c r="G22" i="221"/>
  <c r="H22" i="221"/>
  <c r="I22" i="221"/>
  <c r="J22" i="221"/>
  <c r="K22" i="221"/>
  <c r="L22" i="221"/>
  <c r="M22" i="221"/>
  <c r="N22" i="221"/>
  <c r="O22" i="221"/>
  <c r="P22" i="221"/>
  <c r="Q22" i="221"/>
  <c r="R22" i="221"/>
  <c r="S22" i="221"/>
  <c r="T22" i="221"/>
  <c r="U22" i="221"/>
  <c r="V22" i="221"/>
  <c r="W22" i="221"/>
  <c r="X22" i="221"/>
  <c r="Y22" i="221"/>
  <c r="Z22" i="221"/>
  <c r="E23" i="221"/>
  <c r="F23" i="221"/>
  <c r="G23" i="221"/>
  <c r="H23" i="221"/>
  <c r="I23" i="221"/>
  <c r="J23" i="221"/>
  <c r="K23" i="221"/>
  <c r="L23" i="221"/>
  <c r="M23" i="221"/>
  <c r="N23" i="221"/>
  <c r="P23" i="221"/>
  <c r="Q23" i="221"/>
  <c r="R23" i="221"/>
  <c r="S23" i="221"/>
  <c r="T23" i="221"/>
  <c r="W23" i="221"/>
  <c r="X23" i="221"/>
  <c r="Y23" i="221"/>
  <c r="Z23" i="221"/>
  <c r="E24" i="221"/>
  <c r="F24" i="221"/>
  <c r="G24" i="221"/>
  <c r="H24" i="221"/>
  <c r="I24" i="221"/>
  <c r="J24" i="221"/>
  <c r="K24" i="221"/>
  <c r="L24" i="221"/>
  <c r="M24" i="221"/>
  <c r="N24" i="221"/>
  <c r="O24" i="221"/>
  <c r="P24" i="221"/>
  <c r="Q24" i="221"/>
  <c r="R24" i="221"/>
  <c r="S24" i="221"/>
  <c r="T24" i="221"/>
  <c r="U24" i="221"/>
  <c r="V24" i="221"/>
  <c r="W24" i="221"/>
  <c r="X24" i="221"/>
  <c r="Y24" i="221"/>
  <c r="Z24" i="221"/>
  <c r="E25" i="221"/>
  <c r="F25" i="221"/>
  <c r="G25" i="221"/>
  <c r="H25" i="221"/>
  <c r="I25" i="221"/>
  <c r="J25" i="221"/>
  <c r="K25" i="221"/>
  <c r="L25" i="221"/>
  <c r="M25" i="221"/>
  <c r="N25" i="221"/>
  <c r="P25" i="221"/>
  <c r="Q25" i="221"/>
  <c r="R25" i="221"/>
  <c r="S25" i="221"/>
  <c r="T25" i="221"/>
  <c r="W25" i="221"/>
  <c r="X25" i="221"/>
  <c r="Y25" i="221"/>
  <c r="Z25" i="221"/>
  <c r="E26" i="221"/>
  <c r="F26" i="221"/>
  <c r="G26" i="221"/>
  <c r="H26" i="221"/>
  <c r="I26" i="221"/>
  <c r="J26" i="221"/>
  <c r="K26" i="221"/>
  <c r="L26" i="221"/>
  <c r="M26" i="221"/>
  <c r="N26" i="221"/>
  <c r="O26" i="221"/>
  <c r="P26" i="221"/>
  <c r="Q26" i="221"/>
  <c r="R26" i="221"/>
  <c r="S26" i="221"/>
  <c r="T26" i="221"/>
  <c r="U26" i="221"/>
  <c r="V26" i="221"/>
  <c r="W26" i="221"/>
  <c r="X26" i="221"/>
  <c r="Y26" i="221"/>
  <c r="Z26" i="221"/>
  <c r="E27" i="221"/>
  <c r="F27" i="221"/>
  <c r="G27" i="221"/>
  <c r="H27" i="221"/>
  <c r="I27" i="221"/>
  <c r="J27" i="221"/>
  <c r="K27" i="221"/>
  <c r="L27" i="221"/>
  <c r="M27" i="221"/>
  <c r="N27" i="221"/>
  <c r="O27" i="221"/>
  <c r="P27" i="221"/>
  <c r="Q27" i="221"/>
  <c r="R27" i="221"/>
  <c r="S27" i="221"/>
  <c r="T27" i="221"/>
  <c r="U27" i="221"/>
  <c r="V27" i="221"/>
  <c r="W27" i="221"/>
  <c r="X27" i="221"/>
  <c r="Y27" i="221"/>
  <c r="Z27" i="221"/>
  <c r="E28" i="221"/>
  <c r="F28" i="221"/>
  <c r="G28" i="221"/>
  <c r="H28" i="221"/>
  <c r="I28" i="221"/>
  <c r="J28" i="221"/>
  <c r="K28" i="221"/>
  <c r="L28" i="221"/>
  <c r="M28" i="221"/>
  <c r="N28" i="221"/>
  <c r="O28" i="221"/>
  <c r="P28" i="221"/>
  <c r="Q28" i="221"/>
  <c r="R28" i="221"/>
  <c r="S28" i="221"/>
  <c r="T28" i="221"/>
  <c r="U28" i="221"/>
  <c r="V28" i="221"/>
  <c r="W28" i="221"/>
  <c r="X28" i="221"/>
  <c r="Y28" i="221"/>
  <c r="Z28" i="221"/>
  <c r="E29" i="221"/>
  <c r="F29" i="221"/>
  <c r="G29" i="221"/>
  <c r="H29" i="221"/>
  <c r="I29" i="221"/>
  <c r="J29" i="221"/>
  <c r="K29" i="221"/>
  <c r="L29" i="221"/>
  <c r="M29" i="221"/>
  <c r="N29" i="221"/>
  <c r="O29" i="221"/>
  <c r="P29" i="221"/>
  <c r="Q29" i="221"/>
  <c r="R29" i="221"/>
  <c r="S29" i="221"/>
  <c r="T29" i="221"/>
  <c r="U29" i="221"/>
  <c r="V29" i="221"/>
  <c r="W29" i="221"/>
  <c r="X29" i="221"/>
  <c r="Y29" i="221"/>
  <c r="Z29" i="221"/>
  <c r="E30" i="221"/>
  <c r="F30" i="221"/>
  <c r="G30" i="221"/>
  <c r="H30" i="221"/>
  <c r="I30" i="221"/>
  <c r="J30" i="221"/>
  <c r="K30" i="221"/>
  <c r="L30" i="221"/>
  <c r="M30" i="221"/>
  <c r="N30" i="221"/>
  <c r="O30" i="221"/>
  <c r="P30" i="221"/>
  <c r="Q30" i="221"/>
  <c r="R30" i="221"/>
  <c r="S30" i="221"/>
  <c r="T30" i="221"/>
  <c r="U30" i="221"/>
  <c r="V30" i="221"/>
  <c r="W30" i="221"/>
  <c r="X30" i="221"/>
  <c r="Y30" i="221"/>
  <c r="Z30" i="221"/>
  <c r="E31" i="221"/>
  <c r="F31" i="221"/>
  <c r="G31" i="221"/>
  <c r="H31" i="221"/>
  <c r="I31" i="221"/>
  <c r="J31" i="221"/>
  <c r="K31" i="221"/>
  <c r="L31" i="221"/>
  <c r="M31" i="221"/>
  <c r="N31" i="221"/>
  <c r="O31" i="221"/>
  <c r="P31" i="221"/>
  <c r="Q31" i="221"/>
  <c r="R31" i="221"/>
  <c r="S31" i="221"/>
  <c r="T31" i="221"/>
  <c r="U31" i="221"/>
  <c r="V31" i="221"/>
  <c r="W31" i="221"/>
  <c r="X31" i="221"/>
  <c r="Y31" i="221"/>
  <c r="Z31" i="221"/>
  <c r="E32" i="221"/>
  <c r="F32" i="221"/>
  <c r="G32" i="221"/>
  <c r="H32" i="221"/>
  <c r="I32" i="221"/>
  <c r="J32" i="221"/>
  <c r="K32" i="221"/>
  <c r="L32" i="221"/>
  <c r="M32" i="221"/>
  <c r="N32" i="221"/>
  <c r="O32" i="221"/>
  <c r="P32" i="221"/>
  <c r="Q32" i="221"/>
  <c r="R32" i="221"/>
  <c r="S32" i="221"/>
  <c r="T32" i="221"/>
  <c r="U32" i="221"/>
  <c r="V32" i="221"/>
  <c r="W32" i="221"/>
  <c r="X32" i="221"/>
  <c r="Y32" i="221"/>
  <c r="Z32" i="221"/>
  <c r="E33" i="221"/>
  <c r="F33" i="221"/>
  <c r="G33" i="221"/>
  <c r="H33" i="221"/>
  <c r="I33" i="221"/>
  <c r="J33" i="221"/>
  <c r="K33" i="221"/>
  <c r="L33" i="221"/>
  <c r="M33" i="221"/>
  <c r="N33" i="221"/>
  <c r="O33" i="221"/>
  <c r="P33" i="221"/>
  <c r="Q33" i="221"/>
  <c r="R33" i="221"/>
  <c r="S33" i="221"/>
  <c r="T33" i="221"/>
  <c r="U33" i="221"/>
  <c r="V33" i="221"/>
  <c r="W33" i="221"/>
  <c r="X33" i="221"/>
  <c r="Y33" i="221"/>
  <c r="Z33" i="221"/>
  <c r="E34" i="221"/>
  <c r="F34" i="221"/>
  <c r="G34" i="221"/>
  <c r="H34" i="221"/>
  <c r="I34" i="221"/>
  <c r="J34" i="221"/>
  <c r="K34" i="221"/>
  <c r="L34" i="221"/>
  <c r="M34" i="221"/>
  <c r="N34" i="221"/>
  <c r="O34" i="221"/>
  <c r="P34" i="221"/>
  <c r="Q34" i="221"/>
  <c r="R34" i="221"/>
  <c r="S34" i="221"/>
  <c r="T34" i="221"/>
  <c r="U34" i="221"/>
  <c r="V34" i="221"/>
  <c r="W34" i="221"/>
  <c r="X34" i="221"/>
  <c r="Y34" i="221"/>
  <c r="Z34" i="221"/>
  <c r="E35" i="221"/>
  <c r="F35" i="221"/>
  <c r="G35" i="221"/>
  <c r="H35" i="221"/>
  <c r="I35" i="221"/>
  <c r="J35" i="221"/>
  <c r="K35" i="221"/>
  <c r="L35" i="221"/>
  <c r="M35" i="221"/>
  <c r="N35" i="221"/>
  <c r="O35" i="221"/>
  <c r="P35" i="221"/>
  <c r="Q35" i="221"/>
  <c r="R35" i="221"/>
  <c r="S35" i="221"/>
  <c r="T35" i="221"/>
  <c r="U35" i="221"/>
  <c r="V35" i="221"/>
  <c r="W35" i="221"/>
  <c r="X35" i="221"/>
  <c r="Y35" i="221"/>
  <c r="Z35" i="221"/>
  <c r="E36" i="221"/>
  <c r="F36" i="221"/>
  <c r="G36" i="221"/>
  <c r="H36" i="221"/>
  <c r="I36" i="221"/>
  <c r="J36" i="221"/>
  <c r="K36" i="221"/>
  <c r="L36" i="221"/>
  <c r="M36" i="221"/>
  <c r="N36" i="221"/>
  <c r="O36" i="221"/>
  <c r="P36" i="221"/>
  <c r="Q36" i="221"/>
  <c r="R36" i="221"/>
  <c r="S36" i="221"/>
  <c r="T36" i="221"/>
  <c r="U36" i="221"/>
  <c r="V36" i="221"/>
  <c r="W36" i="221"/>
  <c r="X36" i="221"/>
  <c r="Y36" i="221"/>
  <c r="Z36" i="221"/>
  <c r="E37" i="221"/>
  <c r="F37" i="221"/>
  <c r="G37" i="221"/>
  <c r="H37" i="221"/>
  <c r="I37" i="221"/>
  <c r="J37" i="221"/>
  <c r="K37" i="221"/>
  <c r="L37" i="221"/>
  <c r="M37" i="221"/>
  <c r="N37" i="221"/>
  <c r="O37" i="221"/>
  <c r="P37" i="221"/>
  <c r="Q37" i="221"/>
  <c r="R37" i="221"/>
  <c r="S37" i="221"/>
  <c r="T37" i="221"/>
  <c r="U37" i="221"/>
  <c r="V37" i="221"/>
  <c r="W37" i="221"/>
  <c r="X37" i="221"/>
  <c r="Y37" i="221"/>
  <c r="Z37" i="221"/>
  <c r="E38" i="221"/>
  <c r="F38" i="221"/>
  <c r="G38" i="221"/>
  <c r="H38" i="221"/>
  <c r="I38" i="221"/>
  <c r="J38" i="221"/>
  <c r="K38" i="221"/>
  <c r="L38" i="221"/>
  <c r="M38" i="221"/>
  <c r="N38" i="221"/>
  <c r="O38" i="221"/>
  <c r="P38" i="221"/>
  <c r="Q38" i="221"/>
  <c r="R38" i="221"/>
  <c r="S38" i="221"/>
  <c r="T38" i="221"/>
  <c r="U38" i="221"/>
  <c r="V38" i="221"/>
  <c r="W38" i="221"/>
  <c r="X38" i="221"/>
  <c r="Y38" i="221"/>
  <c r="Z38" i="221"/>
  <c r="E39" i="221"/>
  <c r="F39" i="221"/>
  <c r="G39" i="221"/>
  <c r="H39" i="221"/>
  <c r="I39" i="221"/>
  <c r="J39" i="221"/>
  <c r="K39" i="221"/>
  <c r="L39" i="221"/>
  <c r="M39" i="221"/>
  <c r="N39" i="221"/>
  <c r="P39" i="221"/>
  <c r="Q39" i="221"/>
  <c r="R39" i="221"/>
  <c r="S39" i="221"/>
  <c r="T39" i="221"/>
  <c r="W39" i="221"/>
  <c r="X39" i="221"/>
  <c r="Y39" i="221"/>
  <c r="Z39" i="221"/>
  <c r="E40" i="221"/>
  <c r="F40" i="221"/>
  <c r="G40" i="221"/>
  <c r="H40" i="221"/>
  <c r="I40" i="221"/>
  <c r="J40" i="221"/>
  <c r="K40" i="221"/>
  <c r="L40" i="221"/>
  <c r="M40" i="221"/>
  <c r="N40" i="221"/>
  <c r="O40" i="221"/>
  <c r="P40" i="221"/>
  <c r="Q40" i="221"/>
  <c r="R40" i="221"/>
  <c r="S40" i="221"/>
  <c r="T40" i="221"/>
  <c r="U40" i="221"/>
  <c r="V40" i="221"/>
  <c r="W40" i="221"/>
  <c r="X40" i="221"/>
  <c r="Y40" i="221"/>
  <c r="Z40" i="221"/>
  <c r="E41" i="221"/>
  <c r="F41" i="221"/>
  <c r="G41" i="221"/>
  <c r="H41" i="221"/>
  <c r="I41" i="221"/>
  <c r="J41" i="221"/>
  <c r="K41" i="221"/>
  <c r="L41" i="221"/>
  <c r="M41" i="221"/>
  <c r="N41" i="221"/>
  <c r="O41" i="221"/>
  <c r="P41" i="221"/>
  <c r="Q41" i="221"/>
  <c r="R41" i="221"/>
  <c r="S41" i="221"/>
  <c r="T41" i="221"/>
  <c r="U41" i="221"/>
  <c r="V41" i="221"/>
  <c r="W41" i="221"/>
  <c r="X41" i="221"/>
  <c r="Y41" i="221"/>
  <c r="Z41" i="221"/>
  <c r="E42" i="221"/>
  <c r="F42" i="221"/>
  <c r="G42" i="221"/>
  <c r="H42" i="221"/>
  <c r="I42" i="221"/>
  <c r="J42" i="221"/>
  <c r="K42" i="221"/>
  <c r="L42" i="221"/>
  <c r="M42" i="221"/>
  <c r="N42" i="221"/>
  <c r="O42" i="221"/>
  <c r="P42" i="221"/>
  <c r="Q42" i="221"/>
  <c r="R42" i="221"/>
  <c r="S42" i="221"/>
  <c r="T42" i="221"/>
  <c r="U42" i="221"/>
  <c r="V42" i="221"/>
  <c r="W42" i="221"/>
  <c r="X42" i="221"/>
  <c r="Y42" i="221"/>
  <c r="Z42" i="221"/>
  <c r="E43" i="221"/>
  <c r="F43" i="221"/>
  <c r="G43" i="221"/>
  <c r="H43" i="221"/>
  <c r="I43" i="221"/>
  <c r="J43" i="221"/>
  <c r="K43" i="221"/>
  <c r="L43" i="221"/>
  <c r="M43" i="221"/>
  <c r="N43" i="221"/>
  <c r="O43" i="221"/>
  <c r="P43" i="221"/>
  <c r="Q43" i="221"/>
  <c r="R43" i="221"/>
  <c r="S43" i="221"/>
  <c r="T43" i="221"/>
  <c r="U43" i="221"/>
  <c r="V43" i="221"/>
  <c r="W43" i="221"/>
  <c r="X43" i="221"/>
  <c r="Y43" i="221"/>
  <c r="Z43" i="221"/>
  <c r="E44" i="221"/>
  <c r="F44" i="221"/>
  <c r="G44" i="221"/>
  <c r="H44" i="221"/>
  <c r="I44" i="221"/>
  <c r="J44" i="221"/>
  <c r="K44" i="221"/>
  <c r="L44" i="221"/>
  <c r="M44" i="221"/>
  <c r="N44" i="221"/>
  <c r="O44" i="221"/>
  <c r="P44" i="221"/>
  <c r="Q44" i="221"/>
  <c r="R44" i="221"/>
  <c r="S44" i="221"/>
  <c r="T44" i="221"/>
  <c r="U44" i="221"/>
  <c r="V44" i="221"/>
  <c r="W44" i="221"/>
  <c r="X44" i="221"/>
  <c r="Y44" i="221"/>
  <c r="Z44" i="221"/>
  <c r="E45" i="221"/>
  <c r="F45" i="221"/>
  <c r="G45" i="221"/>
  <c r="H45" i="221"/>
  <c r="I45" i="221"/>
  <c r="J45" i="221"/>
  <c r="K45" i="221"/>
  <c r="L45" i="221"/>
  <c r="M45" i="221"/>
  <c r="N45" i="221"/>
  <c r="O45" i="221"/>
  <c r="P45" i="221"/>
  <c r="Q45" i="221"/>
  <c r="R45" i="221"/>
  <c r="S45" i="221"/>
  <c r="T45" i="221"/>
  <c r="U45" i="221"/>
  <c r="V45" i="221"/>
  <c r="W45" i="221"/>
  <c r="X45" i="221"/>
  <c r="Y45" i="221"/>
  <c r="Z45" i="221"/>
  <c r="E46" i="221"/>
  <c r="F46" i="221"/>
  <c r="G46" i="221"/>
  <c r="H46" i="221"/>
  <c r="I46" i="221"/>
  <c r="J46" i="221"/>
  <c r="K46" i="221"/>
  <c r="L46" i="221"/>
  <c r="M46" i="221"/>
  <c r="N46" i="221"/>
  <c r="O46" i="221"/>
  <c r="P46" i="221"/>
  <c r="Q46" i="221"/>
  <c r="R46" i="221"/>
  <c r="S46" i="221"/>
  <c r="T46" i="221"/>
  <c r="U46" i="221"/>
  <c r="V46" i="221"/>
  <c r="W46" i="221"/>
  <c r="X46" i="221"/>
  <c r="Y46" i="221"/>
  <c r="Z46" i="221"/>
  <c r="E47" i="221"/>
  <c r="F47" i="221"/>
  <c r="G47" i="221"/>
  <c r="H47" i="221"/>
  <c r="I47" i="221"/>
  <c r="J47" i="221"/>
  <c r="K47" i="221"/>
  <c r="L47" i="221"/>
  <c r="M47" i="221"/>
  <c r="N47" i="221"/>
  <c r="O47" i="221"/>
  <c r="P47" i="221"/>
  <c r="Q47" i="221"/>
  <c r="R47" i="221"/>
  <c r="S47" i="221"/>
  <c r="T47" i="221"/>
  <c r="U47" i="221"/>
  <c r="V47" i="221"/>
  <c r="W47" i="221"/>
  <c r="X47" i="221"/>
  <c r="Y47" i="221"/>
  <c r="Z47" i="221"/>
  <c r="E48" i="221"/>
  <c r="F48" i="221"/>
  <c r="G48" i="221"/>
  <c r="H48" i="221"/>
  <c r="I48" i="221"/>
  <c r="J48" i="221"/>
  <c r="K48" i="221"/>
  <c r="L48" i="221"/>
  <c r="M48" i="221"/>
  <c r="N48" i="221"/>
  <c r="O48" i="221"/>
  <c r="P48" i="221"/>
  <c r="Q48" i="221"/>
  <c r="R48" i="221"/>
  <c r="S48" i="221"/>
  <c r="T48" i="221"/>
  <c r="U48" i="221"/>
  <c r="V48" i="221"/>
  <c r="W48" i="221"/>
  <c r="X48" i="221"/>
  <c r="Y48" i="221"/>
  <c r="Z48" i="221"/>
  <c r="E49" i="221"/>
  <c r="F49" i="221"/>
  <c r="G49" i="221"/>
  <c r="H49" i="221"/>
  <c r="I49" i="221"/>
  <c r="J49" i="221"/>
  <c r="K49" i="221"/>
  <c r="L49" i="221"/>
  <c r="M49" i="221"/>
  <c r="N49" i="221"/>
  <c r="O49" i="221"/>
  <c r="P49" i="221"/>
  <c r="Q49" i="221"/>
  <c r="R49" i="221"/>
  <c r="S49" i="221"/>
  <c r="T49" i="221"/>
  <c r="U49" i="221"/>
  <c r="V49" i="221"/>
  <c r="W49" i="221"/>
  <c r="X49" i="221"/>
  <c r="Y49" i="221"/>
  <c r="Z49" i="221"/>
  <c r="E50" i="221"/>
  <c r="F50" i="221"/>
  <c r="G50" i="221"/>
  <c r="H50" i="221"/>
  <c r="I50" i="221"/>
  <c r="J50" i="221"/>
  <c r="K50" i="221"/>
  <c r="L50" i="221"/>
  <c r="M50" i="221"/>
  <c r="N50" i="221"/>
  <c r="O50" i="221"/>
  <c r="P50" i="221"/>
  <c r="Q50" i="221"/>
  <c r="R50" i="221"/>
  <c r="S50" i="221"/>
  <c r="T50" i="221"/>
  <c r="U50" i="221"/>
  <c r="V50" i="221"/>
  <c r="W50" i="221"/>
  <c r="X50" i="221"/>
  <c r="Y50" i="221"/>
  <c r="Z50" i="221"/>
  <c r="E51" i="221"/>
  <c r="F51" i="221"/>
  <c r="G51" i="221"/>
  <c r="H51" i="221"/>
  <c r="I51" i="221"/>
  <c r="J51" i="221"/>
  <c r="K51" i="221"/>
  <c r="L51" i="221"/>
  <c r="M51" i="221"/>
  <c r="N51" i="221"/>
  <c r="O51" i="221"/>
  <c r="P51" i="221"/>
  <c r="Q51" i="221"/>
  <c r="R51" i="221"/>
  <c r="S51" i="221"/>
  <c r="T51" i="221"/>
  <c r="U51" i="221"/>
  <c r="V51" i="221"/>
  <c r="W51" i="221"/>
  <c r="X51" i="221"/>
  <c r="Y51" i="221"/>
  <c r="Z51" i="221"/>
  <c r="E52" i="221"/>
  <c r="F52" i="221"/>
  <c r="G52" i="221"/>
  <c r="H52" i="221"/>
  <c r="I52" i="221"/>
  <c r="J52" i="221"/>
  <c r="K52" i="221"/>
  <c r="L52" i="221"/>
  <c r="M52" i="221"/>
  <c r="N52" i="221"/>
  <c r="O52" i="221"/>
  <c r="P52" i="221"/>
  <c r="Q52" i="221"/>
  <c r="R52" i="221"/>
  <c r="S52" i="221"/>
  <c r="T52" i="221"/>
  <c r="U52" i="221"/>
  <c r="V52" i="221"/>
  <c r="W52" i="221"/>
  <c r="X52" i="221"/>
  <c r="Y52" i="221"/>
  <c r="Z52" i="221"/>
  <c r="E53" i="221"/>
  <c r="F53" i="221"/>
  <c r="G53" i="221"/>
  <c r="H53" i="221"/>
  <c r="I53" i="221"/>
  <c r="J53" i="221"/>
  <c r="K53" i="221"/>
  <c r="L53" i="221"/>
  <c r="M53" i="221"/>
  <c r="N53" i="221"/>
  <c r="O53" i="221"/>
  <c r="P53" i="221"/>
  <c r="Q53" i="221"/>
  <c r="R53" i="221"/>
  <c r="S53" i="221"/>
  <c r="T53" i="221"/>
  <c r="U53" i="221"/>
  <c r="V53" i="221"/>
  <c r="W53" i="221"/>
  <c r="X53" i="221"/>
  <c r="Y53" i="221"/>
  <c r="Z53" i="221"/>
  <c r="E54" i="221"/>
  <c r="F54" i="221"/>
  <c r="G54" i="221"/>
  <c r="H54" i="221"/>
  <c r="I54" i="221"/>
  <c r="J54" i="221"/>
  <c r="K54" i="221"/>
  <c r="L54" i="221"/>
  <c r="M54" i="221"/>
  <c r="N54" i="221"/>
  <c r="P54" i="221"/>
  <c r="Q54" i="221"/>
  <c r="R54" i="221"/>
  <c r="S54" i="221"/>
  <c r="T54" i="221"/>
  <c r="W54" i="221"/>
  <c r="X54" i="221"/>
  <c r="Y54" i="221"/>
  <c r="Z54" i="221"/>
  <c r="E55" i="221"/>
  <c r="F55" i="221"/>
  <c r="G55" i="221"/>
  <c r="H55" i="221"/>
  <c r="I55" i="221"/>
  <c r="J55" i="221"/>
  <c r="K55" i="221"/>
  <c r="L55" i="221"/>
  <c r="M55" i="221"/>
  <c r="N55" i="221"/>
  <c r="O55" i="221"/>
  <c r="P55" i="221"/>
  <c r="Q55" i="221"/>
  <c r="R55" i="221"/>
  <c r="S55" i="221"/>
  <c r="T55" i="221"/>
  <c r="U55" i="221"/>
  <c r="V55" i="221"/>
  <c r="W55" i="221"/>
  <c r="X55" i="221"/>
  <c r="Y55" i="221"/>
  <c r="Z55" i="221"/>
  <c r="E56" i="221"/>
  <c r="F56" i="221"/>
  <c r="G56" i="221"/>
  <c r="H56" i="221"/>
  <c r="I56" i="221"/>
  <c r="J56" i="221"/>
  <c r="K56" i="221"/>
  <c r="L56" i="221"/>
  <c r="M56" i="221"/>
  <c r="N56" i="221"/>
  <c r="O56" i="221"/>
  <c r="P56" i="221"/>
  <c r="Q56" i="221"/>
  <c r="R56" i="221"/>
  <c r="S56" i="221"/>
  <c r="T56" i="221"/>
  <c r="U56" i="221"/>
  <c r="V56" i="221"/>
  <c r="W56" i="221"/>
  <c r="X56" i="221"/>
  <c r="Y56" i="221"/>
  <c r="Z56" i="221"/>
  <c r="E57" i="221"/>
  <c r="F57" i="221"/>
  <c r="G57" i="221"/>
  <c r="H57" i="221"/>
  <c r="I57" i="221"/>
  <c r="J57" i="221"/>
  <c r="K57" i="221"/>
  <c r="L57" i="221"/>
  <c r="M57" i="221"/>
  <c r="N57" i="221"/>
  <c r="O57" i="221"/>
  <c r="P57" i="221"/>
  <c r="Q57" i="221"/>
  <c r="R57" i="221"/>
  <c r="S57" i="221"/>
  <c r="T57" i="221"/>
  <c r="U57" i="221"/>
  <c r="V57" i="221"/>
  <c r="W57" i="221"/>
  <c r="X57" i="221"/>
  <c r="Y57" i="221"/>
  <c r="Z57" i="221"/>
  <c r="E58" i="221"/>
  <c r="F58" i="221"/>
  <c r="G58" i="221"/>
  <c r="H58" i="221"/>
  <c r="I58" i="221"/>
  <c r="J58" i="221"/>
  <c r="K58" i="221"/>
  <c r="L58" i="221"/>
  <c r="M58" i="221"/>
  <c r="N58" i="221"/>
  <c r="O58" i="221"/>
  <c r="P58" i="221"/>
  <c r="Q58" i="221"/>
  <c r="R58" i="221"/>
  <c r="S58" i="221"/>
  <c r="T58" i="221"/>
  <c r="U58" i="221"/>
  <c r="V58" i="221"/>
  <c r="W58" i="221"/>
  <c r="X58" i="221"/>
  <c r="Y58" i="221"/>
  <c r="Z58" i="221"/>
  <c r="E59" i="221"/>
  <c r="F59" i="221"/>
  <c r="G59" i="221"/>
  <c r="H59" i="221"/>
  <c r="I59" i="221"/>
  <c r="J59" i="221"/>
  <c r="K59" i="221"/>
  <c r="L59" i="221"/>
  <c r="M59" i="221"/>
  <c r="N59" i="221"/>
  <c r="O59" i="221"/>
  <c r="P59" i="221"/>
  <c r="Q59" i="221"/>
  <c r="R59" i="221"/>
  <c r="S59" i="221"/>
  <c r="T59" i="221"/>
  <c r="U59" i="221"/>
  <c r="V59" i="221"/>
  <c r="W59" i="221"/>
  <c r="X59" i="221"/>
  <c r="Y59" i="221"/>
  <c r="Z59" i="221"/>
  <c r="E60" i="221"/>
  <c r="G60" i="221"/>
  <c r="H60" i="221"/>
  <c r="I60" i="221"/>
  <c r="J60" i="221"/>
  <c r="K60" i="221"/>
  <c r="L60" i="221"/>
  <c r="M60" i="221"/>
  <c r="N60" i="221"/>
  <c r="P60" i="221"/>
  <c r="Q60" i="221"/>
  <c r="R60" i="221"/>
  <c r="S60" i="221"/>
  <c r="T60" i="221"/>
  <c r="U60" i="221"/>
  <c r="V60" i="221"/>
  <c r="W60" i="221"/>
  <c r="X60" i="221"/>
  <c r="Y60" i="221"/>
  <c r="Z60" i="221"/>
  <c r="E61" i="221"/>
  <c r="F61" i="221"/>
  <c r="G61" i="221"/>
  <c r="H61" i="221"/>
  <c r="I61" i="221"/>
  <c r="J61" i="221"/>
  <c r="K61" i="221"/>
  <c r="L61" i="221"/>
  <c r="M61" i="221"/>
  <c r="N61" i="221"/>
  <c r="O61" i="221"/>
  <c r="P61" i="221"/>
  <c r="Q61" i="221"/>
  <c r="R61" i="221"/>
  <c r="S61" i="221"/>
  <c r="T61" i="221"/>
  <c r="U61" i="221"/>
  <c r="V61" i="221"/>
  <c r="W61" i="221"/>
  <c r="X61" i="221"/>
  <c r="Y61" i="221"/>
  <c r="Z61" i="221"/>
  <c r="E62" i="221"/>
  <c r="F62" i="221"/>
  <c r="G62" i="221"/>
  <c r="H62" i="221"/>
  <c r="I62" i="221"/>
  <c r="J62" i="221"/>
  <c r="K62" i="221"/>
  <c r="L62" i="221"/>
  <c r="M62" i="221"/>
  <c r="N62" i="221"/>
  <c r="O62" i="221"/>
  <c r="P62" i="221"/>
  <c r="Q62" i="221"/>
  <c r="R62" i="221"/>
  <c r="S62" i="221"/>
  <c r="T62" i="221"/>
  <c r="U62" i="221"/>
  <c r="V62" i="221"/>
  <c r="W62" i="221"/>
  <c r="X62" i="221"/>
  <c r="Y62" i="221"/>
  <c r="Z62" i="221"/>
  <c r="E63" i="221"/>
  <c r="F63" i="221"/>
  <c r="G63" i="221"/>
  <c r="H63" i="221"/>
  <c r="I63" i="221"/>
  <c r="J63" i="221"/>
  <c r="K63" i="221"/>
  <c r="L63" i="221"/>
  <c r="M63" i="221"/>
  <c r="N63" i="221"/>
  <c r="O63" i="221"/>
  <c r="P63" i="221"/>
  <c r="Q63" i="221"/>
  <c r="R63" i="221"/>
  <c r="S63" i="221"/>
  <c r="T63" i="221"/>
  <c r="U63" i="221"/>
  <c r="V63" i="221"/>
  <c r="W63" i="221"/>
  <c r="X63" i="221"/>
  <c r="Y63" i="221"/>
  <c r="Z63" i="221"/>
  <c r="E64" i="221"/>
  <c r="F64" i="221"/>
  <c r="G64" i="221"/>
  <c r="H64" i="221"/>
  <c r="I64" i="221"/>
  <c r="J64" i="221"/>
  <c r="K64" i="221"/>
  <c r="L64" i="221"/>
  <c r="M64" i="221"/>
  <c r="N64" i="221"/>
  <c r="O64" i="221"/>
  <c r="P64" i="221"/>
  <c r="Q64" i="221"/>
  <c r="R64" i="221"/>
  <c r="S64" i="221"/>
  <c r="T64" i="221"/>
  <c r="U64" i="221"/>
  <c r="V64" i="221"/>
  <c r="W64" i="221"/>
  <c r="X64" i="221"/>
  <c r="Y64" i="221"/>
  <c r="Z64" i="221"/>
  <c r="E65" i="221"/>
  <c r="F65" i="221"/>
  <c r="G65" i="221"/>
  <c r="H65" i="221"/>
  <c r="I65" i="221"/>
  <c r="J65" i="221"/>
  <c r="K65" i="221"/>
  <c r="L65" i="221"/>
  <c r="M65" i="221"/>
  <c r="N65" i="221"/>
  <c r="O65" i="221"/>
  <c r="P65" i="221"/>
  <c r="Q65" i="221"/>
  <c r="R65" i="221"/>
  <c r="S65" i="221"/>
  <c r="T65" i="221"/>
  <c r="U65" i="221"/>
  <c r="V65" i="221"/>
  <c r="W65" i="221"/>
  <c r="X65" i="221"/>
  <c r="Y65" i="221"/>
  <c r="Z65" i="221"/>
  <c r="E66" i="221"/>
  <c r="F66" i="221"/>
  <c r="G66" i="221"/>
  <c r="H66" i="221"/>
  <c r="I66" i="221"/>
  <c r="J66" i="221"/>
  <c r="K66" i="221"/>
  <c r="L66" i="221"/>
  <c r="M66" i="221"/>
  <c r="N66" i="221"/>
  <c r="P66" i="221"/>
  <c r="Q66" i="221"/>
  <c r="R66" i="221"/>
  <c r="S66" i="221"/>
  <c r="T66" i="221"/>
  <c r="W66" i="221"/>
  <c r="X66" i="221"/>
  <c r="Y66" i="221"/>
  <c r="Z66" i="221"/>
  <c r="E67" i="221"/>
  <c r="F67" i="221"/>
  <c r="G67" i="221"/>
  <c r="H67" i="221"/>
  <c r="I67" i="221"/>
  <c r="J67" i="221"/>
  <c r="K67" i="221"/>
  <c r="L67" i="221"/>
  <c r="M67" i="221"/>
  <c r="N67" i="221"/>
  <c r="O67" i="221"/>
  <c r="P67" i="221"/>
  <c r="Q67" i="221"/>
  <c r="R67" i="221"/>
  <c r="S67" i="221"/>
  <c r="T67" i="221"/>
  <c r="U67" i="221"/>
  <c r="V67" i="221"/>
  <c r="W67" i="221"/>
  <c r="X67" i="221"/>
  <c r="Y67" i="221"/>
  <c r="Z67" i="221"/>
  <c r="E68" i="221"/>
  <c r="F68" i="221"/>
  <c r="G68" i="221"/>
  <c r="H68" i="221"/>
  <c r="I68" i="221"/>
  <c r="J68" i="221"/>
  <c r="K68" i="221"/>
  <c r="L68" i="221"/>
  <c r="M68" i="221"/>
  <c r="N68" i="221"/>
  <c r="P68" i="221"/>
  <c r="Q68" i="221"/>
  <c r="R68" i="221"/>
  <c r="S68" i="221"/>
  <c r="T68" i="221"/>
  <c r="W68" i="221"/>
  <c r="X68" i="221"/>
  <c r="Y68" i="221"/>
  <c r="Z68" i="221"/>
  <c r="E69" i="221"/>
  <c r="F69" i="221"/>
  <c r="G69" i="221"/>
  <c r="H69" i="221"/>
  <c r="I69" i="221"/>
  <c r="J69" i="221"/>
  <c r="K69" i="221"/>
  <c r="L69" i="221"/>
  <c r="M69" i="221"/>
  <c r="N69" i="221"/>
  <c r="O69" i="221"/>
  <c r="P69" i="221"/>
  <c r="Q69" i="221"/>
  <c r="R69" i="221"/>
  <c r="S69" i="221"/>
  <c r="T69" i="221"/>
  <c r="U69" i="221"/>
  <c r="V69" i="221"/>
  <c r="W69" i="221"/>
  <c r="X69" i="221"/>
  <c r="Y69" i="221"/>
  <c r="Z69" i="221"/>
  <c r="E70" i="221"/>
  <c r="F70" i="221"/>
  <c r="G70" i="221"/>
  <c r="H70" i="221"/>
  <c r="I70" i="221"/>
  <c r="J70" i="221"/>
  <c r="K70" i="221"/>
  <c r="L70" i="221"/>
  <c r="M70" i="221"/>
  <c r="N70" i="221"/>
  <c r="O70" i="221"/>
  <c r="P70" i="221"/>
  <c r="Q70" i="221"/>
  <c r="R70" i="221"/>
  <c r="S70" i="221"/>
  <c r="T70" i="221"/>
  <c r="U70" i="221"/>
  <c r="V70" i="221"/>
  <c r="W70" i="221"/>
  <c r="X70" i="221"/>
  <c r="Y70" i="221"/>
  <c r="Z70" i="221"/>
  <c r="E71" i="221"/>
  <c r="F71" i="221"/>
  <c r="G71" i="221"/>
  <c r="H71" i="221"/>
  <c r="I71" i="221"/>
  <c r="J71" i="221"/>
  <c r="K71" i="221"/>
  <c r="L71" i="221"/>
  <c r="M71" i="221"/>
  <c r="N71" i="221"/>
  <c r="O71" i="221"/>
  <c r="P71" i="221"/>
  <c r="Q71" i="221"/>
  <c r="R71" i="221"/>
  <c r="S71" i="221"/>
  <c r="T71" i="221"/>
  <c r="U71" i="221"/>
  <c r="V71" i="221"/>
  <c r="W71" i="221"/>
  <c r="X71" i="221"/>
  <c r="Y71" i="221"/>
  <c r="Z71" i="221"/>
  <c r="E72" i="221"/>
  <c r="F72" i="221"/>
  <c r="G72" i="221"/>
  <c r="H72" i="221"/>
  <c r="I72" i="221"/>
  <c r="J72" i="221"/>
  <c r="K72" i="221"/>
  <c r="L72" i="221"/>
  <c r="M72" i="221"/>
  <c r="N72" i="221"/>
  <c r="O72" i="221"/>
  <c r="P72" i="221"/>
  <c r="Q72" i="221"/>
  <c r="R72" i="221"/>
  <c r="S72" i="221"/>
  <c r="T72" i="221"/>
  <c r="U72" i="221"/>
  <c r="V72" i="221"/>
  <c r="W72" i="221"/>
  <c r="X72" i="221"/>
  <c r="Y72" i="221"/>
  <c r="Z72" i="221"/>
  <c r="E73" i="221"/>
  <c r="F73" i="221"/>
  <c r="G73" i="221"/>
  <c r="H73" i="221"/>
  <c r="I73" i="221"/>
  <c r="J73" i="221"/>
  <c r="K73" i="221"/>
  <c r="L73" i="221"/>
  <c r="M73" i="221"/>
  <c r="N73" i="221"/>
  <c r="O73" i="221"/>
  <c r="P73" i="221"/>
  <c r="Q73" i="221"/>
  <c r="R73" i="221"/>
  <c r="S73" i="221"/>
  <c r="T73" i="221"/>
  <c r="U73" i="221"/>
  <c r="V73" i="221"/>
  <c r="W73" i="221"/>
  <c r="X73" i="221"/>
  <c r="Y73" i="221"/>
  <c r="Z73" i="221"/>
  <c r="E74" i="221"/>
  <c r="G74" i="221"/>
  <c r="H74" i="221"/>
  <c r="I74" i="221"/>
  <c r="J74" i="221"/>
  <c r="K74" i="221"/>
  <c r="L74" i="221"/>
  <c r="M74" i="221"/>
  <c r="N74" i="221"/>
  <c r="P74" i="221"/>
  <c r="Q74" i="221"/>
  <c r="R74" i="221"/>
  <c r="S74" i="221"/>
  <c r="T74" i="221"/>
  <c r="U74" i="221"/>
  <c r="V74" i="221"/>
  <c r="W74" i="221"/>
  <c r="X74" i="221"/>
  <c r="Y74" i="221"/>
  <c r="Z74" i="221"/>
  <c r="E75" i="221"/>
  <c r="F75" i="221"/>
  <c r="G75" i="221"/>
  <c r="H75" i="221"/>
  <c r="I75" i="221"/>
  <c r="J75" i="221"/>
  <c r="K75" i="221"/>
  <c r="L75" i="221"/>
  <c r="M75" i="221"/>
  <c r="N75" i="221"/>
  <c r="P75" i="221"/>
  <c r="Q75" i="221"/>
  <c r="R75" i="221"/>
  <c r="S75" i="221"/>
  <c r="T75" i="221"/>
  <c r="W75" i="221"/>
  <c r="X75" i="221"/>
  <c r="Y75" i="221"/>
  <c r="Z75" i="221"/>
  <c r="E76" i="221"/>
  <c r="F76" i="221"/>
  <c r="G76" i="221"/>
  <c r="H76" i="221"/>
  <c r="I76" i="221"/>
  <c r="J76" i="221"/>
  <c r="K76" i="221"/>
  <c r="L76" i="221"/>
  <c r="M76" i="221"/>
  <c r="N76" i="221"/>
  <c r="O76" i="221"/>
  <c r="P76" i="221"/>
  <c r="Q76" i="221"/>
  <c r="R76" i="221"/>
  <c r="S76" i="221"/>
  <c r="T76" i="221"/>
  <c r="U76" i="221"/>
  <c r="V76" i="221"/>
  <c r="W76" i="221"/>
  <c r="X76" i="221"/>
  <c r="Y76" i="221"/>
  <c r="Z76" i="221"/>
  <c r="E77" i="221"/>
  <c r="F77" i="221"/>
  <c r="G77" i="221"/>
  <c r="H77" i="221"/>
  <c r="I77" i="221"/>
  <c r="J77" i="221"/>
  <c r="K77" i="221"/>
  <c r="L77" i="221"/>
  <c r="M77" i="221"/>
  <c r="N77" i="221"/>
  <c r="P77" i="221"/>
  <c r="Q77" i="221"/>
  <c r="R77" i="221"/>
  <c r="S77" i="221"/>
  <c r="T77" i="221"/>
  <c r="W77" i="221"/>
  <c r="X77" i="221"/>
  <c r="Y77" i="221"/>
  <c r="Z77" i="221"/>
  <c r="E78" i="221"/>
  <c r="F78" i="221"/>
  <c r="G78" i="221"/>
  <c r="H78" i="221"/>
  <c r="I78" i="221"/>
  <c r="J78" i="221"/>
  <c r="K78" i="221"/>
  <c r="L78" i="221"/>
  <c r="M78" i="221"/>
  <c r="N78" i="221"/>
  <c r="O78" i="221"/>
  <c r="P78" i="221"/>
  <c r="Q78" i="221"/>
  <c r="R78" i="221"/>
  <c r="S78" i="221"/>
  <c r="T78" i="221"/>
  <c r="U78" i="221"/>
  <c r="V78" i="221"/>
  <c r="W78" i="221"/>
  <c r="X78" i="221"/>
  <c r="Y78" i="221"/>
  <c r="Z78" i="221"/>
  <c r="E79" i="221"/>
  <c r="F79" i="221"/>
  <c r="G79" i="221"/>
  <c r="H79" i="221"/>
  <c r="I79" i="221"/>
  <c r="J79" i="221"/>
  <c r="K79" i="221"/>
  <c r="L79" i="221"/>
  <c r="M79" i="221"/>
  <c r="N79" i="221"/>
  <c r="O79" i="221"/>
  <c r="P79" i="221"/>
  <c r="Q79" i="221"/>
  <c r="R79" i="221"/>
  <c r="S79" i="221"/>
  <c r="T79" i="221"/>
  <c r="U79" i="221"/>
  <c r="V79" i="221"/>
  <c r="W79" i="221"/>
  <c r="X79" i="221"/>
  <c r="Y79" i="221"/>
  <c r="Z79" i="221"/>
  <c r="E80" i="221"/>
  <c r="F80" i="221"/>
  <c r="G80" i="221"/>
  <c r="H80" i="221"/>
  <c r="I80" i="221"/>
  <c r="J80" i="221"/>
  <c r="K80" i="221"/>
  <c r="L80" i="221"/>
  <c r="M80" i="221"/>
  <c r="N80" i="221"/>
  <c r="O80" i="221"/>
  <c r="P80" i="221"/>
  <c r="Q80" i="221"/>
  <c r="R80" i="221"/>
  <c r="S80" i="221"/>
  <c r="T80" i="221"/>
  <c r="U80" i="221"/>
  <c r="V80" i="221"/>
  <c r="W80" i="221"/>
  <c r="X80" i="221"/>
  <c r="Y80" i="221"/>
  <c r="Z80" i="221"/>
  <c r="E81" i="221"/>
  <c r="F81" i="221"/>
  <c r="G81" i="221"/>
  <c r="H81" i="221"/>
  <c r="I81" i="221"/>
  <c r="J81" i="221"/>
  <c r="K81" i="221"/>
  <c r="L81" i="221"/>
  <c r="M81" i="221"/>
  <c r="N81" i="221"/>
  <c r="O81" i="221"/>
  <c r="P81" i="221"/>
  <c r="Q81" i="221"/>
  <c r="R81" i="221"/>
  <c r="S81" i="221"/>
  <c r="T81" i="221"/>
  <c r="U81" i="221"/>
  <c r="V81" i="221"/>
  <c r="W81" i="221"/>
  <c r="X81" i="221"/>
  <c r="Y81" i="221"/>
  <c r="Z81" i="221"/>
  <c r="E82" i="221"/>
  <c r="F82" i="221"/>
  <c r="G82" i="221"/>
  <c r="H82" i="221"/>
  <c r="I82" i="221"/>
  <c r="J82" i="221"/>
  <c r="K82" i="221"/>
  <c r="L82" i="221"/>
  <c r="M82" i="221"/>
  <c r="N82" i="221"/>
  <c r="O82" i="221"/>
  <c r="P82" i="221"/>
  <c r="Q82" i="221"/>
  <c r="R82" i="221"/>
  <c r="S82" i="221"/>
  <c r="T82" i="221"/>
  <c r="U82" i="221"/>
  <c r="V82" i="221"/>
  <c r="W82" i="221"/>
  <c r="X82" i="221"/>
  <c r="Y82" i="221"/>
  <c r="Z82" i="221"/>
  <c r="E83" i="221"/>
  <c r="F83" i="221"/>
  <c r="G83" i="221"/>
  <c r="H83" i="221"/>
  <c r="I83" i="221"/>
  <c r="J83" i="221"/>
  <c r="K83" i="221"/>
  <c r="L83" i="221"/>
  <c r="M83" i="221"/>
  <c r="N83" i="221"/>
  <c r="O83" i="221"/>
  <c r="P83" i="221"/>
  <c r="Q83" i="221"/>
  <c r="R83" i="221"/>
  <c r="S83" i="221"/>
  <c r="T83" i="221"/>
  <c r="U83" i="221"/>
  <c r="V83" i="221"/>
  <c r="W83" i="221"/>
  <c r="X83" i="221"/>
  <c r="Y83" i="221"/>
  <c r="Z83" i="221"/>
  <c r="E84" i="221"/>
  <c r="F84" i="221"/>
  <c r="G84" i="221"/>
  <c r="H84" i="221"/>
  <c r="I84" i="221"/>
  <c r="J84" i="221"/>
  <c r="K84" i="221"/>
  <c r="L84" i="221"/>
  <c r="M84" i="221"/>
  <c r="N84" i="221"/>
  <c r="O84" i="221"/>
  <c r="P84" i="221"/>
  <c r="Q84" i="221"/>
  <c r="R84" i="221"/>
  <c r="S84" i="221"/>
  <c r="T84" i="221"/>
  <c r="U84" i="221"/>
  <c r="V84" i="221"/>
  <c r="W84" i="221"/>
  <c r="X84" i="221"/>
  <c r="Y84" i="221"/>
  <c r="Z84" i="221"/>
  <c r="E85" i="221"/>
  <c r="F85" i="221"/>
  <c r="G85" i="221"/>
  <c r="H85" i="221"/>
  <c r="I85" i="221"/>
  <c r="I87" i="221" s="1"/>
  <c r="J85" i="221"/>
  <c r="K85" i="221"/>
  <c r="L85" i="221"/>
  <c r="M85" i="221"/>
  <c r="N85" i="221"/>
  <c r="O85" i="221"/>
  <c r="P85" i="221"/>
  <c r="Q85" i="221"/>
  <c r="R85" i="221"/>
  <c r="S85" i="221"/>
  <c r="T85" i="221"/>
  <c r="U85" i="221"/>
  <c r="V85" i="221"/>
  <c r="W85" i="221"/>
  <c r="X85" i="221"/>
  <c r="Y85" i="221"/>
  <c r="Y87" i="221" s="1"/>
  <c r="Z85" i="221"/>
  <c r="E86" i="221"/>
  <c r="F86" i="221"/>
  <c r="G86" i="221"/>
  <c r="H86" i="221"/>
  <c r="I86" i="221"/>
  <c r="J86" i="221"/>
  <c r="K86" i="221"/>
  <c r="L86" i="221"/>
  <c r="M86" i="221"/>
  <c r="N86" i="221"/>
  <c r="O86" i="221"/>
  <c r="P86" i="221"/>
  <c r="Q86" i="221"/>
  <c r="R86" i="221"/>
  <c r="S86" i="221"/>
  <c r="T86" i="221"/>
  <c r="U86" i="221"/>
  <c r="V86" i="221"/>
  <c r="W86" i="221"/>
  <c r="X86" i="221"/>
  <c r="Y86" i="221"/>
  <c r="Z86" i="221"/>
  <c r="D7" i="221"/>
  <c r="D8" i="221"/>
  <c r="D9" i="221"/>
  <c r="D10" i="221"/>
  <c r="D11" i="221"/>
  <c r="D12" i="221"/>
  <c r="D13" i="221"/>
  <c r="D14" i="221"/>
  <c r="D15" i="221"/>
  <c r="D16" i="221"/>
  <c r="D17" i="221"/>
  <c r="D18" i="221"/>
  <c r="D19" i="221"/>
  <c r="D20" i="221"/>
  <c r="D21" i="221"/>
  <c r="D22" i="221"/>
  <c r="D23" i="221"/>
  <c r="D24" i="221"/>
  <c r="D25" i="221"/>
  <c r="D26" i="221"/>
  <c r="D27" i="221"/>
  <c r="D28" i="221"/>
  <c r="D29" i="221"/>
  <c r="D30" i="221"/>
  <c r="D31" i="221"/>
  <c r="D32" i="221"/>
  <c r="D33" i="221"/>
  <c r="D34" i="221"/>
  <c r="D35" i="221"/>
  <c r="D36" i="221"/>
  <c r="D37" i="221"/>
  <c r="D38" i="221"/>
  <c r="D39" i="221"/>
  <c r="D40" i="221"/>
  <c r="D41" i="221"/>
  <c r="D42" i="221"/>
  <c r="D43" i="221"/>
  <c r="D44" i="221"/>
  <c r="D45" i="221"/>
  <c r="D46" i="221"/>
  <c r="D47" i="221"/>
  <c r="D48" i="221"/>
  <c r="D49" i="221"/>
  <c r="D50" i="221"/>
  <c r="D51" i="221"/>
  <c r="D52" i="221"/>
  <c r="D53" i="221"/>
  <c r="D54" i="221"/>
  <c r="D55" i="221"/>
  <c r="D56" i="221"/>
  <c r="D57" i="221"/>
  <c r="D58" i="221"/>
  <c r="D59" i="221"/>
  <c r="D60" i="221"/>
  <c r="D61" i="221"/>
  <c r="D62" i="221"/>
  <c r="D63" i="221"/>
  <c r="D64" i="221"/>
  <c r="D65" i="221"/>
  <c r="D66" i="221"/>
  <c r="D67" i="221"/>
  <c r="D68" i="221"/>
  <c r="D69" i="221"/>
  <c r="D70" i="221"/>
  <c r="D71" i="221"/>
  <c r="D72" i="221"/>
  <c r="D73" i="221"/>
  <c r="D74" i="221"/>
  <c r="D75" i="221"/>
  <c r="D76" i="221"/>
  <c r="D77" i="221"/>
  <c r="D78" i="221"/>
  <c r="D79" i="221"/>
  <c r="D80" i="221"/>
  <c r="D81" i="221"/>
  <c r="D82" i="221"/>
  <c r="D83" i="221"/>
  <c r="D84" i="221"/>
  <c r="D85" i="221"/>
  <c r="D86" i="221"/>
  <c r="D6" i="221"/>
  <c r="Z87" i="221"/>
  <c r="W87" i="221"/>
  <c r="E87" i="221"/>
  <c r="K87" i="221"/>
  <c r="Q87" i="221"/>
  <c r="A6" i="221"/>
  <c r="A7" i="221" s="1"/>
  <c r="A8" i="221" s="1"/>
  <c r="A9" i="221" s="1"/>
  <c r="A10" i="221" s="1"/>
  <c r="A11" i="221" s="1"/>
  <c r="A12" i="221" s="1"/>
  <c r="A13" i="221" s="1"/>
  <c r="A14" i="221" s="1"/>
  <c r="A15" i="221" s="1"/>
  <c r="A16" i="221" s="1"/>
  <c r="A17" i="221" s="1"/>
  <c r="A18" i="221" s="1"/>
  <c r="A19" i="221" s="1"/>
  <c r="A20" i="221" s="1"/>
  <c r="A21" i="221" s="1"/>
  <c r="A22" i="221" s="1"/>
  <c r="A23" i="221" s="1"/>
  <c r="A24" i="221" s="1"/>
  <c r="A25" i="221" s="1"/>
  <c r="A26" i="221" s="1"/>
  <c r="A27" i="221" s="1"/>
  <c r="A28" i="221" s="1"/>
  <c r="A29" i="221" s="1"/>
  <c r="A30" i="221" s="1"/>
  <c r="A31" i="221" s="1"/>
  <c r="A32" i="221" s="1"/>
  <c r="A33" i="221" s="1"/>
  <c r="A34" i="221" s="1"/>
  <c r="A35" i="221" s="1"/>
  <c r="A36" i="221" s="1"/>
  <c r="A37" i="221" s="1"/>
  <c r="A38" i="221" s="1"/>
  <c r="A39" i="221" s="1"/>
  <c r="A40" i="221" s="1"/>
  <c r="A41" i="221" s="1"/>
  <c r="A42" i="221" s="1"/>
  <c r="A43" i="221" s="1"/>
  <c r="A44" i="221" s="1"/>
  <c r="A45" i="221" s="1"/>
  <c r="A46" i="221" s="1"/>
  <c r="A47" i="221" s="1"/>
  <c r="A48" i="221" s="1"/>
  <c r="A49" i="221" s="1"/>
  <c r="A50" i="221" s="1"/>
  <c r="A51" i="221" s="1"/>
  <c r="A52" i="221" s="1"/>
  <c r="A53" i="221" s="1"/>
  <c r="A54" i="221" s="1"/>
  <c r="A55" i="221" s="1"/>
  <c r="A56" i="221" s="1"/>
  <c r="A57" i="221" s="1"/>
  <c r="A58" i="221" s="1"/>
  <c r="A59" i="221" s="1"/>
  <c r="A60" i="221" s="1"/>
  <c r="A61" i="221" s="1"/>
  <c r="A62" i="221" s="1"/>
  <c r="A63" i="221" s="1"/>
  <c r="A64" i="221" s="1"/>
  <c r="A65" i="221" s="1"/>
  <c r="A66" i="221" s="1"/>
  <c r="A67" i="221" s="1"/>
  <c r="A68" i="221" s="1"/>
  <c r="A69" i="221" s="1"/>
  <c r="A70" i="221" s="1"/>
  <c r="A71" i="221" s="1"/>
  <c r="A72" i="221" s="1"/>
  <c r="A73" i="221" s="1"/>
  <c r="A74" i="221" s="1"/>
  <c r="A75" i="221" s="1"/>
  <c r="A76" i="221" s="1"/>
  <c r="A77" i="221" s="1"/>
  <c r="A78" i="221" s="1"/>
  <c r="A79" i="221" s="1"/>
  <c r="A80" i="221" s="1"/>
  <c r="A81" i="221" s="1"/>
  <c r="A82" i="221" s="1"/>
  <c r="A83" i="221" s="1"/>
  <c r="A84" i="221" s="1"/>
  <c r="A85" i="221" s="1"/>
  <c r="A86" i="221" s="1"/>
  <c r="A87" i="221" s="1"/>
  <c r="D87" i="221" l="1"/>
  <c r="X106" i="222"/>
  <c r="X124" i="222"/>
  <c r="R124" i="222"/>
  <c r="E106" i="222"/>
  <c r="W106" i="222"/>
  <c r="G106" i="222"/>
  <c r="G126" i="222" s="1"/>
  <c r="Y106" i="222"/>
  <c r="I106" i="222"/>
  <c r="I126" i="222" s="1"/>
  <c r="S106" i="222"/>
  <c r="W124" i="222"/>
  <c r="AA106" i="222"/>
  <c r="Z48" i="224"/>
  <c r="P49" i="224"/>
  <c r="L48" i="224"/>
  <c r="Q124" i="222"/>
  <c r="H106" i="222"/>
  <c r="H126" i="222" s="1"/>
  <c r="E126" i="222"/>
  <c r="J106" i="222"/>
  <c r="J126" i="222" s="1"/>
  <c r="Z106" i="222"/>
  <c r="R106" i="222"/>
  <c r="R126" i="222" s="1"/>
  <c r="D124" i="222"/>
  <c r="D106" i="222"/>
  <c r="K124" i="222"/>
  <c r="Q106" i="222"/>
  <c r="S124" i="222"/>
  <c r="K106" i="222"/>
  <c r="W126" i="222"/>
  <c r="Z124" i="222"/>
  <c r="N106" i="222"/>
  <c r="N124" i="222"/>
  <c r="F120" i="222"/>
  <c r="F124" i="222" s="1"/>
  <c r="L88" i="221"/>
  <c r="S87" i="221"/>
  <c r="L87" i="221"/>
  <c r="N87" i="221"/>
  <c r="G87" i="221"/>
  <c r="P88" i="221" s="1"/>
  <c r="E13" i="67"/>
  <c r="H7" i="67"/>
  <c r="S126" i="222" l="1"/>
  <c r="X126" i="222"/>
  <c r="P48" i="224"/>
  <c r="Q126" i="222"/>
  <c r="K126" i="222"/>
  <c r="L127" i="222" s="1"/>
  <c r="Z126" i="222"/>
  <c r="D126" i="222"/>
  <c r="N126" i="222"/>
  <c r="P124" i="222"/>
  <c r="L106" i="222"/>
  <c r="L124" i="222"/>
  <c r="D14" i="206"/>
  <c r="C9" i="97"/>
  <c r="D9" i="97"/>
  <c r="E9" i="97"/>
  <c r="F9" i="97"/>
  <c r="G9" i="97"/>
  <c r="H9" i="97"/>
  <c r="I9" i="97"/>
  <c r="J9" i="97"/>
  <c r="N9" i="97"/>
  <c r="O9" i="97"/>
  <c r="P9" i="97"/>
  <c r="Q9" i="97"/>
  <c r="V9" i="97"/>
  <c r="W9" i="97"/>
  <c r="X9" i="97"/>
  <c r="C17" i="97"/>
  <c r="D17" i="97"/>
  <c r="E17" i="97"/>
  <c r="F17" i="97"/>
  <c r="G17" i="97"/>
  <c r="H17" i="97"/>
  <c r="I17" i="97"/>
  <c r="J17" i="97"/>
  <c r="K17" i="97"/>
  <c r="L17" i="97"/>
  <c r="M17" i="97"/>
  <c r="N17" i="97"/>
  <c r="O17" i="97"/>
  <c r="P17" i="97"/>
  <c r="Q17" i="97"/>
  <c r="R17" i="97"/>
  <c r="S17" i="97"/>
  <c r="T17" i="97"/>
  <c r="U17" i="97"/>
  <c r="V17" i="97"/>
  <c r="W17" i="97"/>
  <c r="X17" i="97"/>
  <c r="C19" i="97"/>
  <c r="D19" i="97"/>
  <c r="E19" i="97"/>
  <c r="F19" i="97"/>
  <c r="G19" i="97"/>
  <c r="H19" i="97"/>
  <c r="I19" i="97"/>
  <c r="J19" i="97"/>
  <c r="K19" i="97"/>
  <c r="L19" i="97"/>
  <c r="M19" i="97"/>
  <c r="N19" i="97"/>
  <c r="O19" i="97"/>
  <c r="P19" i="97"/>
  <c r="Q19" i="97"/>
  <c r="R19" i="97"/>
  <c r="S19" i="97"/>
  <c r="T19" i="97"/>
  <c r="U19" i="97"/>
  <c r="V19" i="97"/>
  <c r="W19" i="97"/>
  <c r="X19" i="97"/>
  <c r="M48" i="224" l="1"/>
  <c r="T49" i="224" s="1"/>
  <c r="U49" i="224" s="1"/>
  <c r="M124" i="222"/>
  <c r="P106" i="222"/>
  <c r="P126" i="222" s="1"/>
  <c r="L126" i="222"/>
  <c r="P127" i="222" s="1"/>
  <c r="P87" i="221"/>
  <c r="B19" i="97"/>
  <c r="B17" i="97"/>
  <c r="E57" i="211"/>
  <c r="G57" i="211"/>
  <c r="H57" i="211"/>
  <c r="I57" i="211"/>
  <c r="J57" i="211"/>
  <c r="K57" i="211"/>
  <c r="L57" i="211"/>
  <c r="P57" i="211"/>
  <c r="Q57" i="211"/>
  <c r="R57" i="211"/>
  <c r="S57" i="211"/>
  <c r="X57" i="211"/>
  <c r="Y57" i="211"/>
  <c r="Z57" i="211"/>
  <c r="E38" i="211"/>
  <c r="F38" i="211"/>
  <c r="G38" i="211"/>
  <c r="H38" i="211"/>
  <c r="I38" i="211"/>
  <c r="J38" i="211"/>
  <c r="K38" i="211"/>
  <c r="L38" i="211"/>
  <c r="M38" i="211"/>
  <c r="N38" i="211"/>
  <c r="O38" i="211"/>
  <c r="P38" i="211"/>
  <c r="Q38" i="211"/>
  <c r="R38" i="211"/>
  <c r="S38" i="211"/>
  <c r="T38" i="211"/>
  <c r="U38" i="211"/>
  <c r="V38" i="211"/>
  <c r="W38" i="211"/>
  <c r="X38" i="211"/>
  <c r="Y38" i="211"/>
  <c r="Z38" i="211"/>
  <c r="E36" i="211"/>
  <c r="F36" i="211"/>
  <c r="G36" i="211"/>
  <c r="H36" i="211"/>
  <c r="I36" i="211"/>
  <c r="J36" i="211"/>
  <c r="K36" i="211"/>
  <c r="L36" i="211"/>
  <c r="M36" i="211"/>
  <c r="N36" i="211"/>
  <c r="O36" i="211"/>
  <c r="P36" i="211"/>
  <c r="Q36" i="211"/>
  <c r="R36" i="211"/>
  <c r="S36" i="211"/>
  <c r="T36" i="211"/>
  <c r="U36" i="211"/>
  <c r="V36" i="211"/>
  <c r="W36" i="211"/>
  <c r="X36" i="211"/>
  <c r="Y36" i="211"/>
  <c r="Z36" i="211"/>
  <c r="D36" i="211"/>
  <c r="E133" i="206"/>
  <c r="G133" i="206"/>
  <c r="H133" i="206"/>
  <c r="I133" i="206"/>
  <c r="J133" i="206"/>
  <c r="K133" i="206"/>
  <c r="L133" i="206"/>
  <c r="M133" i="206"/>
  <c r="P133" i="206"/>
  <c r="Q133" i="206"/>
  <c r="R133" i="206"/>
  <c r="S133" i="206"/>
  <c r="T133" i="206"/>
  <c r="W133" i="206"/>
  <c r="X133" i="206"/>
  <c r="Z133" i="206"/>
  <c r="E122" i="206"/>
  <c r="F122" i="206"/>
  <c r="G122" i="206"/>
  <c r="H122" i="206"/>
  <c r="I122" i="206"/>
  <c r="J122" i="206"/>
  <c r="K122" i="206"/>
  <c r="L122" i="206"/>
  <c r="M122" i="206"/>
  <c r="N122" i="206"/>
  <c r="O122" i="206"/>
  <c r="P122" i="206"/>
  <c r="Q122" i="206"/>
  <c r="R122" i="206"/>
  <c r="S122" i="206"/>
  <c r="T122" i="206"/>
  <c r="U122" i="206"/>
  <c r="V122" i="206"/>
  <c r="W122" i="206"/>
  <c r="X122" i="206"/>
  <c r="Y122" i="206"/>
  <c r="Z122" i="206"/>
  <c r="E120" i="206"/>
  <c r="F120" i="206"/>
  <c r="G120" i="206"/>
  <c r="H120" i="206"/>
  <c r="I120" i="206"/>
  <c r="J120" i="206"/>
  <c r="K120" i="206"/>
  <c r="L120" i="206"/>
  <c r="M120" i="206"/>
  <c r="P120" i="206"/>
  <c r="Q120" i="206"/>
  <c r="R120" i="206"/>
  <c r="S120" i="206"/>
  <c r="T120" i="206"/>
  <c r="W120" i="206"/>
  <c r="X120" i="206"/>
  <c r="Y120" i="206"/>
  <c r="Z120" i="206"/>
  <c r="T124" i="222" l="1"/>
  <c r="M106" i="222"/>
  <c r="M126" i="222" s="1"/>
  <c r="T106" i="222"/>
  <c r="M87" i="221"/>
  <c r="X15" i="216"/>
  <c r="Y15" i="216"/>
  <c r="Y20" i="216" s="1"/>
  <c r="Z15" i="216"/>
  <c r="W17" i="216"/>
  <c r="X17" i="216"/>
  <c r="Y17" i="216"/>
  <c r="Z17" i="216"/>
  <c r="E19" i="216"/>
  <c r="F19" i="216"/>
  <c r="G19" i="216"/>
  <c r="H19" i="216"/>
  <c r="I19" i="216"/>
  <c r="J19" i="216"/>
  <c r="J20" i="216" s="1"/>
  <c r="K19" i="216"/>
  <c r="L19" i="216"/>
  <c r="M19" i="216"/>
  <c r="N19" i="216"/>
  <c r="O19" i="216"/>
  <c r="P19" i="216"/>
  <c r="Q19" i="216"/>
  <c r="R19" i="216"/>
  <c r="S19" i="216"/>
  <c r="T19" i="216"/>
  <c r="U19" i="216"/>
  <c r="V19" i="216"/>
  <c r="W19" i="216"/>
  <c r="X20" i="216"/>
  <c r="Z20" i="216"/>
  <c r="E20" i="216"/>
  <c r="G20" i="216"/>
  <c r="H20" i="216"/>
  <c r="I20" i="216"/>
  <c r="K20" i="216"/>
  <c r="L20" i="216"/>
  <c r="P20" i="216"/>
  <c r="Q20" i="216"/>
  <c r="R20" i="216"/>
  <c r="S20" i="216"/>
  <c r="E15" i="216"/>
  <c r="F15" i="216"/>
  <c r="G15" i="216"/>
  <c r="H15" i="216"/>
  <c r="I15" i="216"/>
  <c r="J15" i="216"/>
  <c r="K15" i="216"/>
  <c r="L15" i="216"/>
  <c r="M15" i="216"/>
  <c r="P15" i="216"/>
  <c r="Q15" i="216"/>
  <c r="R15" i="216"/>
  <c r="S15" i="216"/>
  <c r="T15" i="216"/>
  <c r="D15" i="216"/>
  <c r="D19" i="216"/>
  <c r="F17" i="213"/>
  <c r="G17" i="213"/>
  <c r="H17" i="213"/>
  <c r="I17" i="213"/>
  <c r="J17" i="213"/>
  <c r="K17" i="213"/>
  <c r="L17" i="213"/>
  <c r="M17" i="213"/>
  <c r="N17" i="213"/>
  <c r="O17" i="213"/>
  <c r="P17" i="213"/>
  <c r="Q17" i="213"/>
  <c r="R17" i="213"/>
  <c r="S17" i="213"/>
  <c r="T17" i="213"/>
  <c r="U17" i="213"/>
  <c r="V17" i="213"/>
  <c r="W17" i="213"/>
  <c r="X17" i="213"/>
  <c r="Y17" i="213"/>
  <c r="Z17" i="213"/>
  <c r="E16" i="213"/>
  <c r="E17" i="213" s="1"/>
  <c r="F16" i="213"/>
  <c r="G16" i="213"/>
  <c r="H16" i="213"/>
  <c r="I16" i="213"/>
  <c r="J16" i="213"/>
  <c r="K16" i="213"/>
  <c r="L16" i="213"/>
  <c r="M16" i="213"/>
  <c r="N16" i="213"/>
  <c r="O16" i="213"/>
  <c r="P16" i="213"/>
  <c r="Q16" i="213"/>
  <c r="R16" i="213"/>
  <c r="S16" i="213"/>
  <c r="T16" i="213"/>
  <c r="U16" i="213"/>
  <c r="V16" i="213"/>
  <c r="W16" i="213"/>
  <c r="X16" i="213"/>
  <c r="Y16" i="213"/>
  <c r="Z16" i="213"/>
  <c r="E12" i="213"/>
  <c r="F12" i="213"/>
  <c r="G12" i="213"/>
  <c r="H12" i="213"/>
  <c r="I12" i="213"/>
  <c r="J12" i="213"/>
  <c r="K12" i="213"/>
  <c r="L12" i="213"/>
  <c r="M12" i="213"/>
  <c r="N12" i="213"/>
  <c r="O12" i="213"/>
  <c r="P12" i="213"/>
  <c r="Q12" i="213"/>
  <c r="R12" i="213"/>
  <c r="S12" i="213"/>
  <c r="T12" i="213"/>
  <c r="U12" i="213"/>
  <c r="V12" i="213"/>
  <c r="W12" i="213"/>
  <c r="X12" i="213"/>
  <c r="Y12" i="213"/>
  <c r="Z12" i="213"/>
  <c r="D17" i="213"/>
  <c r="E19" i="210"/>
  <c r="G19" i="210"/>
  <c r="H19" i="210"/>
  <c r="I19" i="210"/>
  <c r="J19" i="210"/>
  <c r="K19" i="210"/>
  <c r="L19" i="210"/>
  <c r="M19" i="210"/>
  <c r="P19" i="210"/>
  <c r="Q19" i="210"/>
  <c r="R19" i="210"/>
  <c r="S19" i="210"/>
  <c r="T19" i="210"/>
  <c r="X19" i="210"/>
  <c r="Y19" i="210"/>
  <c r="E18" i="210"/>
  <c r="F18" i="210"/>
  <c r="G18" i="210"/>
  <c r="H18" i="210"/>
  <c r="I18" i="210"/>
  <c r="J18" i="210"/>
  <c r="K18" i="210"/>
  <c r="L18" i="210"/>
  <c r="M18" i="210"/>
  <c r="P18" i="210"/>
  <c r="Q18" i="210"/>
  <c r="R18" i="210"/>
  <c r="S18" i="210"/>
  <c r="T18" i="210"/>
  <c r="V18" i="210"/>
  <c r="X18" i="210"/>
  <c r="Y18" i="210"/>
  <c r="Z18" i="210"/>
  <c r="E16" i="210"/>
  <c r="G16" i="210"/>
  <c r="H16" i="210"/>
  <c r="I16" i="210"/>
  <c r="J16" i="210"/>
  <c r="K16" i="210"/>
  <c r="L16" i="210"/>
  <c r="M16" i="210"/>
  <c r="P16" i="210"/>
  <c r="Q16" i="210"/>
  <c r="R16" i="210"/>
  <c r="S16" i="210"/>
  <c r="T16" i="210"/>
  <c r="X16" i="210"/>
  <c r="Y16" i="210"/>
  <c r="E89" i="205"/>
  <c r="E90" i="205" s="1"/>
  <c r="F89" i="205"/>
  <c r="G89" i="205"/>
  <c r="H89" i="205"/>
  <c r="H90" i="205" s="1"/>
  <c r="I89" i="205"/>
  <c r="J89" i="205"/>
  <c r="K89" i="205"/>
  <c r="K90" i="205" s="1"/>
  <c r="L89" i="205"/>
  <c r="L90" i="205" s="1"/>
  <c r="M89" i="205"/>
  <c r="M90" i="205" s="1"/>
  <c r="N89" i="205"/>
  <c r="O89" i="205"/>
  <c r="P89" i="205"/>
  <c r="P90" i="205" s="1"/>
  <c r="Q89" i="205"/>
  <c r="R89" i="205"/>
  <c r="S89" i="205"/>
  <c r="S90" i="205" s="1"/>
  <c r="T89" i="205"/>
  <c r="T90" i="205" s="1"/>
  <c r="U89" i="205"/>
  <c r="V89" i="205"/>
  <c r="W89" i="205"/>
  <c r="X89" i="205"/>
  <c r="X90" i="205" s="1"/>
  <c r="Y89" i="205"/>
  <c r="Z89" i="205"/>
  <c r="G90" i="205"/>
  <c r="I90" i="205"/>
  <c r="J90" i="205"/>
  <c r="Q90" i="205"/>
  <c r="R90" i="205"/>
  <c r="W90" i="205"/>
  <c r="Y90" i="205"/>
  <c r="Z90" i="205"/>
  <c r="E87" i="205"/>
  <c r="G87" i="205"/>
  <c r="H87" i="205"/>
  <c r="I87" i="205"/>
  <c r="J87" i="205"/>
  <c r="K87" i="205"/>
  <c r="L87" i="205"/>
  <c r="M87" i="205"/>
  <c r="P87" i="205"/>
  <c r="Q87" i="205"/>
  <c r="R87" i="205"/>
  <c r="S87" i="205"/>
  <c r="T87" i="205"/>
  <c r="W87" i="205"/>
  <c r="X87" i="205"/>
  <c r="Y87" i="205"/>
  <c r="Z87" i="205"/>
  <c r="E49" i="205"/>
  <c r="G49" i="205"/>
  <c r="H49" i="205"/>
  <c r="I49" i="205"/>
  <c r="J49" i="205"/>
  <c r="K49" i="205"/>
  <c r="L49" i="205"/>
  <c r="M49" i="205"/>
  <c r="P49" i="205"/>
  <c r="Q49" i="205"/>
  <c r="R49" i="205"/>
  <c r="S49" i="205"/>
  <c r="T49" i="205"/>
  <c r="W49" i="205"/>
  <c r="X49" i="205"/>
  <c r="Y49" i="205"/>
  <c r="Z49" i="205"/>
  <c r="D90" i="205"/>
  <c r="T126" i="222" l="1"/>
  <c r="T87" i="221"/>
  <c r="D8" i="216"/>
  <c r="E8" i="216"/>
  <c r="F8" i="216"/>
  <c r="G8" i="216"/>
  <c r="H8" i="216"/>
  <c r="H12" i="216" s="1"/>
  <c r="I8" i="216"/>
  <c r="J8" i="216"/>
  <c r="K8" i="216"/>
  <c r="K12" i="216" s="1"/>
  <c r="L8" i="216"/>
  <c r="M8" i="216"/>
  <c r="N8" i="216"/>
  <c r="O8" i="216"/>
  <c r="P8" i="216"/>
  <c r="P12" i="216" s="1"/>
  <c r="Q8" i="216"/>
  <c r="R8" i="216"/>
  <c r="S8" i="216"/>
  <c r="S12" i="216" s="1"/>
  <c r="T8" i="216"/>
  <c r="U8" i="216"/>
  <c r="W8" i="216"/>
  <c r="X8" i="216"/>
  <c r="X12" i="216" s="1"/>
  <c r="Y8" i="216"/>
  <c r="Z8" i="216"/>
  <c r="AA8" i="216"/>
  <c r="AB8" i="216"/>
  <c r="D9" i="216"/>
  <c r="E9" i="216"/>
  <c r="F9" i="216"/>
  <c r="G9" i="216"/>
  <c r="H9" i="216"/>
  <c r="I9" i="216"/>
  <c r="J9" i="216"/>
  <c r="K9" i="216"/>
  <c r="L9" i="216"/>
  <c r="M9" i="216"/>
  <c r="N9" i="216"/>
  <c r="O9" i="216"/>
  <c r="P9" i="216"/>
  <c r="Q9" i="216"/>
  <c r="R9" i="216"/>
  <c r="S9" i="216"/>
  <c r="T9" i="216"/>
  <c r="U9" i="216"/>
  <c r="V9" i="216"/>
  <c r="W9" i="216"/>
  <c r="X9" i="216"/>
  <c r="Y9" i="216"/>
  <c r="Z9" i="216"/>
  <c r="AA9" i="216"/>
  <c r="AB9" i="216"/>
  <c r="D13" i="216"/>
  <c r="E13" i="216"/>
  <c r="F13" i="216"/>
  <c r="G13" i="216"/>
  <c r="H13" i="216"/>
  <c r="I13" i="216"/>
  <c r="J13" i="216"/>
  <c r="K13" i="216"/>
  <c r="L13" i="216"/>
  <c r="M13" i="216"/>
  <c r="N13" i="216"/>
  <c r="N15" i="216" s="1"/>
  <c r="P13" i="216"/>
  <c r="Q13" i="216"/>
  <c r="R13" i="216"/>
  <c r="S13" i="216"/>
  <c r="T13" i="216"/>
  <c r="W13" i="216"/>
  <c r="W15" i="216" s="1"/>
  <c r="X13" i="216"/>
  <c r="Y13" i="216"/>
  <c r="Z13" i="216"/>
  <c r="AA13" i="216"/>
  <c r="AB13" i="216"/>
  <c r="D14" i="216"/>
  <c r="E14" i="216"/>
  <c r="F14" i="216"/>
  <c r="G14" i="216"/>
  <c r="H14" i="216"/>
  <c r="I14" i="216"/>
  <c r="J14" i="216"/>
  <c r="K14" i="216"/>
  <c r="L14" i="216"/>
  <c r="M14" i="216"/>
  <c r="N14" i="216"/>
  <c r="O14" i="216"/>
  <c r="P14" i="216"/>
  <c r="Q14" i="216"/>
  <c r="R14" i="216"/>
  <c r="S14" i="216"/>
  <c r="T14" i="216"/>
  <c r="U14" i="216"/>
  <c r="V14" i="216"/>
  <c r="W14" i="216"/>
  <c r="X14" i="216"/>
  <c r="Y14" i="216"/>
  <c r="Z14" i="216"/>
  <c r="AA14" i="216"/>
  <c r="AB14" i="216"/>
  <c r="D6" i="216"/>
  <c r="D7" i="216" s="1"/>
  <c r="E6" i="216"/>
  <c r="E7" i="216" s="1"/>
  <c r="F6" i="216"/>
  <c r="F7" i="216" s="1"/>
  <c r="G6" i="216"/>
  <c r="H6" i="216"/>
  <c r="H7" i="216" s="1"/>
  <c r="I6" i="216"/>
  <c r="I7" i="216" s="1"/>
  <c r="J6" i="216"/>
  <c r="J7" i="216" s="1"/>
  <c r="K6" i="216"/>
  <c r="K7" i="216" s="1"/>
  <c r="L6" i="216"/>
  <c r="L7" i="216" s="1"/>
  <c r="M6" i="216"/>
  <c r="M7" i="216" s="1"/>
  <c r="N6" i="216"/>
  <c r="N7" i="216" s="1"/>
  <c r="O6" i="216"/>
  <c r="O7" i="216" s="1"/>
  <c r="P6" i="216"/>
  <c r="P7" i="216" s="1"/>
  <c r="Q6" i="216"/>
  <c r="Q7" i="216" s="1"/>
  <c r="R6" i="216"/>
  <c r="R7" i="216" s="1"/>
  <c r="S6" i="216"/>
  <c r="S7" i="216" s="1"/>
  <c r="T6" i="216"/>
  <c r="T7" i="216" s="1"/>
  <c r="U6" i="216"/>
  <c r="U7" i="216" s="1"/>
  <c r="V6" i="216"/>
  <c r="V7" i="216" s="1"/>
  <c r="W6" i="216"/>
  <c r="X6" i="216"/>
  <c r="Y6" i="216"/>
  <c r="Z6" i="216"/>
  <c r="AA6" i="216"/>
  <c r="AB6" i="216"/>
  <c r="D18" i="216"/>
  <c r="E18" i="216"/>
  <c r="F18" i="216"/>
  <c r="G18" i="216"/>
  <c r="H18" i="216"/>
  <c r="I18" i="216"/>
  <c r="J18" i="216"/>
  <c r="K18" i="216"/>
  <c r="L18" i="216"/>
  <c r="M18" i="216"/>
  <c r="N18" i="216"/>
  <c r="O18" i="216"/>
  <c r="P18" i="216"/>
  <c r="Q18" i="216"/>
  <c r="R18" i="216"/>
  <c r="S18" i="216"/>
  <c r="T18" i="216"/>
  <c r="U18" i="216"/>
  <c r="V18" i="216"/>
  <c r="W18" i="216"/>
  <c r="X18" i="216"/>
  <c r="Y18" i="216"/>
  <c r="Z18" i="216"/>
  <c r="AA18" i="216"/>
  <c r="AB18" i="216"/>
  <c r="D10" i="216"/>
  <c r="E10" i="216"/>
  <c r="F10" i="216"/>
  <c r="G10" i="216"/>
  <c r="H10" i="216"/>
  <c r="I10" i="216"/>
  <c r="J10" i="216"/>
  <c r="K10" i="216"/>
  <c r="L10" i="216"/>
  <c r="M10" i="216"/>
  <c r="N10" i="216"/>
  <c r="O10" i="216"/>
  <c r="P10" i="216"/>
  <c r="Q10" i="216"/>
  <c r="R10" i="216"/>
  <c r="S10" i="216"/>
  <c r="T10" i="216"/>
  <c r="U10" i="216"/>
  <c r="V10" i="216"/>
  <c r="W10" i="216"/>
  <c r="X10" i="216"/>
  <c r="Y10" i="216"/>
  <c r="Z10" i="216"/>
  <c r="AA10" i="216"/>
  <c r="AB10" i="216"/>
  <c r="D11" i="216"/>
  <c r="E11" i="216"/>
  <c r="G11" i="216"/>
  <c r="H11" i="216"/>
  <c r="I11" i="216"/>
  <c r="J11" i="216"/>
  <c r="K11" i="216"/>
  <c r="L11" i="216"/>
  <c r="M11" i="216"/>
  <c r="N11" i="216"/>
  <c r="P11" i="216"/>
  <c r="Q11" i="216"/>
  <c r="R11" i="216"/>
  <c r="S11" i="216"/>
  <c r="W11" i="216"/>
  <c r="X11" i="216"/>
  <c r="Y11" i="216"/>
  <c r="Z11" i="216"/>
  <c r="AA11" i="216"/>
  <c r="AB11" i="216"/>
  <c r="E16" i="216"/>
  <c r="E17" i="216" s="1"/>
  <c r="F16" i="216"/>
  <c r="F17" i="216" s="1"/>
  <c r="G16" i="216"/>
  <c r="G17" i="216" s="1"/>
  <c r="H16" i="216"/>
  <c r="H17" i="216" s="1"/>
  <c r="I16" i="216"/>
  <c r="I17" i="216" s="1"/>
  <c r="J16" i="216"/>
  <c r="J17" i="216" s="1"/>
  <c r="K16" i="216"/>
  <c r="K17" i="216" s="1"/>
  <c r="L16" i="216"/>
  <c r="L17" i="216" s="1"/>
  <c r="M16" i="216"/>
  <c r="M17" i="216" s="1"/>
  <c r="N16" i="216"/>
  <c r="N17" i="216" s="1"/>
  <c r="O16" i="216"/>
  <c r="O17" i="216" s="1"/>
  <c r="P16" i="216"/>
  <c r="P17" i="216" s="1"/>
  <c r="Q16" i="216"/>
  <c r="Q17" i="216" s="1"/>
  <c r="R16" i="216"/>
  <c r="R17" i="216" s="1"/>
  <c r="S16" i="216"/>
  <c r="S17" i="216" s="1"/>
  <c r="T16" i="216"/>
  <c r="T17" i="216" s="1"/>
  <c r="U16" i="216"/>
  <c r="U17" i="216" s="1"/>
  <c r="V16" i="216"/>
  <c r="V17" i="216" s="1"/>
  <c r="W16" i="216"/>
  <c r="X16" i="216"/>
  <c r="Y16" i="216"/>
  <c r="Z16" i="216"/>
  <c r="AA16" i="216"/>
  <c r="AB16" i="216"/>
  <c r="D16" i="216"/>
  <c r="D17" i="216" s="1"/>
  <c r="U5" i="216"/>
  <c r="O5" i="216"/>
  <c r="D7" i="215"/>
  <c r="E7" i="215"/>
  <c r="F7" i="215"/>
  <c r="G7" i="215"/>
  <c r="H7" i="215"/>
  <c r="I7" i="215"/>
  <c r="J7" i="215"/>
  <c r="K7" i="215"/>
  <c r="L7" i="215"/>
  <c r="M7" i="215"/>
  <c r="N7" i="215"/>
  <c r="O7" i="215"/>
  <c r="P7" i="215"/>
  <c r="Q7" i="215"/>
  <c r="R7" i="215"/>
  <c r="S7" i="215"/>
  <c r="S23" i="215" s="1"/>
  <c r="T7" i="215"/>
  <c r="U7" i="215"/>
  <c r="V7" i="215"/>
  <c r="W7" i="215"/>
  <c r="X7" i="215"/>
  <c r="Y7" i="215"/>
  <c r="Z7" i="215"/>
  <c r="AA7" i="215"/>
  <c r="AB7" i="215"/>
  <c r="D8" i="215"/>
  <c r="E8" i="215"/>
  <c r="F8" i="215"/>
  <c r="G8" i="215"/>
  <c r="H8" i="215"/>
  <c r="I8" i="215"/>
  <c r="J8" i="215"/>
  <c r="J23" i="215" s="1"/>
  <c r="K8" i="215"/>
  <c r="L8" i="215"/>
  <c r="M8" i="215"/>
  <c r="N8" i="215"/>
  <c r="O8" i="215"/>
  <c r="P8" i="215"/>
  <c r="Q8" i="215"/>
  <c r="R8" i="215"/>
  <c r="R23" i="215" s="1"/>
  <c r="S8" i="215"/>
  <c r="T8" i="215"/>
  <c r="U8" i="215"/>
  <c r="V8" i="215"/>
  <c r="W8" i="215"/>
  <c r="X8" i="215"/>
  <c r="Y8" i="215"/>
  <c r="Z8" i="215"/>
  <c r="AA8" i="215"/>
  <c r="AB8" i="215"/>
  <c r="D9" i="215"/>
  <c r="E9" i="215"/>
  <c r="F9" i="215"/>
  <c r="G9" i="215"/>
  <c r="H9" i="215"/>
  <c r="I9" i="215"/>
  <c r="J9" i="215"/>
  <c r="K9" i="215"/>
  <c r="L9" i="215"/>
  <c r="M9" i="215"/>
  <c r="N9" i="215"/>
  <c r="O9" i="215"/>
  <c r="P9" i="215"/>
  <c r="Q9" i="215"/>
  <c r="Q23" i="215" s="1"/>
  <c r="R9" i="215"/>
  <c r="S9" i="215"/>
  <c r="T9" i="215"/>
  <c r="U9" i="215"/>
  <c r="V9" i="215"/>
  <c r="W9" i="215"/>
  <c r="X9" i="215"/>
  <c r="Y9" i="215"/>
  <c r="Y23" i="215" s="1"/>
  <c r="Z9" i="215"/>
  <c r="AA9" i="215"/>
  <c r="AB9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P10" i="215"/>
  <c r="Q10" i="215"/>
  <c r="R10" i="215"/>
  <c r="S10" i="215"/>
  <c r="T10" i="215"/>
  <c r="U10" i="215"/>
  <c r="V10" i="215"/>
  <c r="W10" i="215"/>
  <c r="X10" i="215"/>
  <c r="Y10" i="215"/>
  <c r="Z10" i="215"/>
  <c r="AA10" i="215"/>
  <c r="AB10" i="215"/>
  <c r="D11" i="215"/>
  <c r="E11" i="215"/>
  <c r="F11" i="215"/>
  <c r="G11" i="215"/>
  <c r="G23" i="215" s="1"/>
  <c r="H11" i="215"/>
  <c r="I11" i="215"/>
  <c r="J11" i="215"/>
  <c r="K11" i="215"/>
  <c r="L11" i="215"/>
  <c r="M11" i="215"/>
  <c r="N11" i="215"/>
  <c r="O11" i="215"/>
  <c r="P11" i="215"/>
  <c r="Q11" i="215"/>
  <c r="R11" i="215"/>
  <c r="S11" i="215"/>
  <c r="T11" i="215"/>
  <c r="U11" i="215"/>
  <c r="V11" i="215"/>
  <c r="W11" i="215"/>
  <c r="W23" i="215" s="1"/>
  <c r="X11" i="215"/>
  <c r="Y11" i="215"/>
  <c r="Z11" i="215"/>
  <c r="AA11" i="215"/>
  <c r="AB11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P12" i="215"/>
  <c r="Q12" i="215"/>
  <c r="R12" i="215"/>
  <c r="S12" i="215"/>
  <c r="T12" i="215"/>
  <c r="U12" i="215"/>
  <c r="V12" i="215"/>
  <c r="W12" i="215"/>
  <c r="X12" i="215"/>
  <c r="Y12" i="215"/>
  <c r="Z12" i="215"/>
  <c r="AA12" i="215"/>
  <c r="AB12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P13" i="215"/>
  <c r="Q13" i="215"/>
  <c r="R13" i="215"/>
  <c r="S13" i="215"/>
  <c r="T13" i="215"/>
  <c r="U13" i="215"/>
  <c r="V13" i="215"/>
  <c r="W13" i="215"/>
  <c r="X13" i="215"/>
  <c r="Y13" i="215"/>
  <c r="Z13" i="215"/>
  <c r="AA13" i="215"/>
  <c r="AB13" i="215"/>
  <c r="D14" i="215"/>
  <c r="D23" i="215" s="1"/>
  <c r="E14" i="215"/>
  <c r="F14" i="215"/>
  <c r="G14" i="215"/>
  <c r="H14" i="215"/>
  <c r="I14" i="215"/>
  <c r="J14" i="215"/>
  <c r="K14" i="215"/>
  <c r="L14" i="215"/>
  <c r="M14" i="215"/>
  <c r="N14" i="215"/>
  <c r="O14" i="215"/>
  <c r="P14" i="215"/>
  <c r="Q14" i="215"/>
  <c r="R14" i="215"/>
  <c r="S14" i="215"/>
  <c r="T14" i="215"/>
  <c r="U14" i="215"/>
  <c r="V14" i="215"/>
  <c r="W14" i="215"/>
  <c r="X14" i="215"/>
  <c r="Y14" i="215"/>
  <c r="Z14" i="215"/>
  <c r="AA14" i="215"/>
  <c r="AB14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P15" i="215"/>
  <c r="Q15" i="215"/>
  <c r="R15" i="215"/>
  <c r="S15" i="215"/>
  <c r="T15" i="215"/>
  <c r="U15" i="215"/>
  <c r="V15" i="215"/>
  <c r="W15" i="215"/>
  <c r="X15" i="215"/>
  <c r="Y15" i="215"/>
  <c r="Z15" i="215"/>
  <c r="AA15" i="215"/>
  <c r="AB15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P16" i="215"/>
  <c r="Q16" i="215"/>
  <c r="R16" i="215"/>
  <c r="S16" i="215"/>
  <c r="T16" i="215"/>
  <c r="U16" i="215"/>
  <c r="V16" i="215"/>
  <c r="W16" i="215"/>
  <c r="X16" i="215"/>
  <c r="Y16" i="215"/>
  <c r="Z16" i="215"/>
  <c r="AA16" i="215"/>
  <c r="AB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P17" i="215"/>
  <c r="Q17" i="215"/>
  <c r="R17" i="215"/>
  <c r="S17" i="215"/>
  <c r="T17" i="215"/>
  <c r="U17" i="215"/>
  <c r="V17" i="215"/>
  <c r="W17" i="215"/>
  <c r="X17" i="215"/>
  <c r="Y17" i="215"/>
  <c r="Z17" i="215"/>
  <c r="AA17" i="215"/>
  <c r="AB17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P18" i="215"/>
  <c r="Q18" i="215"/>
  <c r="R18" i="215"/>
  <c r="S18" i="215"/>
  <c r="T18" i="215"/>
  <c r="U18" i="215"/>
  <c r="V18" i="215"/>
  <c r="W18" i="215"/>
  <c r="X18" i="215"/>
  <c r="Y18" i="215"/>
  <c r="Z18" i="215"/>
  <c r="AA18" i="215"/>
  <c r="AB18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P19" i="215"/>
  <c r="Q19" i="215"/>
  <c r="R19" i="215"/>
  <c r="S19" i="215"/>
  <c r="T19" i="215"/>
  <c r="U19" i="215"/>
  <c r="V19" i="215"/>
  <c r="W19" i="215"/>
  <c r="X19" i="215"/>
  <c r="Y19" i="215"/>
  <c r="Z19" i="215"/>
  <c r="AA19" i="215"/>
  <c r="AB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P20" i="215"/>
  <c r="Q20" i="215"/>
  <c r="R20" i="215"/>
  <c r="S20" i="215"/>
  <c r="T20" i="215"/>
  <c r="U20" i="215"/>
  <c r="V20" i="215"/>
  <c r="W20" i="215"/>
  <c r="X20" i="215"/>
  <c r="Y20" i="215"/>
  <c r="Z20" i="215"/>
  <c r="AA20" i="215"/>
  <c r="AB20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P21" i="215"/>
  <c r="Q21" i="215"/>
  <c r="R21" i="215"/>
  <c r="S21" i="215"/>
  <c r="T21" i="215"/>
  <c r="U21" i="215"/>
  <c r="V21" i="215"/>
  <c r="W21" i="215"/>
  <c r="X21" i="215"/>
  <c r="Y21" i="215"/>
  <c r="Z21" i="215"/>
  <c r="AA21" i="215"/>
  <c r="AB21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P22" i="215"/>
  <c r="Q22" i="215"/>
  <c r="R22" i="215"/>
  <c r="S22" i="215"/>
  <c r="T22" i="215"/>
  <c r="U22" i="215"/>
  <c r="V22" i="215"/>
  <c r="W22" i="215"/>
  <c r="X22" i="215"/>
  <c r="Y22" i="215"/>
  <c r="Z22" i="215"/>
  <c r="AA22" i="215"/>
  <c r="AB22" i="215"/>
  <c r="E6" i="215"/>
  <c r="F6" i="215"/>
  <c r="G6" i="215"/>
  <c r="H6" i="215"/>
  <c r="I6" i="215"/>
  <c r="J6" i="215"/>
  <c r="K6" i="215"/>
  <c r="L6" i="215"/>
  <c r="M6" i="215"/>
  <c r="N6" i="215"/>
  <c r="O6" i="215"/>
  <c r="P6" i="215"/>
  <c r="Q6" i="215"/>
  <c r="R6" i="215"/>
  <c r="S6" i="215"/>
  <c r="T6" i="215"/>
  <c r="U6" i="215"/>
  <c r="V6" i="215"/>
  <c r="W6" i="215"/>
  <c r="X6" i="215"/>
  <c r="Y6" i="215"/>
  <c r="Z6" i="215"/>
  <c r="AA6" i="215"/>
  <c r="AB6" i="215"/>
  <c r="D6" i="215"/>
  <c r="H23" i="215"/>
  <c r="A6" i="215"/>
  <c r="A7" i="215" s="1"/>
  <c r="A8" i="215" s="1"/>
  <c r="A9" i="215" s="1"/>
  <c r="A10" i="215" s="1"/>
  <c r="A11" i="215" s="1"/>
  <c r="A12" i="215" s="1"/>
  <c r="A13" i="215" s="1"/>
  <c r="A14" i="215" s="1"/>
  <c r="A15" i="215" s="1"/>
  <c r="A16" i="215" s="1"/>
  <c r="A17" i="215" s="1"/>
  <c r="A18" i="215" s="1"/>
  <c r="A19" i="215" s="1"/>
  <c r="A20" i="215" s="1"/>
  <c r="A21" i="215" s="1"/>
  <c r="A22" i="215" s="1"/>
  <c r="A23" i="215" s="1"/>
  <c r="U5" i="215"/>
  <c r="T5" i="215"/>
  <c r="O5" i="215"/>
  <c r="D6" i="214"/>
  <c r="D7" i="214" s="1"/>
  <c r="E6" i="214"/>
  <c r="E7" i="214" s="1"/>
  <c r="G6" i="214"/>
  <c r="G7" i="214" s="1"/>
  <c r="H6" i="214"/>
  <c r="H7" i="214" s="1"/>
  <c r="I6" i="214"/>
  <c r="I7" i="214" s="1"/>
  <c r="J6" i="214"/>
  <c r="J7" i="214" s="1"/>
  <c r="Q6" i="214"/>
  <c r="Q7" i="214" s="1"/>
  <c r="R6" i="214"/>
  <c r="R7" i="214" s="1"/>
  <c r="V6" i="214"/>
  <c r="V7" i="214" s="1"/>
  <c r="X6" i="214"/>
  <c r="X7" i="214" s="1"/>
  <c r="Y6" i="214"/>
  <c r="Y7" i="214" s="1"/>
  <c r="Z6" i="214"/>
  <c r="Z7" i="214" s="1"/>
  <c r="AA6" i="214"/>
  <c r="AB6" i="214"/>
  <c r="D16" i="214"/>
  <c r="E16" i="214"/>
  <c r="G16" i="214"/>
  <c r="H16" i="214"/>
  <c r="I16" i="214"/>
  <c r="J16" i="214"/>
  <c r="N16" i="214"/>
  <c r="Q16" i="214"/>
  <c r="R16" i="214"/>
  <c r="R18" i="214" s="1"/>
  <c r="X16" i="214"/>
  <c r="Y16" i="214"/>
  <c r="Z16" i="214"/>
  <c r="AA16" i="214"/>
  <c r="AB16" i="214"/>
  <c r="E11" i="214"/>
  <c r="G11" i="214"/>
  <c r="H11" i="214"/>
  <c r="I11" i="214"/>
  <c r="J11" i="214"/>
  <c r="Q11" i="214"/>
  <c r="R11" i="214"/>
  <c r="W11" i="214"/>
  <c r="X11" i="214"/>
  <c r="Y11" i="214"/>
  <c r="Z11" i="214"/>
  <c r="AA11" i="214"/>
  <c r="AB11" i="214"/>
  <c r="E8" i="214"/>
  <c r="E9" i="214" s="1"/>
  <c r="G8" i="214"/>
  <c r="G9" i="214" s="1"/>
  <c r="H8" i="214"/>
  <c r="H9" i="214" s="1"/>
  <c r="I8" i="214"/>
  <c r="I9" i="214" s="1"/>
  <c r="J8" i="214"/>
  <c r="J9" i="214" s="1"/>
  <c r="N8" i="214"/>
  <c r="N9" i="214" s="1"/>
  <c r="Q8" i="214"/>
  <c r="Q9" i="214" s="1"/>
  <c r="R8" i="214"/>
  <c r="R9" i="214" s="1"/>
  <c r="X8" i="214"/>
  <c r="X9" i="214" s="1"/>
  <c r="Y8" i="214"/>
  <c r="Y9" i="214" s="1"/>
  <c r="Z8" i="214"/>
  <c r="Z9" i="214" s="1"/>
  <c r="AA8" i="214"/>
  <c r="AB8" i="214"/>
  <c r="D12" i="214"/>
  <c r="E12" i="214"/>
  <c r="G12" i="214"/>
  <c r="H12" i="214"/>
  <c r="I12" i="214"/>
  <c r="J12" i="214"/>
  <c r="Q12" i="214"/>
  <c r="R12" i="214"/>
  <c r="V12" i="214"/>
  <c r="X12" i="214"/>
  <c r="Y12" i="214"/>
  <c r="Z12" i="214"/>
  <c r="AA12" i="214"/>
  <c r="AB12" i="214"/>
  <c r="D13" i="214"/>
  <c r="E13" i="214"/>
  <c r="G13" i="214"/>
  <c r="H13" i="214"/>
  <c r="I13" i="214"/>
  <c r="J13" i="214"/>
  <c r="N13" i="214"/>
  <c r="Q13" i="214"/>
  <c r="R13" i="214"/>
  <c r="W13" i="214"/>
  <c r="X13" i="214"/>
  <c r="Y13" i="214"/>
  <c r="Z13" i="214"/>
  <c r="AA13" i="214"/>
  <c r="AB13" i="214"/>
  <c r="D17" i="214"/>
  <c r="E17" i="214"/>
  <c r="G17" i="214"/>
  <c r="H17" i="214"/>
  <c r="I17" i="214"/>
  <c r="J17" i="214"/>
  <c r="N17" i="214"/>
  <c r="Q17" i="214"/>
  <c r="R17" i="214"/>
  <c r="V17" i="214"/>
  <c r="X17" i="214"/>
  <c r="Y17" i="214"/>
  <c r="Z17" i="214"/>
  <c r="AA17" i="214"/>
  <c r="AB17" i="214"/>
  <c r="D14" i="214"/>
  <c r="E14" i="214"/>
  <c r="G14" i="214"/>
  <c r="H14" i="214"/>
  <c r="I14" i="214"/>
  <c r="J14" i="214"/>
  <c r="N14" i="214"/>
  <c r="Q14" i="214"/>
  <c r="R14" i="214"/>
  <c r="R15" i="214" s="1"/>
  <c r="S14" i="214"/>
  <c r="W14" i="214"/>
  <c r="X14" i="214"/>
  <c r="Y14" i="214"/>
  <c r="Z14" i="214"/>
  <c r="AA14" i="214"/>
  <c r="AB14" i="214"/>
  <c r="E10" i="214"/>
  <c r="G10" i="214"/>
  <c r="H10" i="214"/>
  <c r="I10" i="214"/>
  <c r="J10" i="214"/>
  <c r="N10" i="214"/>
  <c r="Q10" i="214"/>
  <c r="R10" i="214"/>
  <c r="V10" i="214"/>
  <c r="X10" i="214"/>
  <c r="Y10" i="214"/>
  <c r="Z10" i="214"/>
  <c r="AA10" i="214"/>
  <c r="AB10" i="214"/>
  <c r="D10" i="214"/>
  <c r="A6" i="214"/>
  <c r="T5" i="214"/>
  <c r="U5" i="214" s="1"/>
  <c r="E7" i="213"/>
  <c r="F7" i="213"/>
  <c r="G7" i="213"/>
  <c r="H7" i="213"/>
  <c r="I7" i="213"/>
  <c r="J7" i="213"/>
  <c r="K7" i="213"/>
  <c r="L7" i="213"/>
  <c r="M7" i="213"/>
  <c r="N7" i="213"/>
  <c r="O7" i="213"/>
  <c r="P7" i="213"/>
  <c r="Q7" i="213"/>
  <c r="R7" i="213"/>
  <c r="S7" i="213"/>
  <c r="T7" i="213"/>
  <c r="U7" i="213"/>
  <c r="V7" i="213"/>
  <c r="W7" i="213"/>
  <c r="X7" i="213"/>
  <c r="Y7" i="213"/>
  <c r="Z7" i="213"/>
  <c r="AA7" i="213"/>
  <c r="AB7" i="213"/>
  <c r="F13" i="213"/>
  <c r="G13" i="213"/>
  <c r="H13" i="213"/>
  <c r="I13" i="213"/>
  <c r="J13" i="213"/>
  <c r="K13" i="213"/>
  <c r="L13" i="213"/>
  <c r="M13" i="213"/>
  <c r="N13" i="213"/>
  <c r="O13" i="213"/>
  <c r="P13" i="213"/>
  <c r="Q13" i="213"/>
  <c r="R13" i="213"/>
  <c r="S13" i="213"/>
  <c r="T13" i="213"/>
  <c r="U13" i="213"/>
  <c r="V13" i="213"/>
  <c r="W13" i="213"/>
  <c r="X13" i="213"/>
  <c r="Y13" i="213"/>
  <c r="Z13" i="213"/>
  <c r="AA13" i="213"/>
  <c r="AB13" i="213"/>
  <c r="D14" i="213"/>
  <c r="E14" i="213"/>
  <c r="F14" i="213"/>
  <c r="G14" i="213"/>
  <c r="H14" i="213"/>
  <c r="I14" i="213"/>
  <c r="J14" i="213"/>
  <c r="K14" i="213"/>
  <c r="L14" i="213"/>
  <c r="M14" i="213"/>
  <c r="N14" i="213"/>
  <c r="O14" i="213"/>
  <c r="P14" i="213"/>
  <c r="Q14" i="213"/>
  <c r="R14" i="213"/>
  <c r="S14" i="213"/>
  <c r="T14" i="213"/>
  <c r="U14" i="213"/>
  <c r="V14" i="213"/>
  <c r="W14" i="213"/>
  <c r="X14" i="213"/>
  <c r="Y14" i="213"/>
  <c r="Z14" i="213"/>
  <c r="AA14" i="213"/>
  <c r="AB14" i="213"/>
  <c r="D15" i="213"/>
  <c r="E15" i="213"/>
  <c r="F15" i="213"/>
  <c r="G15" i="213"/>
  <c r="H15" i="213"/>
  <c r="I15" i="213"/>
  <c r="J15" i="213"/>
  <c r="K15" i="213"/>
  <c r="L15" i="213"/>
  <c r="M15" i="213"/>
  <c r="N15" i="213"/>
  <c r="O15" i="213"/>
  <c r="P15" i="213"/>
  <c r="Q15" i="213"/>
  <c r="R15" i="213"/>
  <c r="S15" i="213"/>
  <c r="T15" i="213"/>
  <c r="U15" i="213"/>
  <c r="V15" i="213"/>
  <c r="W15" i="213"/>
  <c r="X15" i="213"/>
  <c r="Y15" i="213"/>
  <c r="Z15" i="213"/>
  <c r="AA15" i="213"/>
  <c r="AB15" i="213"/>
  <c r="E8" i="213"/>
  <c r="F8" i="213"/>
  <c r="G8" i="213"/>
  <c r="H8" i="213"/>
  <c r="I8" i="213"/>
  <c r="J8" i="213"/>
  <c r="K8" i="213"/>
  <c r="L8" i="213"/>
  <c r="M8" i="213"/>
  <c r="N8" i="213"/>
  <c r="O8" i="213"/>
  <c r="P8" i="213"/>
  <c r="Q8" i="213"/>
  <c r="R8" i="213"/>
  <c r="S8" i="213"/>
  <c r="T8" i="213"/>
  <c r="U8" i="213"/>
  <c r="V8" i="213"/>
  <c r="W8" i="213"/>
  <c r="X8" i="213"/>
  <c r="Y8" i="213"/>
  <c r="Z8" i="213"/>
  <c r="AA8" i="213"/>
  <c r="AB8" i="213"/>
  <c r="E9" i="213"/>
  <c r="F9" i="213"/>
  <c r="G9" i="213"/>
  <c r="H9" i="213"/>
  <c r="I9" i="213"/>
  <c r="J9" i="213"/>
  <c r="K9" i="213"/>
  <c r="L9" i="213"/>
  <c r="M9" i="213"/>
  <c r="N9" i="213"/>
  <c r="O9" i="213"/>
  <c r="P9" i="213"/>
  <c r="Q9" i="213"/>
  <c r="R9" i="213"/>
  <c r="S9" i="213"/>
  <c r="T9" i="213"/>
  <c r="U9" i="213"/>
  <c r="V9" i="213"/>
  <c r="W9" i="213"/>
  <c r="X9" i="213"/>
  <c r="Y9" i="213"/>
  <c r="Z9" i="213"/>
  <c r="AA9" i="213"/>
  <c r="AB9" i="213"/>
  <c r="E10" i="213"/>
  <c r="F10" i="213"/>
  <c r="G10" i="213"/>
  <c r="H10" i="213"/>
  <c r="I10" i="213"/>
  <c r="J10" i="213"/>
  <c r="K10" i="213"/>
  <c r="L10" i="213"/>
  <c r="M10" i="213"/>
  <c r="N10" i="213"/>
  <c r="O10" i="213"/>
  <c r="P10" i="213"/>
  <c r="Q10" i="213"/>
  <c r="R10" i="213"/>
  <c r="S10" i="213"/>
  <c r="T10" i="213"/>
  <c r="U10" i="213"/>
  <c r="V10" i="213"/>
  <c r="W10" i="213"/>
  <c r="X10" i="213"/>
  <c r="Y10" i="213"/>
  <c r="Z10" i="213"/>
  <c r="AA10" i="213"/>
  <c r="AB10" i="213"/>
  <c r="E11" i="213"/>
  <c r="F11" i="213"/>
  <c r="G11" i="213"/>
  <c r="H11" i="213"/>
  <c r="I11" i="213"/>
  <c r="J11" i="213"/>
  <c r="K11" i="213"/>
  <c r="L11" i="213"/>
  <c r="M11" i="213"/>
  <c r="N11" i="213"/>
  <c r="O11" i="213"/>
  <c r="P11" i="213"/>
  <c r="Q11" i="213"/>
  <c r="R11" i="213"/>
  <c r="S11" i="213"/>
  <c r="T11" i="213"/>
  <c r="U11" i="213"/>
  <c r="V11" i="213"/>
  <c r="W11" i="213"/>
  <c r="X11" i="213"/>
  <c r="Y11" i="213"/>
  <c r="Z11" i="213"/>
  <c r="AA11" i="213"/>
  <c r="AB11" i="213"/>
  <c r="E6" i="213"/>
  <c r="F6" i="213"/>
  <c r="G6" i="213"/>
  <c r="H6" i="213"/>
  <c r="I6" i="213"/>
  <c r="J6" i="213"/>
  <c r="K6" i="213"/>
  <c r="L6" i="213"/>
  <c r="M6" i="213"/>
  <c r="N6" i="213"/>
  <c r="O6" i="213"/>
  <c r="P6" i="213"/>
  <c r="Q6" i="213"/>
  <c r="R6" i="213"/>
  <c r="S6" i="213"/>
  <c r="T6" i="213"/>
  <c r="U6" i="213"/>
  <c r="V6" i="213"/>
  <c r="W6" i="213"/>
  <c r="X6" i="213"/>
  <c r="Y6" i="213"/>
  <c r="Z6" i="213"/>
  <c r="AA6" i="213"/>
  <c r="AB6" i="213"/>
  <c r="D6" i="213"/>
  <c r="A7" i="213"/>
  <c r="A6" i="213"/>
  <c r="D7" i="212"/>
  <c r="E7" i="212"/>
  <c r="F7" i="212"/>
  <c r="G7" i="212"/>
  <c r="H7" i="212"/>
  <c r="I7" i="212"/>
  <c r="J7" i="212"/>
  <c r="K7" i="212"/>
  <c r="K24" i="212" s="1"/>
  <c r="L7" i="212"/>
  <c r="M7" i="212"/>
  <c r="N7" i="212"/>
  <c r="O7" i="212"/>
  <c r="P7" i="212"/>
  <c r="Q7" i="212"/>
  <c r="R7" i="212"/>
  <c r="S7" i="212"/>
  <c r="S24" i="212" s="1"/>
  <c r="T7" i="212"/>
  <c r="U7" i="212"/>
  <c r="V7" i="212"/>
  <c r="W7" i="212"/>
  <c r="X7" i="212"/>
  <c r="Y7" i="212"/>
  <c r="Z7" i="212"/>
  <c r="AA7" i="212"/>
  <c r="AB7" i="212"/>
  <c r="D8" i="212"/>
  <c r="E8" i="212"/>
  <c r="F8" i="212"/>
  <c r="G8" i="212"/>
  <c r="H8" i="212"/>
  <c r="I8" i="212"/>
  <c r="J8" i="212"/>
  <c r="J24" i="212" s="1"/>
  <c r="K8" i="212"/>
  <c r="L8" i="212"/>
  <c r="M8" i="212"/>
  <c r="N8" i="212"/>
  <c r="O8" i="212"/>
  <c r="P8" i="212"/>
  <c r="Q8" i="212"/>
  <c r="R8" i="212"/>
  <c r="R24" i="212" s="1"/>
  <c r="S8" i="212"/>
  <c r="T8" i="212"/>
  <c r="U8" i="212"/>
  <c r="V8" i="212"/>
  <c r="W8" i="212"/>
  <c r="X8" i="212"/>
  <c r="Y8" i="212"/>
  <c r="Z8" i="212"/>
  <c r="Z24" i="212" s="1"/>
  <c r="AA8" i="212"/>
  <c r="AB8" i="212"/>
  <c r="D9" i="212"/>
  <c r="E9" i="212"/>
  <c r="F9" i="212"/>
  <c r="G9" i="212"/>
  <c r="H9" i="212"/>
  <c r="I9" i="212"/>
  <c r="J9" i="212"/>
  <c r="K9" i="212"/>
  <c r="L9" i="212"/>
  <c r="M9" i="212"/>
  <c r="N9" i="212"/>
  <c r="O9" i="212"/>
  <c r="P9" i="212"/>
  <c r="Q9" i="212"/>
  <c r="R9" i="212"/>
  <c r="S9" i="212"/>
  <c r="T9" i="212"/>
  <c r="U9" i="212"/>
  <c r="V9" i="212"/>
  <c r="W9" i="212"/>
  <c r="X9" i="212"/>
  <c r="Y9" i="212"/>
  <c r="Z9" i="212"/>
  <c r="AA9" i="212"/>
  <c r="AB9" i="212"/>
  <c r="D10" i="212"/>
  <c r="E10" i="212"/>
  <c r="F10" i="212"/>
  <c r="G10" i="212"/>
  <c r="H10" i="212"/>
  <c r="H24" i="212" s="1"/>
  <c r="I10" i="212"/>
  <c r="J10" i="212"/>
  <c r="K10" i="212"/>
  <c r="L10" i="212"/>
  <c r="M10" i="212"/>
  <c r="N10" i="212"/>
  <c r="P10" i="212"/>
  <c r="Q10" i="212"/>
  <c r="R10" i="212"/>
  <c r="S10" i="212"/>
  <c r="T10" i="212"/>
  <c r="V10" i="212"/>
  <c r="X10" i="212"/>
  <c r="Y10" i="212"/>
  <c r="Z10" i="212"/>
  <c r="AA10" i="212"/>
  <c r="AB10" i="212"/>
  <c r="D11" i="212"/>
  <c r="E11" i="212"/>
  <c r="F11" i="212"/>
  <c r="G11" i="212"/>
  <c r="G24" i="212" s="1"/>
  <c r="H11" i="212"/>
  <c r="I11" i="212"/>
  <c r="J11" i="212"/>
  <c r="K11" i="212"/>
  <c r="L11" i="212"/>
  <c r="M11" i="212"/>
  <c r="N11" i="212"/>
  <c r="O11" i="212"/>
  <c r="P11" i="212"/>
  <c r="Q11" i="212"/>
  <c r="R11" i="212"/>
  <c r="S11" i="212"/>
  <c r="T11" i="212"/>
  <c r="U11" i="212"/>
  <c r="V11" i="212"/>
  <c r="W11" i="212"/>
  <c r="X11" i="212"/>
  <c r="Y11" i="212"/>
  <c r="Z11" i="212"/>
  <c r="AA11" i="212"/>
  <c r="AB11" i="212"/>
  <c r="D12" i="212"/>
  <c r="E12" i="212"/>
  <c r="F12" i="212"/>
  <c r="G12" i="212"/>
  <c r="H12" i="212"/>
  <c r="I12" i="212"/>
  <c r="J12" i="212"/>
  <c r="K12" i="212"/>
  <c r="L12" i="212"/>
  <c r="M12" i="212"/>
  <c r="N12" i="212"/>
  <c r="N24" i="212" s="1"/>
  <c r="L9" i="97" s="1"/>
  <c r="O12" i="212"/>
  <c r="P12" i="212"/>
  <c r="Q12" i="212"/>
  <c r="R12" i="212"/>
  <c r="S12" i="212"/>
  <c r="T12" i="212"/>
  <c r="U12" i="212"/>
  <c r="V12" i="212"/>
  <c r="W12" i="212"/>
  <c r="X12" i="212"/>
  <c r="Y12" i="212"/>
  <c r="Z12" i="212"/>
  <c r="AA12" i="212"/>
  <c r="AB12" i="212"/>
  <c r="D13" i="212"/>
  <c r="E13" i="212"/>
  <c r="E24" i="212" s="1"/>
  <c r="F13" i="212"/>
  <c r="G13" i="212"/>
  <c r="H13" i="212"/>
  <c r="I13" i="212"/>
  <c r="J13" i="212"/>
  <c r="K13" i="212"/>
  <c r="L13" i="212"/>
  <c r="M13" i="212"/>
  <c r="N13" i="212"/>
  <c r="O13" i="212"/>
  <c r="P13" i="212"/>
  <c r="Q13" i="212"/>
  <c r="R13" i="212"/>
  <c r="S13" i="212"/>
  <c r="T13" i="212"/>
  <c r="U13" i="212"/>
  <c r="V13" i="212"/>
  <c r="W13" i="212"/>
  <c r="X13" i="212"/>
  <c r="Y13" i="212"/>
  <c r="Z13" i="212"/>
  <c r="AA13" i="212"/>
  <c r="AB13" i="212"/>
  <c r="D14" i="212"/>
  <c r="E14" i="212"/>
  <c r="F14" i="212"/>
  <c r="G14" i="212"/>
  <c r="H14" i="212"/>
  <c r="I14" i="212"/>
  <c r="J14" i="212"/>
  <c r="K14" i="212"/>
  <c r="L14" i="212"/>
  <c r="M14" i="212"/>
  <c r="N14" i="212"/>
  <c r="O14" i="212"/>
  <c r="P14" i="212"/>
  <c r="Q14" i="212"/>
  <c r="R14" i="212"/>
  <c r="S14" i="212"/>
  <c r="T14" i="212"/>
  <c r="U14" i="212"/>
  <c r="V14" i="212"/>
  <c r="W14" i="212"/>
  <c r="X14" i="212"/>
  <c r="Y14" i="212"/>
  <c r="Z14" i="212"/>
  <c r="AA14" i="212"/>
  <c r="AB14" i="212"/>
  <c r="D15" i="212"/>
  <c r="E15" i="212"/>
  <c r="F15" i="212"/>
  <c r="G15" i="212"/>
  <c r="H15" i="212"/>
  <c r="I15" i="212"/>
  <c r="J15" i="212"/>
  <c r="K15" i="212"/>
  <c r="L15" i="212"/>
  <c r="M15" i="212"/>
  <c r="N15" i="212"/>
  <c r="O15" i="212"/>
  <c r="P15" i="212"/>
  <c r="Q15" i="212"/>
  <c r="R15" i="212"/>
  <c r="S15" i="212"/>
  <c r="T15" i="212"/>
  <c r="U15" i="212"/>
  <c r="V15" i="212"/>
  <c r="W15" i="212"/>
  <c r="X15" i="212"/>
  <c r="Y15" i="212"/>
  <c r="Z15" i="212"/>
  <c r="AA15" i="212"/>
  <c r="AB15" i="212"/>
  <c r="D16" i="212"/>
  <c r="E16" i="212"/>
  <c r="F16" i="212"/>
  <c r="G16" i="212"/>
  <c r="H16" i="212"/>
  <c r="I16" i="212"/>
  <c r="J16" i="212"/>
  <c r="K16" i="212"/>
  <c r="L16" i="212"/>
  <c r="M16" i="212"/>
  <c r="N16" i="212"/>
  <c r="O16" i="212"/>
  <c r="P16" i="212"/>
  <c r="Q16" i="212"/>
  <c r="R16" i="212"/>
  <c r="S16" i="212"/>
  <c r="T16" i="212"/>
  <c r="U16" i="212"/>
  <c r="V16" i="212"/>
  <c r="W16" i="212"/>
  <c r="X16" i="212"/>
  <c r="Y16" i="212"/>
  <c r="Z16" i="212"/>
  <c r="AA16" i="212"/>
  <c r="AB16" i="212"/>
  <c r="D17" i="212"/>
  <c r="E17" i="212"/>
  <c r="F17" i="212"/>
  <c r="G17" i="212"/>
  <c r="H17" i="212"/>
  <c r="I17" i="212"/>
  <c r="J17" i="212"/>
  <c r="K17" i="212"/>
  <c r="L17" i="212"/>
  <c r="M17" i="212"/>
  <c r="N17" i="212"/>
  <c r="O17" i="212"/>
  <c r="P17" i="212"/>
  <c r="Q17" i="212"/>
  <c r="R17" i="212"/>
  <c r="S17" i="212"/>
  <c r="T17" i="212"/>
  <c r="U17" i="212"/>
  <c r="V17" i="212"/>
  <c r="W17" i="212"/>
  <c r="X17" i="212"/>
  <c r="Y17" i="212"/>
  <c r="Z17" i="212"/>
  <c r="AA17" i="212"/>
  <c r="AB17" i="212"/>
  <c r="D18" i="212"/>
  <c r="E18" i="212"/>
  <c r="F18" i="212"/>
  <c r="G18" i="212"/>
  <c r="H18" i="212"/>
  <c r="I18" i="212"/>
  <c r="J18" i="212"/>
  <c r="K18" i="212"/>
  <c r="L18" i="212"/>
  <c r="M18" i="212"/>
  <c r="N18" i="212"/>
  <c r="O18" i="212"/>
  <c r="P18" i="212"/>
  <c r="Q18" i="212"/>
  <c r="R18" i="212"/>
  <c r="S18" i="212"/>
  <c r="T18" i="212"/>
  <c r="U18" i="212"/>
  <c r="V18" i="212"/>
  <c r="W18" i="212"/>
  <c r="X18" i="212"/>
  <c r="Y18" i="212"/>
  <c r="Z18" i="212"/>
  <c r="AA18" i="212"/>
  <c r="AB18" i="212"/>
  <c r="D19" i="212"/>
  <c r="E19" i="212"/>
  <c r="F19" i="212"/>
  <c r="G19" i="212"/>
  <c r="H19" i="212"/>
  <c r="I19" i="212"/>
  <c r="J19" i="212"/>
  <c r="K19" i="212"/>
  <c r="L19" i="212"/>
  <c r="M19" i="212"/>
  <c r="N19" i="212"/>
  <c r="O19" i="212"/>
  <c r="P19" i="212"/>
  <c r="Q19" i="212"/>
  <c r="R19" i="212"/>
  <c r="S19" i="212"/>
  <c r="T19" i="212"/>
  <c r="U19" i="212"/>
  <c r="V19" i="212"/>
  <c r="W19" i="212"/>
  <c r="X19" i="212"/>
  <c r="Y19" i="212"/>
  <c r="Z19" i="212"/>
  <c r="AA19" i="212"/>
  <c r="AB19" i="212"/>
  <c r="D20" i="212"/>
  <c r="E20" i="212"/>
  <c r="F20" i="212"/>
  <c r="G20" i="212"/>
  <c r="H20" i="212"/>
  <c r="I20" i="212"/>
  <c r="J20" i="212"/>
  <c r="K20" i="212"/>
  <c r="L20" i="212"/>
  <c r="M20" i="212"/>
  <c r="N20" i="212"/>
  <c r="O20" i="212"/>
  <c r="P20" i="212"/>
  <c r="Q20" i="212"/>
  <c r="R20" i="212"/>
  <c r="S20" i="212"/>
  <c r="T20" i="212"/>
  <c r="U20" i="212"/>
  <c r="V20" i="212"/>
  <c r="W20" i="212"/>
  <c r="X20" i="212"/>
  <c r="Y20" i="212"/>
  <c r="Z20" i="212"/>
  <c r="AA20" i="212"/>
  <c r="AB20" i="212"/>
  <c r="D21" i="212"/>
  <c r="E21" i="212"/>
  <c r="F21" i="212"/>
  <c r="G21" i="212"/>
  <c r="H21" i="212"/>
  <c r="I21" i="212"/>
  <c r="J21" i="212"/>
  <c r="K21" i="212"/>
  <c r="L21" i="212"/>
  <c r="M21" i="212"/>
  <c r="N21" i="212"/>
  <c r="O21" i="212"/>
  <c r="P21" i="212"/>
  <c r="Q21" i="212"/>
  <c r="R21" i="212"/>
  <c r="S21" i="212"/>
  <c r="T21" i="212"/>
  <c r="U21" i="212"/>
  <c r="V21" i="212"/>
  <c r="W21" i="212"/>
  <c r="X21" i="212"/>
  <c r="Y21" i="212"/>
  <c r="Z21" i="212"/>
  <c r="AA21" i="212"/>
  <c r="AB21" i="212"/>
  <c r="D22" i="212"/>
  <c r="E22" i="212"/>
  <c r="F22" i="212"/>
  <c r="G22" i="212"/>
  <c r="H22" i="212"/>
  <c r="I22" i="212"/>
  <c r="J22" i="212"/>
  <c r="K22" i="212"/>
  <c r="L22" i="212"/>
  <c r="M22" i="212"/>
  <c r="N22" i="212"/>
  <c r="O22" i="212"/>
  <c r="P22" i="212"/>
  <c r="Q22" i="212"/>
  <c r="R22" i="212"/>
  <c r="S22" i="212"/>
  <c r="T22" i="212"/>
  <c r="U22" i="212"/>
  <c r="V22" i="212"/>
  <c r="W22" i="212"/>
  <c r="X22" i="212"/>
  <c r="Y22" i="212"/>
  <c r="Z22" i="212"/>
  <c r="AA22" i="212"/>
  <c r="AB22" i="212"/>
  <c r="D23" i="212"/>
  <c r="E23" i="212"/>
  <c r="F23" i="212"/>
  <c r="G23" i="212"/>
  <c r="H23" i="212"/>
  <c r="I23" i="212"/>
  <c r="J23" i="212"/>
  <c r="K23" i="212"/>
  <c r="L23" i="212"/>
  <c r="M23" i="212"/>
  <c r="N23" i="212"/>
  <c r="O23" i="212"/>
  <c r="P23" i="212"/>
  <c r="Q23" i="212"/>
  <c r="R23" i="212"/>
  <c r="S23" i="212"/>
  <c r="T23" i="212"/>
  <c r="U23" i="212"/>
  <c r="V23" i="212"/>
  <c r="W23" i="212"/>
  <c r="X23" i="212"/>
  <c r="Y23" i="212"/>
  <c r="Z23" i="212"/>
  <c r="AA23" i="212"/>
  <c r="AB23" i="212"/>
  <c r="E6" i="212"/>
  <c r="F6" i="212"/>
  <c r="G6" i="212"/>
  <c r="H6" i="212"/>
  <c r="I6" i="212"/>
  <c r="J6" i="212"/>
  <c r="K6" i="212"/>
  <c r="L6" i="212"/>
  <c r="M6" i="212"/>
  <c r="N6" i="212"/>
  <c r="O6" i="212"/>
  <c r="P6" i="212"/>
  <c r="Q6" i="212"/>
  <c r="R6" i="212"/>
  <c r="S6" i="212"/>
  <c r="T6" i="212"/>
  <c r="U6" i="212"/>
  <c r="V6" i="212"/>
  <c r="W6" i="212"/>
  <c r="X6" i="212"/>
  <c r="Y6" i="212"/>
  <c r="Z6" i="212"/>
  <c r="AA6" i="212"/>
  <c r="AB6" i="212"/>
  <c r="D6" i="212"/>
  <c r="Q24" i="212"/>
  <c r="A6" i="212"/>
  <c r="A7" i="212" s="1"/>
  <c r="A8" i="212" s="1"/>
  <c r="A9" i="212" s="1"/>
  <c r="A10" i="212" s="1"/>
  <c r="A11" i="212" s="1"/>
  <c r="A12" i="212" s="1"/>
  <c r="A13" i="212" s="1"/>
  <c r="A14" i="212" s="1"/>
  <c r="A15" i="212" s="1"/>
  <c r="A16" i="212" s="1"/>
  <c r="A17" i="212" s="1"/>
  <c r="A18" i="212" s="1"/>
  <c r="A19" i="212" s="1"/>
  <c r="A20" i="212" s="1"/>
  <c r="A21" i="212" s="1"/>
  <c r="A22" i="212" s="1"/>
  <c r="A23" i="212" s="1"/>
  <c r="A24" i="212" s="1"/>
  <c r="D13" i="211"/>
  <c r="E13" i="211"/>
  <c r="F13" i="211"/>
  <c r="G13" i="211"/>
  <c r="H13" i="211"/>
  <c r="I13" i="211"/>
  <c r="J13" i="211"/>
  <c r="K13" i="211"/>
  <c r="L13" i="211"/>
  <c r="M13" i="211"/>
  <c r="N13" i="211"/>
  <c r="O13" i="211"/>
  <c r="P13" i="211"/>
  <c r="Q13" i="211"/>
  <c r="R13" i="211"/>
  <c r="S13" i="211"/>
  <c r="T13" i="211"/>
  <c r="U13" i="211"/>
  <c r="W13" i="211"/>
  <c r="X13" i="211"/>
  <c r="Y13" i="211"/>
  <c r="Z13" i="211"/>
  <c r="AA13" i="211"/>
  <c r="AB13" i="211"/>
  <c r="D14" i="211"/>
  <c r="E14" i="211"/>
  <c r="F14" i="211"/>
  <c r="G14" i="211"/>
  <c r="H14" i="211"/>
  <c r="I14" i="211"/>
  <c r="J14" i="211"/>
  <c r="K14" i="211"/>
  <c r="L14" i="211"/>
  <c r="M14" i="211"/>
  <c r="N14" i="211"/>
  <c r="O14" i="211"/>
  <c r="P14" i="211"/>
  <c r="Q14" i="211"/>
  <c r="R14" i="211"/>
  <c r="S14" i="211"/>
  <c r="T14" i="211"/>
  <c r="U14" i="211"/>
  <c r="V14" i="211"/>
  <c r="W14" i="211"/>
  <c r="X14" i="211"/>
  <c r="Y14" i="211"/>
  <c r="Z14" i="211"/>
  <c r="AA14" i="211"/>
  <c r="AB14" i="211"/>
  <c r="D15" i="211"/>
  <c r="E15" i="211"/>
  <c r="F15" i="211"/>
  <c r="G15" i="211"/>
  <c r="H15" i="211"/>
  <c r="I15" i="211"/>
  <c r="J15" i="211"/>
  <c r="K15" i="211"/>
  <c r="L15" i="211"/>
  <c r="M15" i="211"/>
  <c r="N15" i="211"/>
  <c r="O15" i="211"/>
  <c r="P15" i="211"/>
  <c r="Q15" i="211"/>
  <c r="R15" i="211"/>
  <c r="S15" i="211"/>
  <c r="T15" i="211"/>
  <c r="U15" i="211"/>
  <c r="V15" i="211"/>
  <c r="W15" i="211"/>
  <c r="X15" i="211"/>
  <c r="Y15" i="211"/>
  <c r="Z15" i="211"/>
  <c r="AA15" i="211"/>
  <c r="AB15" i="211"/>
  <c r="D37" i="211"/>
  <c r="E37" i="211"/>
  <c r="F37" i="211"/>
  <c r="G37" i="211"/>
  <c r="H37" i="211"/>
  <c r="I37" i="211"/>
  <c r="J37" i="211"/>
  <c r="K37" i="211"/>
  <c r="L37" i="211"/>
  <c r="M37" i="211"/>
  <c r="N37" i="211"/>
  <c r="O37" i="211"/>
  <c r="P37" i="211"/>
  <c r="Q37" i="211"/>
  <c r="R37" i="211"/>
  <c r="S37" i="211"/>
  <c r="T37" i="211"/>
  <c r="U37" i="211"/>
  <c r="V37" i="211"/>
  <c r="W37" i="211"/>
  <c r="X37" i="211"/>
  <c r="Y37" i="211"/>
  <c r="Z37" i="211"/>
  <c r="AA37" i="211"/>
  <c r="AB37" i="211"/>
  <c r="D16" i="211"/>
  <c r="E16" i="211"/>
  <c r="F16" i="211"/>
  <c r="G16" i="211"/>
  <c r="H16" i="211"/>
  <c r="I16" i="211"/>
  <c r="J16" i="211"/>
  <c r="K16" i="211"/>
  <c r="L16" i="211"/>
  <c r="M16" i="211"/>
  <c r="N16" i="211"/>
  <c r="P16" i="211"/>
  <c r="Q16" i="211"/>
  <c r="R16" i="211"/>
  <c r="S16" i="211"/>
  <c r="T16" i="211"/>
  <c r="X16" i="211"/>
  <c r="Y16" i="211"/>
  <c r="Z16" i="211"/>
  <c r="AA16" i="211"/>
  <c r="AB16" i="211"/>
  <c r="D17" i="211"/>
  <c r="E17" i="211"/>
  <c r="F17" i="211"/>
  <c r="G17" i="211"/>
  <c r="H17" i="211"/>
  <c r="I17" i="211"/>
  <c r="J17" i="211"/>
  <c r="K17" i="211"/>
  <c r="L17" i="211"/>
  <c r="M17" i="211"/>
  <c r="N17" i="211"/>
  <c r="O17" i="211"/>
  <c r="P17" i="211"/>
  <c r="Q17" i="211"/>
  <c r="R17" i="211"/>
  <c r="S17" i="211"/>
  <c r="T17" i="211"/>
  <c r="U17" i="211"/>
  <c r="V17" i="211"/>
  <c r="W17" i="211"/>
  <c r="X17" i="211"/>
  <c r="Y17" i="211"/>
  <c r="Z17" i="211"/>
  <c r="AA17" i="211"/>
  <c r="AB17" i="211"/>
  <c r="D18" i="211"/>
  <c r="E18" i="211"/>
  <c r="F18" i="211"/>
  <c r="G18" i="211"/>
  <c r="H18" i="211"/>
  <c r="I18" i="211"/>
  <c r="J18" i="211"/>
  <c r="K18" i="211"/>
  <c r="L18" i="211"/>
  <c r="M18" i="211"/>
  <c r="N18" i="211"/>
  <c r="P18" i="211"/>
  <c r="Q18" i="211"/>
  <c r="R18" i="211"/>
  <c r="S18" i="211"/>
  <c r="T18" i="211"/>
  <c r="W18" i="211"/>
  <c r="X18" i="211"/>
  <c r="Y18" i="211"/>
  <c r="Z18" i="211"/>
  <c r="AA18" i="211"/>
  <c r="AB18" i="211"/>
  <c r="D48" i="211"/>
  <c r="E48" i="211"/>
  <c r="F48" i="211"/>
  <c r="G48" i="211"/>
  <c r="H48" i="211"/>
  <c r="H56" i="211" s="1"/>
  <c r="I48" i="211"/>
  <c r="J48" i="211"/>
  <c r="K48" i="211"/>
  <c r="L48" i="211"/>
  <c r="M48" i="211"/>
  <c r="N48" i="211"/>
  <c r="O48" i="211"/>
  <c r="P48" i="211"/>
  <c r="P56" i="211" s="1"/>
  <c r="Q48" i="211"/>
  <c r="R48" i="211"/>
  <c r="S48" i="211"/>
  <c r="T48" i="211"/>
  <c r="U48" i="211"/>
  <c r="V48" i="211"/>
  <c r="W48" i="211"/>
  <c r="X48" i="211"/>
  <c r="X56" i="211" s="1"/>
  <c r="Y48" i="211"/>
  <c r="Z48" i="211"/>
  <c r="AA48" i="211"/>
  <c r="AB48" i="211"/>
  <c r="D46" i="211"/>
  <c r="E46" i="211"/>
  <c r="E47" i="211" s="1"/>
  <c r="F46" i="211"/>
  <c r="F47" i="211" s="1"/>
  <c r="G46" i="211"/>
  <c r="G47" i="211" s="1"/>
  <c r="H46" i="211"/>
  <c r="H47" i="211" s="1"/>
  <c r="I46" i="211"/>
  <c r="I47" i="211" s="1"/>
  <c r="J46" i="211"/>
  <c r="J47" i="211" s="1"/>
  <c r="K46" i="211"/>
  <c r="K47" i="211" s="1"/>
  <c r="L46" i="211"/>
  <c r="L47" i="211" s="1"/>
  <c r="M46" i="211"/>
  <c r="M47" i="211" s="1"/>
  <c r="N46" i="211"/>
  <c r="N47" i="211" s="1"/>
  <c r="P46" i="211"/>
  <c r="P47" i="211" s="1"/>
  <c r="Q46" i="211"/>
  <c r="Q47" i="211" s="1"/>
  <c r="R46" i="211"/>
  <c r="R47" i="211" s="1"/>
  <c r="S46" i="211"/>
  <c r="S47" i="211" s="1"/>
  <c r="T46" i="211"/>
  <c r="T47" i="211" s="1"/>
  <c r="V46" i="211"/>
  <c r="V47" i="211" s="1"/>
  <c r="X46" i="211"/>
  <c r="X47" i="211" s="1"/>
  <c r="Y46" i="211"/>
  <c r="Y47" i="211" s="1"/>
  <c r="Z46" i="211"/>
  <c r="Z47" i="211" s="1"/>
  <c r="AA46" i="211"/>
  <c r="AB46" i="211"/>
  <c r="D19" i="211"/>
  <c r="E19" i="211"/>
  <c r="F19" i="211"/>
  <c r="G19" i="211"/>
  <c r="H19" i="211"/>
  <c r="I19" i="211"/>
  <c r="J19" i="211"/>
  <c r="K19" i="211"/>
  <c r="L19" i="211"/>
  <c r="M19" i="211"/>
  <c r="N19" i="211"/>
  <c r="O19" i="211"/>
  <c r="P19" i="211"/>
  <c r="Q19" i="211"/>
  <c r="R19" i="211"/>
  <c r="S19" i="211"/>
  <c r="T19" i="211"/>
  <c r="U19" i="211"/>
  <c r="V19" i="211"/>
  <c r="W19" i="211"/>
  <c r="X19" i="211"/>
  <c r="Y19" i="211"/>
  <c r="Z19" i="211"/>
  <c r="AA19" i="211"/>
  <c r="AB19" i="211"/>
  <c r="D20" i="211"/>
  <c r="E20" i="211"/>
  <c r="F20" i="211"/>
  <c r="G20" i="211"/>
  <c r="H20" i="211"/>
  <c r="I20" i="211"/>
  <c r="J20" i="211"/>
  <c r="K20" i="211"/>
  <c r="L20" i="211"/>
  <c r="M20" i="211"/>
  <c r="N20" i="211"/>
  <c r="P20" i="211"/>
  <c r="Q20" i="211"/>
  <c r="R20" i="211"/>
  <c r="S20" i="211"/>
  <c r="T20" i="211"/>
  <c r="W20" i="211"/>
  <c r="X20" i="211"/>
  <c r="Y20" i="211"/>
  <c r="Z20" i="211"/>
  <c r="AA20" i="211"/>
  <c r="AB20" i="211"/>
  <c r="D49" i="211"/>
  <c r="E49" i="211"/>
  <c r="F49" i="211"/>
  <c r="G49" i="211"/>
  <c r="H49" i="211"/>
  <c r="I49" i="211"/>
  <c r="J49" i="211"/>
  <c r="K49" i="211"/>
  <c r="L49" i="211"/>
  <c r="M49" i="211"/>
  <c r="N49" i="211"/>
  <c r="O49" i="211"/>
  <c r="P49" i="211"/>
  <c r="Q49" i="211"/>
  <c r="R49" i="211"/>
  <c r="S49" i="211"/>
  <c r="T49" i="211"/>
  <c r="U49" i="211"/>
  <c r="V49" i="211"/>
  <c r="W49" i="211"/>
  <c r="X49" i="211"/>
  <c r="Y49" i="211"/>
  <c r="Z49" i="211"/>
  <c r="AA49" i="211"/>
  <c r="AB49" i="211"/>
  <c r="D50" i="211"/>
  <c r="E50" i="211"/>
  <c r="F50" i="211"/>
  <c r="G50" i="211"/>
  <c r="H50" i="211"/>
  <c r="I50" i="211"/>
  <c r="J50" i="211"/>
  <c r="K50" i="211"/>
  <c r="L50" i="211"/>
  <c r="M50" i="211"/>
  <c r="N50" i="211"/>
  <c r="O50" i="211"/>
  <c r="P50" i="211"/>
  <c r="Q50" i="211"/>
  <c r="R50" i="211"/>
  <c r="S50" i="211"/>
  <c r="T50" i="211"/>
  <c r="U50" i="211"/>
  <c r="V50" i="211"/>
  <c r="W50" i="211"/>
  <c r="X50" i="211"/>
  <c r="Y50" i="211"/>
  <c r="Z50" i="211"/>
  <c r="AA50" i="211"/>
  <c r="AB50" i="211"/>
  <c r="D21" i="211"/>
  <c r="E21" i="211"/>
  <c r="F21" i="211"/>
  <c r="G21" i="211"/>
  <c r="H21" i="211"/>
  <c r="I21" i="211"/>
  <c r="J21" i="211"/>
  <c r="K21" i="211"/>
  <c r="L21" i="211"/>
  <c r="M21" i="211"/>
  <c r="N21" i="211"/>
  <c r="O21" i="211"/>
  <c r="P21" i="211"/>
  <c r="Q21" i="211"/>
  <c r="R21" i="211"/>
  <c r="S21" i="211"/>
  <c r="T21" i="211"/>
  <c r="U21" i="211"/>
  <c r="V21" i="211"/>
  <c r="W21" i="211"/>
  <c r="X21" i="211"/>
  <c r="Y21" i="211"/>
  <c r="Z21" i="211"/>
  <c r="AA21" i="211"/>
  <c r="AB21" i="211"/>
  <c r="D22" i="211"/>
  <c r="E22" i="211"/>
  <c r="F22" i="211"/>
  <c r="G22" i="211"/>
  <c r="H22" i="211"/>
  <c r="I22" i="211"/>
  <c r="J22" i="211"/>
  <c r="K22" i="211"/>
  <c r="L22" i="211"/>
  <c r="M22" i="211"/>
  <c r="N22" i="211"/>
  <c r="O22" i="211"/>
  <c r="P22" i="211"/>
  <c r="Q22" i="211"/>
  <c r="R22" i="211"/>
  <c r="S22" i="211"/>
  <c r="T22" i="211"/>
  <c r="U22" i="211"/>
  <c r="V22" i="211"/>
  <c r="W22" i="211"/>
  <c r="X22" i="211"/>
  <c r="Y22" i="211"/>
  <c r="Z22" i="211"/>
  <c r="AA22" i="211"/>
  <c r="AB22" i="211"/>
  <c r="D39" i="211"/>
  <c r="E39" i="211"/>
  <c r="F39" i="211"/>
  <c r="G39" i="211"/>
  <c r="H39" i="211"/>
  <c r="H43" i="211" s="1"/>
  <c r="I39" i="211"/>
  <c r="J39" i="211"/>
  <c r="K39" i="211"/>
  <c r="L39" i="211"/>
  <c r="M39" i="211"/>
  <c r="N39" i="211"/>
  <c r="O39" i="211"/>
  <c r="P39" i="211"/>
  <c r="P43" i="211" s="1"/>
  <c r="Q39" i="211"/>
  <c r="R39" i="211"/>
  <c r="S39" i="211"/>
  <c r="T39" i="211"/>
  <c r="U39" i="211"/>
  <c r="V39" i="211"/>
  <c r="W39" i="211"/>
  <c r="X39" i="211"/>
  <c r="X43" i="211" s="1"/>
  <c r="Y39" i="211"/>
  <c r="Z39" i="211"/>
  <c r="AA39" i="211"/>
  <c r="AB39" i="211"/>
  <c r="D51" i="211"/>
  <c r="E51" i="211"/>
  <c r="F51" i="211"/>
  <c r="G51" i="211"/>
  <c r="H51" i="211"/>
  <c r="I51" i="211"/>
  <c r="J51" i="211"/>
  <c r="K51" i="211"/>
  <c r="L51" i="211"/>
  <c r="M51" i="211"/>
  <c r="N51" i="211"/>
  <c r="O51" i="211"/>
  <c r="P51" i="211"/>
  <c r="Q51" i="211"/>
  <c r="R51" i="211"/>
  <c r="S51" i="211"/>
  <c r="T51" i="211"/>
  <c r="U51" i="211"/>
  <c r="V51" i="211"/>
  <c r="W51" i="211"/>
  <c r="X51" i="211"/>
  <c r="Y51" i="211"/>
  <c r="Z51" i="211"/>
  <c r="AA51" i="211"/>
  <c r="AB51" i="211"/>
  <c r="D52" i="211"/>
  <c r="E52" i="211"/>
  <c r="F52" i="211"/>
  <c r="G52" i="211"/>
  <c r="H52" i="211"/>
  <c r="I52" i="211"/>
  <c r="J52" i="211"/>
  <c r="K52" i="211"/>
  <c r="L52" i="211"/>
  <c r="M52" i="211"/>
  <c r="N52" i="211"/>
  <c r="O52" i="211"/>
  <c r="P52" i="211"/>
  <c r="Q52" i="211"/>
  <c r="R52" i="211"/>
  <c r="S52" i="211"/>
  <c r="T52" i="211"/>
  <c r="U52" i="211"/>
  <c r="V52" i="211"/>
  <c r="W52" i="211"/>
  <c r="X52" i="211"/>
  <c r="Y52" i="211"/>
  <c r="Z52" i="211"/>
  <c r="AA52" i="211"/>
  <c r="AB52" i="211"/>
  <c r="D53" i="211"/>
  <c r="E53" i="211"/>
  <c r="F53" i="211"/>
  <c r="G53" i="211"/>
  <c r="H53" i="211"/>
  <c r="I53" i="211"/>
  <c r="J53" i="211"/>
  <c r="K53" i="211"/>
  <c r="L53" i="211"/>
  <c r="M53" i="211"/>
  <c r="N53" i="211"/>
  <c r="P53" i="211"/>
  <c r="Q53" i="211"/>
  <c r="R53" i="211"/>
  <c r="S53" i="211"/>
  <c r="T53" i="211"/>
  <c r="V53" i="211"/>
  <c r="X53" i="211"/>
  <c r="Y53" i="211"/>
  <c r="Z53" i="211"/>
  <c r="AA53" i="211"/>
  <c r="AB53" i="211"/>
  <c r="D54" i="211"/>
  <c r="E54" i="211"/>
  <c r="F54" i="211"/>
  <c r="G54" i="211"/>
  <c r="H54" i="211"/>
  <c r="I54" i="211"/>
  <c r="J54" i="211"/>
  <c r="K54" i="211"/>
  <c r="L54" i="211"/>
  <c r="M54" i="211"/>
  <c r="N54" i="211"/>
  <c r="O54" i="211"/>
  <c r="P54" i="211"/>
  <c r="Q54" i="211"/>
  <c r="R54" i="211"/>
  <c r="S54" i="211"/>
  <c r="T54" i="211"/>
  <c r="U54" i="211"/>
  <c r="V54" i="211"/>
  <c r="W54" i="211"/>
  <c r="X54" i="211"/>
  <c r="Y54" i="211"/>
  <c r="Z54" i="211"/>
  <c r="AA54" i="211"/>
  <c r="AB54" i="211"/>
  <c r="D23" i="211"/>
  <c r="E23" i="211"/>
  <c r="F23" i="211"/>
  <c r="G23" i="211"/>
  <c r="H23" i="211"/>
  <c r="I23" i="211"/>
  <c r="J23" i="211"/>
  <c r="K23" i="211"/>
  <c r="L23" i="211"/>
  <c r="M23" i="211"/>
  <c r="N23" i="211"/>
  <c r="O23" i="211"/>
  <c r="P23" i="211"/>
  <c r="Q23" i="211"/>
  <c r="R23" i="211"/>
  <c r="S23" i="211"/>
  <c r="T23" i="211"/>
  <c r="U23" i="211"/>
  <c r="V23" i="211"/>
  <c r="W23" i="211"/>
  <c r="X23" i="211"/>
  <c r="Y23" i="211"/>
  <c r="Z23" i="211"/>
  <c r="AA23" i="211"/>
  <c r="AB23" i="211"/>
  <c r="D9" i="211"/>
  <c r="E9" i="211"/>
  <c r="F9" i="211"/>
  <c r="G9" i="211"/>
  <c r="H9" i="211"/>
  <c r="I9" i="211"/>
  <c r="J9" i="211"/>
  <c r="K9" i="211"/>
  <c r="L9" i="211"/>
  <c r="M9" i="211"/>
  <c r="N9" i="211"/>
  <c r="P9" i="211"/>
  <c r="Q9" i="211"/>
  <c r="R9" i="211"/>
  <c r="S9" i="211"/>
  <c r="T9" i="211"/>
  <c r="V9" i="211"/>
  <c r="X9" i="211"/>
  <c r="Y9" i="211"/>
  <c r="Z9" i="211"/>
  <c r="AA9" i="211"/>
  <c r="AB9" i="211"/>
  <c r="D24" i="211"/>
  <c r="E24" i="211"/>
  <c r="F24" i="211"/>
  <c r="G24" i="211"/>
  <c r="H24" i="211"/>
  <c r="I24" i="211"/>
  <c r="J24" i="211"/>
  <c r="K24" i="211"/>
  <c r="L24" i="211"/>
  <c r="M24" i="211"/>
  <c r="N24" i="211"/>
  <c r="O24" i="211"/>
  <c r="P24" i="211"/>
  <c r="Q24" i="211"/>
  <c r="R24" i="211"/>
  <c r="S24" i="211"/>
  <c r="T24" i="211"/>
  <c r="U24" i="211"/>
  <c r="V24" i="211"/>
  <c r="W24" i="211"/>
  <c r="X24" i="211"/>
  <c r="Y24" i="211"/>
  <c r="Z24" i="211"/>
  <c r="AA24" i="211"/>
  <c r="AB24" i="211"/>
  <c r="D25" i="211"/>
  <c r="E25" i="211"/>
  <c r="F25" i="211"/>
  <c r="G25" i="211"/>
  <c r="H25" i="211"/>
  <c r="I25" i="211"/>
  <c r="J25" i="211"/>
  <c r="K25" i="211"/>
  <c r="L25" i="211"/>
  <c r="M25" i="211"/>
  <c r="N25" i="211"/>
  <c r="O25" i="211"/>
  <c r="P25" i="211"/>
  <c r="Q25" i="211"/>
  <c r="R25" i="211"/>
  <c r="S25" i="211"/>
  <c r="T25" i="211"/>
  <c r="U25" i="211"/>
  <c r="V25" i="211"/>
  <c r="W25" i="211"/>
  <c r="X25" i="211"/>
  <c r="Y25" i="211"/>
  <c r="Z25" i="211"/>
  <c r="AA25" i="211"/>
  <c r="AB25" i="211"/>
  <c r="D40" i="211"/>
  <c r="E40" i="211"/>
  <c r="F40" i="211"/>
  <c r="G40" i="211"/>
  <c r="H40" i="211"/>
  <c r="I40" i="211"/>
  <c r="J40" i="211"/>
  <c r="K40" i="211"/>
  <c r="L40" i="211"/>
  <c r="M40" i="211"/>
  <c r="N40" i="211"/>
  <c r="O40" i="211"/>
  <c r="P40" i="211"/>
  <c r="Q40" i="211"/>
  <c r="R40" i="211"/>
  <c r="S40" i="211"/>
  <c r="T40" i="211"/>
  <c r="U40" i="211"/>
  <c r="V40" i="211"/>
  <c r="W40" i="211"/>
  <c r="X40" i="211"/>
  <c r="Y40" i="211"/>
  <c r="Z40" i="211"/>
  <c r="AA40" i="211"/>
  <c r="AB40" i="211"/>
  <c r="D55" i="211"/>
  <c r="E55" i="211"/>
  <c r="F55" i="211"/>
  <c r="G55" i="211"/>
  <c r="H55" i="211"/>
  <c r="I55" i="211"/>
  <c r="J55" i="211"/>
  <c r="K55" i="211"/>
  <c r="L55" i="211"/>
  <c r="M55" i="211"/>
  <c r="N55" i="211"/>
  <c r="P55" i="211"/>
  <c r="Q55" i="211"/>
  <c r="R55" i="211"/>
  <c r="S55" i="211"/>
  <c r="T55" i="211"/>
  <c r="W55" i="211"/>
  <c r="X55" i="211"/>
  <c r="Y55" i="211"/>
  <c r="Z55" i="211"/>
  <c r="AA55" i="211"/>
  <c r="AB55" i="211"/>
  <c r="D41" i="211"/>
  <c r="E41" i="211"/>
  <c r="F41" i="211"/>
  <c r="G41" i="211"/>
  <c r="H41" i="211"/>
  <c r="I41" i="211"/>
  <c r="J41" i="211"/>
  <c r="K41" i="211"/>
  <c r="L41" i="211"/>
  <c r="M41" i="211"/>
  <c r="N41" i="211"/>
  <c r="P41" i="211"/>
  <c r="Q41" i="211"/>
  <c r="R41" i="211"/>
  <c r="S41" i="211"/>
  <c r="T41" i="211"/>
  <c r="W41" i="211"/>
  <c r="X41" i="211"/>
  <c r="Y41" i="211"/>
  <c r="Z41" i="211"/>
  <c r="AA41" i="211"/>
  <c r="AB41" i="211"/>
  <c r="D35" i="211"/>
  <c r="E35" i="211"/>
  <c r="F35" i="211"/>
  <c r="G35" i="211"/>
  <c r="H35" i="211"/>
  <c r="I35" i="211"/>
  <c r="J35" i="211"/>
  <c r="K35" i="211"/>
  <c r="L35" i="211"/>
  <c r="M35" i="211"/>
  <c r="N35" i="211"/>
  <c r="O35" i="211"/>
  <c r="P35" i="211"/>
  <c r="Q35" i="211"/>
  <c r="R35" i="211"/>
  <c r="S35" i="211"/>
  <c r="T35" i="211"/>
  <c r="U35" i="211"/>
  <c r="V35" i="211"/>
  <c r="W35" i="211"/>
  <c r="X35" i="211"/>
  <c r="Y35" i="211"/>
  <c r="Z35" i="211"/>
  <c r="AA35" i="211"/>
  <c r="AB35" i="211"/>
  <c r="D44" i="211"/>
  <c r="E44" i="211"/>
  <c r="E45" i="211" s="1"/>
  <c r="F44" i="211"/>
  <c r="F45" i="211" s="1"/>
  <c r="G44" i="211"/>
  <c r="G45" i="211" s="1"/>
  <c r="H44" i="211"/>
  <c r="H45" i="211" s="1"/>
  <c r="I44" i="211"/>
  <c r="I45" i="211" s="1"/>
  <c r="J44" i="211"/>
  <c r="J45" i="211" s="1"/>
  <c r="K44" i="211"/>
  <c r="K45" i="211" s="1"/>
  <c r="L44" i="211"/>
  <c r="L45" i="211" s="1"/>
  <c r="M44" i="211"/>
  <c r="M45" i="211" s="1"/>
  <c r="N44" i="211"/>
  <c r="N45" i="211" s="1"/>
  <c r="P44" i="211"/>
  <c r="P45" i="211" s="1"/>
  <c r="Q44" i="211"/>
  <c r="Q45" i="211" s="1"/>
  <c r="R44" i="211"/>
  <c r="R45" i="211" s="1"/>
  <c r="S44" i="211"/>
  <c r="S45" i="211" s="1"/>
  <c r="T44" i="211"/>
  <c r="T45" i="211" s="1"/>
  <c r="V44" i="211"/>
  <c r="V45" i="211" s="1"/>
  <c r="X44" i="211"/>
  <c r="X45" i="211" s="1"/>
  <c r="Y44" i="211"/>
  <c r="Y45" i="211" s="1"/>
  <c r="Z44" i="211"/>
  <c r="Z45" i="211" s="1"/>
  <c r="AA44" i="211"/>
  <c r="AB44" i="211"/>
  <c r="D42" i="211"/>
  <c r="E42" i="211"/>
  <c r="F42" i="211"/>
  <c r="G42" i="211"/>
  <c r="H42" i="211"/>
  <c r="I42" i="211"/>
  <c r="J42" i="211"/>
  <c r="K42" i="211"/>
  <c r="L42" i="211"/>
  <c r="M42" i="211"/>
  <c r="N42" i="211"/>
  <c r="O42" i="211"/>
  <c r="P42" i="211"/>
  <c r="Q42" i="211"/>
  <c r="R42" i="211"/>
  <c r="S42" i="211"/>
  <c r="T42" i="211"/>
  <c r="U42" i="211"/>
  <c r="V42" i="211"/>
  <c r="W42" i="211"/>
  <c r="X42" i="211"/>
  <c r="Y42" i="211"/>
  <c r="Z42" i="211"/>
  <c r="AA42" i="211"/>
  <c r="AB42" i="211"/>
  <c r="D26" i="211"/>
  <c r="E26" i="211"/>
  <c r="F26" i="211"/>
  <c r="G26" i="211"/>
  <c r="H26" i="211"/>
  <c r="I26" i="211"/>
  <c r="J26" i="211"/>
  <c r="K26" i="211"/>
  <c r="L26" i="211"/>
  <c r="M26" i="211"/>
  <c r="N26" i="211"/>
  <c r="O26" i="211"/>
  <c r="P26" i="211"/>
  <c r="Q26" i="211"/>
  <c r="R26" i="211"/>
  <c r="S26" i="211"/>
  <c r="T26" i="211"/>
  <c r="U26" i="211"/>
  <c r="V26" i="211"/>
  <c r="W26" i="211"/>
  <c r="X26" i="211"/>
  <c r="Y26" i="211"/>
  <c r="Z26" i="211"/>
  <c r="AA26" i="211"/>
  <c r="AB26" i="211"/>
  <c r="D7" i="211"/>
  <c r="D8" i="211" s="1"/>
  <c r="E7" i="211"/>
  <c r="E8" i="211" s="1"/>
  <c r="F7" i="211"/>
  <c r="F8" i="211" s="1"/>
  <c r="G7" i="211"/>
  <c r="G8" i="211" s="1"/>
  <c r="H7" i="211"/>
  <c r="H8" i="211" s="1"/>
  <c r="I7" i="211"/>
  <c r="I8" i="211" s="1"/>
  <c r="J7" i="211"/>
  <c r="J8" i="211" s="1"/>
  <c r="K7" i="211"/>
  <c r="K8" i="211" s="1"/>
  <c r="L7" i="211"/>
  <c r="L8" i="211" s="1"/>
  <c r="M7" i="211"/>
  <c r="M8" i="211" s="1"/>
  <c r="N7" i="211"/>
  <c r="N8" i="211" s="1"/>
  <c r="O7" i="211"/>
  <c r="O8" i="211" s="1"/>
  <c r="P7" i="211"/>
  <c r="P8" i="211" s="1"/>
  <c r="Q7" i="211"/>
  <c r="Q8" i="211" s="1"/>
  <c r="R7" i="211"/>
  <c r="R8" i="211" s="1"/>
  <c r="S7" i="211"/>
  <c r="S8" i="211" s="1"/>
  <c r="T7" i="211"/>
  <c r="T8" i="211" s="1"/>
  <c r="U7" i="211"/>
  <c r="U8" i="211" s="1"/>
  <c r="V7" i="211"/>
  <c r="V8" i="211" s="1"/>
  <c r="W7" i="211"/>
  <c r="W8" i="211" s="1"/>
  <c r="X7" i="211"/>
  <c r="X8" i="211" s="1"/>
  <c r="Y7" i="211"/>
  <c r="Y8" i="211" s="1"/>
  <c r="Z7" i="211"/>
  <c r="Z8" i="211" s="1"/>
  <c r="AA7" i="211"/>
  <c r="AB7" i="211"/>
  <c r="D10" i="211"/>
  <c r="E10" i="211"/>
  <c r="F10" i="211"/>
  <c r="G10" i="211"/>
  <c r="H10" i="211"/>
  <c r="I10" i="211"/>
  <c r="J10" i="211"/>
  <c r="K10" i="211"/>
  <c r="L10" i="211"/>
  <c r="M10" i="211"/>
  <c r="N10" i="211"/>
  <c r="O10" i="211"/>
  <c r="P10" i="211"/>
  <c r="Q10" i="211"/>
  <c r="R10" i="211"/>
  <c r="S10" i="211"/>
  <c r="T10" i="211"/>
  <c r="U10" i="211"/>
  <c r="V10" i="211"/>
  <c r="W10" i="211"/>
  <c r="X10" i="211"/>
  <c r="Y10" i="211"/>
  <c r="Z10" i="211"/>
  <c r="AA10" i="211"/>
  <c r="AB10" i="211"/>
  <c r="D27" i="211"/>
  <c r="E27" i="211"/>
  <c r="F27" i="211"/>
  <c r="G27" i="211"/>
  <c r="H27" i="211"/>
  <c r="I27" i="211"/>
  <c r="J27" i="211"/>
  <c r="K27" i="211"/>
  <c r="L27" i="211"/>
  <c r="M27" i="211"/>
  <c r="N27" i="211"/>
  <c r="O27" i="211"/>
  <c r="P27" i="211"/>
  <c r="Q27" i="211"/>
  <c r="R27" i="211"/>
  <c r="S27" i="211"/>
  <c r="T27" i="211"/>
  <c r="U27" i="211"/>
  <c r="V27" i="211"/>
  <c r="W27" i="211"/>
  <c r="X27" i="211"/>
  <c r="Y27" i="211"/>
  <c r="Z27" i="211"/>
  <c r="AA27" i="211"/>
  <c r="AB27" i="211"/>
  <c r="D28" i="211"/>
  <c r="E28" i="211"/>
  <c r="F28" i="211"/>
  <c r="G28" i="211"/>
  <c r="H28" i="211"/>
  <c r="I28" i="211"/>
  <c r="J28" i="211"/>
  <c r="K28" i="211"/>
  <c r="L28" i="211"/>
  <c r="M28" i="211"/>
  <c r="N28" i="211"/>
  <c r="O28" i="211"/>
  <c r="P28" i="211"/>
  <c r="Q28" i="211"/>
  <c r="R28" i="211"/>
  <c r="S28" i="211"/>
  <c r="T28" i="211"/>
  <c r="U28" i="211"/>
  <c r="V28" i="211"/>
  <c r="W28" i="211"/>
  <c r="X28" i="211"/>
  <c r="Y28" i="211"/>
  <c r="Z28" i="211"/>
  <c r="AA28" i="211"/>
  <c r="AB28" i="211"/>
  <c r="D11" i="211"/>
  <c r="E11" i="211"/>
  <c r="G11" i="211"/>
  <c r="H11" i="211"/>
  <c r="I11" i="211"/>
  <c r="J11" i="211"/>
  <c r="K11" i="211"/>
  <c r="L11" i="211"/>
  <c r="M11" i="211"/>
  <c r="N11" i="211"/>
  <c r="P11" i="211"/>
  <c r="Q11" i="211"/>
  <c r="R11" i="211"/>
  <c r="S11" i="211"/>
  <c r="T11" i="211"/>
  <c r="W11" i="211"/>
  <c r="X11" i="211"/>
  <c r="Y11" i="211"/>
  <c r="Z11" i="211"/>
  <c r="AA11" i="211"/>
  <c r="AB11" i="211"/>
  <c r="D29" i="211"/>
  <c r="E29" i="211"/>
  <c r="F29" i="211"/>
  <c r="G29" i="211"/>
  <c r="H29" i="211"/>
  <c r="I29" i="211"/>
  <c r="J29" i="211"/>
  <c r="K29" i="211"/>
  <c r="L29" i="211"/>
  <c r="M29" i="211"/>
  <c r="N29" i="211"/>
  <c r="P29" i="211"/>
  <c r="Q29" i="211"/>
  <c r="R29" i="211"/>
  <c r="S29" i="211"/>
  <c r="T29" i="211"/>
  <c r="W29" i="211"/>
  <c r="X29" i="211"/>
  <c r="Y29" i="211"/>
  <c r="Z29" i="211"/>
  <c r="AA29" i="211"/>
  <c r="AB29" i="211"/>
  <c r="D30" i="211"/>
  <c r="E30" i="211"/>
  <c r="F30" i="211"/>
  <c r="G30" i="211"/>
  <c r="H30" i="211"/>
  <c r="I30" i="211"/>
  <c r="J30" i="211"/>
  <c r="K30" i="211"/>
  <c r="L30" i="211"/>
  <c r="M30" i="211"/>
  <c r="N30" i="211"/>
  <c r="P30" i="211"/>
  <c r="Q30" i="211"/>
  <c r="R30" i="211"/>
  <c r="S30" i="211"/>
  <c r="T30" i="211"/>
  <c r="W30" i="211"/>
  <c r="X30" i="211"/>
  <c r="Y30" i="211"/>
  <c r="Z30" i="211"/>
  <c r="AA30" i="211"/>
  <c r="AB30" i="211"/>
  <c r="D12" i="211"/>
  <c r="E12" i="211"/>
  <c r="F12" i="211"/>
  <c r="G12" i="211"/>
  <c r="H12" i="211"/>
  <c r="I12" i="211"/>
  <c r="J12" i="211"/>
  <c r="K12" i="211"/>
  <c r="L12" i="211"/>
  <c r="M12" i="211"/>
  <c r="N12" i="211"/>
  <c r="P12" i="211"/>
  <c r="Q12" i="211"/>
  <c r="R12" i="211"/>
  <c r="S12" i="211"/>
  <c r="T12" i="211"/>
  <c r="W12" i="211"/>
  <c r="X12" i="211"/>
  <c r="Y12" i="211"/>
  <c r="Z12" i="211"/>
  <c r="AA12" i="211"/>
  <c r="AB12" i="211"/>
  <c r="D31" i="211"/>
  <c r="E31" i="211"/>
  <c r="F31" i="211"/>
  <c r="G31" i="211"/>
  <c r="H31" i="211"/>
  <c r="I31" i="211"/>
  <c r="J31" i="211"/>
  <c r="K31" i="211"/>
  <c r="L31" i="211"/>
  <c r="M31" i="211"/>
  <c r="N31" i="211"/>
  <c r="O31" i="211"/>
  <c r="P31" i="211"/>
  <c r="Q31" i="211"/>
  <c r="R31" i="211"/>
  <c r="S31" i="211"/>
  <c r="T31" i="211"/>
  <c r="U31" i="211"/>
  <c r="W31" i="211"/>
  <c r="X31" i="211"/>
  <c r="Y31" i="211"/>
  <c r="Z31" i="211"/>
  <c r="AA31" i="211"/>
  <c r="AB31" i="211"/>
  <c r="E33" i="211"/>
  <c r="E34" i="211" s="1"/>
  <c r="F33" i="211"/>
  <c r="F34" i="211" s="1"/>
  <c r="G33" i="211"/>
  <c r="G34" i="211" s="1"/>
  <c r="H33" i="211"/>
  <c r="H34" i="211" s="1"/>
  <c r="I33" i="211"/>
  <c r="I34" i="211" s="1"/>
  <c r="J33" i="211"/>
  <c r="J34" i="211" s="1"/>
  <c r="K33" i="211"/>
  <c r="K34" i="211" s="1"/>
  <c r="L33" i="211"/>
  <c r="L34" i="211" s="1"/>
  <c r="M33" i="211"/>
  <c r="M34" i="211" s="1"/>
  <c r="N33" i="211"/>
  <c r="N34" i="211" s="1"/>
  <c r="P33" i="211"/>
  <c r="P34" i="211" s="1"/>
  <c r="Q33" i="211"/>
  <c r="Q34" i="211" s="1"/>
  <c r="R33" i="211"/>
  <c r="R34" i="211" s="1"/>
  <c r="S33" i="211"/>
  <c r="S34" i="211" s="1"/>
  <c r="V33" i="211"/>
  <c r="V34" i="211" s="1"/>
  <c r="X33" i="211"/>
  <c r="X34" i="211" s="1"/>
  <c r="Y33" i="211"/>
  <c r="Y34" i="211" s="1"/>
  <c r="Z33" i="211"/>
  <c r="Z34" i="211" s="1"/>
  <c r="AA33" i="211"/>
  <c r="AB33" i="211"/>
  <c r="D33" i="211"/>
  <c r="D10" i="210"/>
  <c r="E10" i="210"/>
  <c r="F10" i="210"/>
  <c r="G10" i="210"/>
  <c r="H10" i="210"/>
  <c r="I10" i="210"/>
  <c r="J10" i="210"/>
  <c r="K10" i="210"/>
  <c r="L10" i="210"/>
  <c r="M10" i="210"/>
  <c r="N10" i="210"/>
  <c r="P10" i="210"/>
  <c r="Q10" i="210"/>
  <c r="R10" i="210"/>
  <c r="S10" i="210"/>
  <c r="T10" i="210"/>
  <c r="V10" i="210"/>
  <c r="X10" i="210"/>
  <c r="Y10" i="210"/>
  <c r="Z10" i="210"/>
  <c r="AA10" i="210"/>
  <c r="AB10" i="210"/>
  <c r="D11" i="210"/>
  <c r="E11" i="210"/>
  <c r="F11" i="210"/>
  <c r="G11" i="210"/>
  <c r="H11" i="210"/>
  <c r="I11" i="210"/>
  <c r="J11" i="210"/>
  <c r="K11" i="210"/>
  <c r="L11" i="210"/>
  <c r="M11" i="210"/>
  <c r="N11" i="210"/>
  <c r="O11" i="210"/>
  <c r="P11" i="210"/>
  <c r="Q11" i="210"/>
  <c r="R11" i="210"/>
  <c r="S11" i="210"/>
  <c r="T11" i="210"/>
  <c r="U11" i="210"/>
  <c r="V11" i="210"/>
  <c r="W11" i="210"/>
  <c r="X11" i="210"/>
  <c r="Y11" i="210"/>
  <c r="Z11" i="210"/>
  <c r="AA11" i="210"/>
  <c r="AB11" i="210"/>
  <c r="D12" i="210"/>
  <c r="E12" i="210"/>
  <c r="F12" i="210"/>
  <c r="G12" i="210"/>
  <c r="H12" i="210"/>
  <c r="I12" i="210"/>
  <c r="J12" i="210"/>
  <c r="K12" i="210"/>
  <c r="L12" i="210"/>
  <c r="M12" i="210"/>
  <c r="N12" i="210"/>
  <c r="O12" i="210"/>
  <c r="P12" i="210"/>
  <c r="Q12" i="210"/>
  <c r="R12" i="210"/>
  <c r="S12" i="210"/>
  <c r="T12" i="210"/>
  <c r="U12" i="210"/>
  <c r="V12" i="210"/>
  <c r="W12" i="210"/>
  <c r="X12" i="210"/>
  <c r="Y12" i="210"/>
  <c r="Z12" i="210"/>
  <c r="AA12" i="210"/>
  <c r="AB12" i="210"/>
  <c r="D13" i="210"/>
  <c r="E13" i="210"/>
  <c r="F13" i="210"/>
  <c r="G13" i="210"/>
  <c r="H13" i="210"/>
  <c r="I13" i="210"/>
  <c r="J13" i="210"/>
  <c r="K13" i="210"/>
  <c r="L13" i="210"/>
  <c r="M13" i="210"/>
  <c r="N13" i="210"/>
  <c r="O13" i="210"/>
  <c r="P13" i="210"/>
  <c r="Q13" i="210"/>
  <c r="R13" i="210"/>
  <c r="S13" i="210"/>
  <c r="T13" i="210"/>
  <c r="U13" i="210"/>
  <c r="V13" i="210"/>
  <c r="W13" i="210"/>
  <c r="X13" i="210"/>
  <c r="Y13" i="210"/>
  <c r="Z13" i="210"/>
  <c r="AA13" i="210"/>
  <c r="AB13" i="210"/>
  <c r="D14" i="210"/>
  <c r="E14" i="210"/>
  <c r="F14" i="210"/>
  <c r="G14" i="210"/>
  <c r="H14" i="210"/>
  <c r="I14" i="210"/>
  <c r="J14" i="210"/>
  <c r="K14" i="210"/>
  <c r="L14" i="210"/>
  <c r="M14" i="210"/>
  <c r="N14" i="210"/>
  <c r="P14" i="210"/>
  <c r="Q14" i="210"/>
  <c r="R14" i="210"/>
  <c r="S14" i="210"/>
  <c r="T14" i="210"/>
  <c r="V14" i="210"/>
  <c r="X14" i="210"/>
  <c r="Y14" i="210"/>
  <c r="Z14" i="210"/>
  <c r="AA14" i="210"/>
  <c r="AB14" i="210"/>
  <c r="D7" i="210"/>
  <c r="E7" i="210"/>
  <c r="F7" i="210"/>
  <c r="G7" i="210"/>
  <c r="H7" i="210"/>
  <c r="I7" i="210"/>
  <c r="J7" i="210"/>
  <c r="K7" i="210"/>
  <c r="L7" i="210"/>
  <c r="M7" i="210"/>
  <c r="N7" i="210"/>
  <c r="O7" i="210"/>
  <c r="P7" i="210"/>
  <c r="Q7" i="210"/>
  <c r="R7" i="210"/>
  <c r="S7" i="210"/>
  <c r="T7" i="210"/>
  <c r="U7" i="210"/>
  <c r="V7" i="210"/>
  <c r="X7" i="210"/>
  <c r="Y7" i="210"/>
  <c r="Z7" i="210"/>
  <c r="AA7" i="210"/>
  <c r="AB7" i="210"/>
  <c r="D15" i="210"/>
  <c r="D19" i="210" s="1"/>
  <c r="E15" i="210"/>
  <c r="G15" i="210"/>
  <c r="H15" i="210"/>
  <c r="I15" i="210"/>
  <c r="J15" i="210"/>
  <c r="K15" i="210"/>
  <c r="L15" i="210"/>
  <c r="M15" i="210"/>
  <c r="N15" i="210"/>
  <c r="P15" i="210"/>
  <c r="Q15" i="210"/>
  <c r="R15" i="210"/>
  <c r="S15" i="210"/>
  <c r="T15" i="210"/>
  <c r="U15" i="210"/>
  <c r="V15" i="210"/>
  <c r="X15" i="210"/>
  <c r="Y15" i="210"/>
  <c r="Z15" i="210"/>
  <c r="Z16" i="210" s="1"/>
  <c r="Z19" i="210" s="1"/>
  <c r="AA15" i="210"/>
  <c r="AB15" i="210"/>
  <c r="D8" i="210"/>
  <c r="E8" i="210"/>
  <c r="F8" i="210"/>
  <c r="G8" i="210"/>
  <c r="H8" i="210"/>
  <c r="I8" i="210"/>
  <c r="J8" i="210"/>
  <c r="K8" i="210"/>
  <c r="L8" i="210"/>
  <c r="M8" i="210"/>
  <c r="N8" i="210"/>
  <c r="O8" i="210"/>
  <c r="P8" i="210"/>
  <c r="Q8" i="210"/>
  <c r="R8" i="210"/>
  <c r="S8" i="210"/>
  <c r="T8" i="210"/>
  <c r="U8" i="210"/>
  <c r="V8" i="210"/>
  <c r="X8" i="210"/>
  <c r="Y8" i="210"/>
  <c r="Z8" i="210"/>
  <c r="AA8" i="210"/>
  <c r="AB8" i="210"/>
  <c r="D9" i="210"/>
  <c r="E9" i="210"/>
  <c r="F9" i="210"/>
  <c r="G9" i="210"/>
  <c r="H9" i="210"/>
  <c r="I9" i="210"/>
  <c r="J9" i="210"/>
  <c r="K9" i="210"/>
  <c r="L9" i="210"/>
  <c r="M9" i="210"/>
  <c r="N9" i="210"/>
  <c r="P9" i="210"/>
  <c r="Q9" i="210"/>
  <c r="R9" i="210"/>
  <c r="S9" i="210"/>
  <c r="T9" i="210"/>
  <c r="W9" i="210"/>
  <c r="X9" i="210"/>
  <c r="Y9" i="210"/>
  <c r="Z9" i="210"/>
  <c r="AA9" i="210"/>
  <c r="AB9" i="210"/>
  <c r="D6" i="210"/>
  <c r="E6" i="210"/>
  <c r="F6" i="210"/>
  <c r="G6" i="210"/>
  <c r="H6" i="210"/>
  <c r="I6" i="210"/>
  <c r="J6" i="210"/>
  <c r="K6" i="210"/>
  <c r="L6" i="210"/>
  <c r="M6" i="210"/>
  <c r="N6" i="210"/>
  <c r="O6" i="210"/>
  <c r="P6" i="210"/>
  <c r="Q6" i="210"/>
  <c r="R6" i="210"/>
  <c r="S6" i="210"/>
  <c r="T6" i="210"/>
  <c r="U6" i="210"/>
  <c r="V6" i="210"/>
  <c r="W6" i="210"/>
  <c r="X6" i="210"/>
  <c r="Y6" i="210"/>
  <c r="Z6" i="210"/>
  <c r="AA6" i="210"/>
  <c r="AB6" i="210"/>
  <c r="E17" i="210"/>
  <c r="F17" i="210"/>
  <c r="G17" i="210"/>
  <c r="H17" i="210"/>
  <c r="I17" i="210"/>
  <c r="J17" i="210"/>
  <c r="K17" i="210"/>
  <c r="L17" i="210"/>
  <c r="M17" i="210"/>
  <c r="N17" i="210"/>
  <c r="N18" i="210" s="1"/>
  <c r="P17" i="210"/>
  <c r="Q17" i="210"/>
  <c r="R17" i="210"/>
  <c r="S17" i="210"/>
  <c r="T17" i="210"/>
  <c r="V17" i="210"/>
  <c r="X17" i="210"/>
  <c r="Y17" i="210"/>
  <c r="Z17" i="210"/>
  <c r="AA17" i="210"/>
  <c r="AB17" i="210"/>
  <c r="D17" i="210"/>
  <c r="U5" i="210"/>
  <c r="T5" i="210"/>
  <c r="D7" i="209"/>
  <c r="E7" i="209"/>
  <c r="F7" i="209"/>
  <c r="G7" i="209"/>
  <c r="H7" i="209"/>
  <c r="H28" i="209" s="1"/>
  <c r="I7" i="209"/>
  <c r="J7" i="209"/>
  <c r="K7" i="209"/>
  <c r="L7" i="209"/>
  <c r="M7" i="209"/>
  <c r="N7" i="209"/>
  <c r="O7" i="209"/>
  <c r="P7" i="209"/>
  <c r="Q7" i="209"/>
  <c r="Q28" i="209" s="1"/>
  <c r="R7" i="209"/>
  <c r="S7" i="209"/>
  <c r="T7" i="209"/>
  <c r="U7" i="209"/>
  <c r="V7" i="209"/>
  <c r="W7" i="209"/>
  <c r="X7" i="209"/>
  <c r="Y7" i="209"/>
  <c r="Y28" i="209" s="1"/>
  <c r="Z7" i="209"/>
  <c r="AA7" i="209"/>
  <c r="AB7" i="209"/>
  <c r="D8" i="209"/>
  <c r="E8" i="209"/>
  <c r="F8" i="209"/>
  <c r="G8" i="209"/>
  <c r="G28" i="209" s="1"/>
  <c r="H8" i="209"/>
  <c r="I8" i="209"/>
  <c r="J8" i="209"/>
  <c r="K8" i="209"/>
  <c r="K28" i="209" s="1"/>
  <c r="L8" i="209"/>
  <c r="M8" i="209"/>
  <c r="N8" i="209"/>
  <c r="O8" i="209"/>
  <c r="P8" i="209"/>
  <c r="Q8" i="209"/>
  <c r="R8" i="209"/>
  <c r="S8" i="209"/>
  <c r="S28" i="209" s="1"/>
  <c r="T8" i="209"/>
  <c r="U8" i="209"/>
  <c r="V8" i="209"/>
  <c r="W8" i="209"/>
  <c r="X8" i="209"/>
  <c r="Y8" i="209"/>
  <c r="Z8" i="209"/>
  <c r="AA8" i="209"/>
  <c r="AB8" i="209"/>
  <c r="D9" i="209"/>
  <c r="E9" i="209"/>
  <c r="F9" i="209"/>
  <c r="G9" i="209"/>
  <c r="H9" i="209"/>
  <c r="I9" i="209"/>
  <c r="J9" i="209"/>
  <c r="K9" i="209"/>
  <c r="L9" i="209"/>
  <c r="M9" i="209"/>
  <c r="N9" i="209"/>
  <c r="O9" i="209"/>
  <c r="P9" i="209"/>
  <c r="Q9" i="209"/>
  <c r="R9" i="209"/>
  <c r="R28" i="209" s="1"/>
  <c r="S9" i="209"/>
  <c r="T9" i="209"/>
  <c r="U9" i="209"/>
  <c r="V9" i="209"/>
  <c r="W9" i="209"/>
  <c r="X9" i="209"/>
  <c r="Y9" i="209"/>
  <c r="Z9" i="209"/>
  <c r="AA9" i="209"/>
  <c r="AB9" i="209"/>
  <c r="D10" i="209"/>
  <c r="E10" i="209"/>
  <c r="F10" i="209"/>
  <c r="G10" i="209"/>
  <c r="H10" i="209"/>
  <c r="I10" i="209"/>
  <c r="J10" i="209"/>
  <c r="K10" i="209"/>
  <c r="L10" i="209"/>
  <c r="M10" i="209"/>
  <c r="N10" i="209"/>
  <c r="O10" i="209"/>
  <c r="P10" i="209"/>
  <c r="Q10" i="209"/>
  <c r="R10" i="209"/>
  <c r="S10" i="209"/>
  <c r="T10" i="209"/>
  <c r="U10" i="209"/>
  <c r="V10" i="209"/>
  <c r="W10" i="209"/>
  <c r="X10" i="209"/>
  <c r="Y10" i="209"/>
  <c r="Z10" i="209"/>
  <c r="AA10" i="209"/>
  <c r="AB10" i="209"/>
  <c r="D11" i="209"/>
  <c r="E11" i="209"/>
  <c r="E28" i="209" s="1"/>
  <c r="F11" i="209"/>
  <c r="G11" i="209"/>
  <c r="H11" i="209"/>
  <c r="I11" i="209"/>
  <c r="J11" i="209"/>
  <c r="K11" i="209"/>
  <c r="L11" i="209"/>
  <c r="M11" i="209"/>
  <c r="N11" i="209"/>
  <c r="O11" i="209"/>
  <c r="P11" i="209"/>
  <c r="Q11" i="209"/>
  <c r="R11" i="209"/>
  <c r="S11" i="209"/>
  <c r="T11" i="209"/>
  <c r="U11" i="209"/>
  <c r="V11" i="209"/>
  <c r="W11" i="209"/>
  <c r="X11" i="209"/>
  <c r="Y11" i="209"/>
  <c r="Z11" i="209"/>
  <c r="AA11" i="209"/>
  <c r="AB11" i="209"/>
  <c r="D12" i="209"/>
  <c r="E12" i="209"/>
  <c r="F12" i="209"/>
  <c r="G12" i="209"/>
  <c r="H12" i="209"/>
  <c r="I12" i="209"/>
  <c r="J12" i="209"/>
  <c r="K12" i="209"/>
  <c r="L12" i="209"/>
  <c r="M12" i="209"/>
  <c r="N12" i="209"/>
  <c r="O12" i="209"/>
  <c r="P12" i="209"/>
  <c r="Q12" i="209"/>
  <c r="R12" i="209"/>
  <c r="S12" i="209"/>
  <c r="T12" i="209"/>
  <c r="U12" i="209"/>
  <c r="V12" i="209"/>
  <c r="W12" i="209"/>
  <c r="X12" i="209"/>
  <c r="Y12" i="209"/>
  <c r="Z12" i="209"/>
  <c r="AA12" i="209"/>
  <c r="AB12" i="209"/>
  <c r="D13" i="209"/>
  <c r="E13" i="209"/>
  <c r="F13" i="209"/>
  <c r="G13" i="209"/>
  <c r="H13" i="209"/>
  <c r="I13" i="209"/>
  <c r="J13" i="209"/>
  <c r="K13" i="209"/>
  <c r="L13" i="209"/>
  <c r="M13" i="209"/>
  <c r="N13" i="209"/>
  <c r="O13" i="209"/>
  <c r="P13" i="209"/>
  <c r="Q13" i="209"/>
  <c r="R13" i="209"/>
  <c r="S13" i="209"/>
  <c r="T13" i="209"/>
  <c r="U13" i="209"/>
  <c r="V13" i="209"/>
  <c r="W13" i="209"/>
  <c r="X13" i="209"/>
  <c r="Y13" i="209"/>
  <c r="Z13" i="209"/>
  <c r="AA13" i="209"/>
  <c r="AB13" i="209"/>
  <c r="D14" i="209"/>
  <c r="E14" i="209"/>
  <c r="F14" i="209"/>
  <c r="G14" i="209"/>
  <c r="H14" i="209"/>
  <c r="I14" i="209"/>
  <c r="J14" i="209"/>
  <c r="J28" i="209" s="1"/>
  <c r="K14" i="209"/>
  <c r="L14" i="209"/>
  <c r="M14" i="209"/>
  <c r="N14" i="209"/>
  <c r="O14" i="209"/>
  <c r="P14" i="209"/>
  <c r="Q14" i="209"/>
  <c r="R14" i="209"/>
  <c r="S14" i="209"/>
  <c r="T14" i="209"/>
  <c r="U14" i="209"/>
  <c r="V14" i="209"/>
  <c r="W14" i="209"/>
  <c r="X14" i="209"/>
  <c r="Y14" i="209"/>
  <c r="Z14" i="209"/>
  <c r="AA14" i="209"/>
  <c r="AB14" i="209"/>
  <c r="D15" i="209"/>
  <c r="E15" i="209"/>
  <c r="F15" i="209"/>
  <c r="G15" i="209"/>
  <c r="H15" i="209"/>
  <c r="I15" i="209"/>
  <c r="J15" i="209"/>
  <c r="K15" i="209"/>
  <c r="L15" i="209"/>
  <c r="M15" i="209"/>
  <c r="N15" i="209"/>
  <c r="O15" i="209"/>
  <c r="P15" i="209"/>
  <c r="Q15" i="209"/>
  <c r="R15" i="209"/>
  <c r="S15" i="209"/>
  <c r="T15" i="209"/>
  <c r="U15" i="209"/>
  <c r="V15" i="209"/>
  <c r="W15" i="209"/>
  <c r="X15" i="209"/>
  <c r="Y15" i="209"/>
  <c r="Z15" i="209"/>
  <c r="AA15" i="209"/>
  <c r="AB15" i="209"/>
  <c r="D16" i="209"/>
  <c r="E16" i="209"/>
  <c r="F16" i="209"/>
  <c r="G16" i="209"/>
  <c r="H16" i="209"/>
  <c r="I16" i="209"/>
  <c r="J16" i="209"/>
  <c r="K16" i="209"/>
  <c r="L16" i="209"/>
  <c r="M16" i="209"/>
  <c r="N16" i="209"/>
  <c r="O16" i="209"/>
  <c r="P16" i="209"/>
  <c r="Q16" i="209"/>
  <c r="R16" i="209"/>
  <c r="S16" i="209"/>
  <c r="T16" i="209"/>
  <c r="U16" i="209"/>
  <c r="V16" i="209"/>
  <c r="W16" i="209"/>
  <c r="X16" i="209"/>
  <c r="Y16" i="209"/>
  <c r="Z16" i="209"/>
  <c r="AA16" i="209"/>
  <c r="AB16" i="209"/>
  <c r="D17" i="209"/>
  <c r="E17" i="209"/>
  <c r="F17" i="209"/>
  <c r="G17" i="209"/>
  <c r="H17" i="209"/>
  <c r="I17" i="209"/>
  <c r="J17" i="209"/>
  <c r="K17" i="209"/>
  <c r="L17" i="209"/>
  <c r="M17" i="209"/>
  <c r="N17" i="209"/>
  <c r="O17" i="209"/>
  <c r="P17" i="209"/>
  <c r="Q17" i="209"/>
  <c r="R17" i="209"/>
  <c r="S17" i="209"/>
  <c r="T17" i="209"/>
  <c r="U17" i="209"/>
  <c r="V17" i="209"/>
  <c r="W17" i="209"/>
  <c r="X17" i="209"/>
  <c r="Y17" i="209"/>
  <c r="Z17" i="209"/>
  <c r="AA17" i="209"/>
  <c r="AB17" i="209"/>
  <c r="D18" i="209"/>
  <c r="E18" i="209"/>
  <c r="F18" i="209"/>
  <c r="G18" i="209"/>
  <c r="H18" i="209"/>
  <c r="I18" i="209"/>
  <c r="J18" i="209"/>
  <c r="K18" i="209"/>
  <c r="L18" i="209"/>
  <c r="M18" i="209"/>
  <c r="N18" i="209"/>
  <c r="O18" i="209"/>
  <c r="P18" i="209"/>
  <c r="Q18" i="209"/>
  <c r="R18" i="209"/>
  <c r="S18" i="209"/>
  <c r="T18" i="209"/>
  <c r="U18" i="209"/>
  <c r="V18" i="209"/>
  <c r="W18" i="209"/>
  <c r="X18" i="209"/>
  <c r="Y18" i="209"/>
  <c r="Z18" i="209"/>
  <c r="AA18" i="209"/>
  <c r="AB18" i="209"/>
  <c r="D19" i="209"/>
  <c r="E19" i="209"/>
  <c r="F19" i="209"/>
  <c r="G19" i="209"/>
  <c r="H19" i="209"/>
  <c r="I19" i="209"/>
  <c r="J19" i="209"/>
  <c r="K19" i="209"/>
  <c r="L19" i="209"/>
  <c r="M19" i="209"/>
  <c r="N19" i="209"/>
  <c r="O19" i="209"/>
  <c r="P19" i="209"/>
  <c r="Q19" i="209"/>
  <c r="R19" i="209"/>
  <c r="S19" i="209"/>
  <c r="T19" i="209"/>
  <c r="U19" i="209"/>
  <c r="V19" i="209"/>
  <c r="W19" i="209"/>
  <c r="X19" i="209"/>
  <c r="Y19" i="209"/>
  <c r="Z19" i="209"/>
  <c r="AA19" i="209"/>
  <c r="AB19" i="209"/>
  <c r="D20" i="209"/>
  <c r="E20" i="209"/>
  <c r="F20" i="209"/>
  <c r="G20" i="209"/>
  <c r="H20" i="209"/>
  <c r="I20" i="209"/>
  <c r="J20" i="209"/>
  <c r="K20" i="209"/>
  <c r="L20" i="209"/>
  <c r="M20" i="209"/>
  <c r="N20" i="209"/>
  <c r="O20" i="209"/>
  <c r="P20" i="209"/>
  <c r="Q20" i="209"/>
  <c r="R20" i="209"/>
  <c r="S20" i="209"/>
  <c r="T20" i="209"/>
  <c r="U20" i="209"/>
  <c r="V20" i="209"/>
  <c r="W20" i="209"/>
  <c r="X20" i="209"/>
  <c r="Y20" i="209"/>
  <c r="Z20" i="209"/>
  <c r="AA20" i="209"/>
  <c r="AB20" i="209"/>
  <c r="D21" i="209"/>
  <c r="E21" i="209"/>
  <c r="F21" i="209"/>
  <c r="G21" i="209"/>
  <c r="H21" i="209"/>
  <c r="I21" i="209"/>
  <c r="J21" i="209"/>
  <c r="K21" i="209"/>
  <c r="L21" i="209"/>
  <c r="M21" i="209"/>
  <c r="N21" i="209"/>
  <c r="O21" i="209"/>
  <c r="P21" i="209"/>
  <c r="Q21" i="209"/>
  <c r="R21" i="209"/>
  <c r="S21" i="209"/>
  <c r="T21" i="209"/>
  <c r="U21" i="209"/>
  <c r="V21" i="209"/>
  <c r="W21" i="209"/>
  <c r="X21" i="209"/>
  <c r="Y21" i="209"/>
  <c r="Z21" i="209"/>
  <c r="AA21" i="209"/>
  <c r="AB21" i="209"/>
  <c r="D22" i="209"/>
  <c r="E22" i="209"/>
  <c r="F22" i="209"/>
  <c r="G22" i="209"/>
  <c r="H22" i="209"/>
  <c r="I22" i="209"/>
  <c r="J22" i="209"/>
  <c r="K22" i="209"/>
  <c r="L22" i="209"/>
  <c r="M22" i="209"/>
  <c r="N22" i="209"/>
  <c r="O22" i="209"/>
  <c r="P22" i="209"/>
  <c r="Q22" i="209"/>
  <c r="R22" i="209"/>
  <c r="S22" i="209"/>
  <c r="T22" i="209"/>
  <c r="U22" i="209"/>
  <c r="V22" i="209"/>
  <c r="W22" i="209"/>
  <c r="X22" i="209"/>
  <c r="Y22" i="209"/>
  <c r="Z22" i="209"/>
  <c r="AA22" i="209"/>
  <c r="AB22" i="209"/>
  <c r="D23" i="209"/>
  <c r="E23" i="209"/>
  <c r="F23" i="209"/>
  <c r="G23" i="209"/>
  <c r="H23" i="209"/>
  <c r="I23" i="209"/>
  <c r="J23" i="209"/>
  <c r="K23" i="209"/>
  <c r="L23" i="209"/>
  <c r="M23" i="209"/>
  <c r="N23" i="209"/>
  <c r="P23" i="209"/>
  <c r="Q23" i="209"/>
  <c r="R23" i="209"/>
  <c r="S23" i="209"/>
  <c r="T23" i="209"/>
  <c r="V23" i="209"/>
  <c r="X23" i="209"/>
  <c r="Y23" i="209"/>
  <c r="Z23" i="209"/>
  <c r="AA23" i="209"/>
  <c r="AB23" i="209"/>
  <c r="D24" i="209"/>
  <c r="E24" i="209"/>
  <c r="F24" i="209"/>
  <c r="G24" i="209"/>
  <c r="H24" i="209"/>
  <c r="I24" i="209"/>
  <c r="J24" i="209"/>
  <c r="K24" i="209"/>
  <c r="L24" i="209"/>
  <c r="M24" i="209"/>
  <c r="N24" i="209"/>
  <c r="P24" i="209"/>
  <c r="Q24" i="209"/>
  <c r="R24" i="209"/>
  <c r="S24" i="209"/>
  <c r="T24" i="209"/>
  <c r="X24" i="209"/>
  <c r="Y24" i="209"/>
  <c r="Z24" i="209"/>
  <c r="AA24" i="209"/>
  <c r="AB24" i="209"/>
  <c r="D25" i="209"/>
  <c r="E25" i="209"/>
  <c r="G25" i="209"/>
  <c r="H25" i="209"/>
  <c r="I25" i="209"/>
  <c r="J25" i="209"/>
  <c r="K25" i="209"/>
  <c r="L25" i="209"/>
  <c r="M25" i="209"/>
  <c r="P25" i="209"/>
  <c r="Q25" i="209"/>
  <c r="R25" i="209"/>
  <c r="S25" i="209"/>
  <c r="T25" i="209"/>
  <c r="X25" i="209"/>
  <c r="Y25" i="209"/>
  <c r="Z25" i="209"/>
  <c r="AA25" i="209"/>
  <c r="AB25" i="209"/>
  <c r="D26" i="209"/>
  <c r="E26" i="209"/>
  <c r="G26" i="209"/>
  <c r="H26" i="209"/>
  <c r="I26" i="209"/>
  <c r="J26" i="209"/>
  <c r="K26" i="209"/>
  <c r="L26" i="209"/>
  <c r="M26" i="209"/>
  <c r="P26" i="209"/>
  <c r="Q26" i="209"/>
  <c r="R26" i="209"/>
  <c r="S26" i="209"/>
  <c r="T26" i="209"/>
  <c r="X26" i="209"/>
  <c r="Y26" i="209"/>
  <c r="Z26" i="209"/>
  <c r="AA26" i="209"/>
  <c r="AB26" i="209"/>
  <c r="D27" i="209"/>
  <c r="E27" i="209"/>
  <c r="F27" i="209"/>
  <c r="G27" i="209"/>
  <c r="H27" i="209"/>
  <c r="I27" i="209"/>
  <c r="J27" i="209"/>
  <c r="K27" i="209"/>
  <c r="L27" i="209"/>
  <c r="M27" i="209"/>
  <c r="N27" i="209"/>
  <c r="O27" i="209"/>
  <c r="P27" i="209"/>
  <c r="Q27" i="209"/>
  <c r="R27" i="209"/>
  <c r="S27" i="209"/>
  <c r="T27" i="209"/>
  <c r="U27" i="209"/>
  <c r="V27" i="209"/>
  <c r="W27" i="209"/>
  <c r="X27" i="209"/>
  <c r="Y27" i="209"/>
  <c r="Z27" i="209"/>
  <c r="AA27" i="209"/>
  <c r="AB27" i="209"/>
  <c r="E6" i="209"/>
  <c r="F6" i="209"/>
  <c r="G6" i="209"/>
  <c r="H6" i="209"/>
  <c r="I6" i="209"/>
  <c r="J6" i="209"/>
  <c r="K6" i="209"/>
  <c r="L6" i="209"/>
  <c r="M6" i="209"/>
  <c r="N6" i="209"/>
  <c r="O6" i="209"/>
  <c r="P6" i="209"/>
  <c r="Q6" i="209"/>
  <c r="R6" i="209"/>
  <c r="S6" i="209"/>
  <c r="T6" i="209"/>
  <c r="U6" i="209"/>
  <c r="V6" i="209"/>
  <c r="W6" i="209"/>
  <c r="X6" i="209"/>
  <c r="Y6" i="209"/>
  <c r="Z6" i="209"/>
  <c r="AA6" i="209"/>
  <c r="AB6" i="209"/>
  <c r="D6" i="209"/>
  <c r="Z28" i="209"/>
  <c r="D28" i="209"/>
  <c r="A6" i="209"/>
  <c r="A7" i="209" s="1"/>
  <c r="A8" i="209" s="1"/>
  <c r="A9" i="209" s="1"/>
  <c r="A10" i="209" s="1"/>
  <c r="A11" i="209" s="1"/>
  <c r="A12" i="209" s="1"/>
  <c r="A13" i="209" s="1"/>
  <c r="A14" i="209" s="1"/>
  <c r="A15" i="209" s="1"/>
  <c r="A16" i="209" s="1"/>
  <c r="A17" i="209" s="1"/>
  <c r="A18" i="209" s="1"/>
  <c r="A19" i="209" s="1"/>
  <c r="A20" i="209" s="1"/>
  <c r="A21" i="209" s="1"/>
  <c r="A22" i="209" s="1"/>
  <c r="A23" i="209" s="1"/>
  <c r="A24" i="209" s="1"/>
  <c r="A25" i="209" s="1"/>
  <c r="A26" i="209" s="1"/>
  <c r="A27" i="209" s="1"/>
  <c r="A28" i="209" s="1"/>
  <c r="D7" i="208"/>
  <c r="E7" i="208"/>
  <c r="F7" i="208"/>
  <c r="G7" i="208"/>
  <c r="G9" i="208" s="1"/>
  <c r="H7" i="208"/>
  <c r="I7" i="208"/>
  <c r="J7" i="208"/>
  <c r="K7" i="208"/>
  <c r="L7" i="208"/>
  <c r="M7" i="208"/>
  <c r="N7" i="208"/>
  <c r="O7" i="208"/>
  <c r="P7" i="208"/>
  <c r="Q7" i="208"/>
  <c r="R7" i="208"/>
  <c r="S7" i="208"/>
  <c r="T7" i="208"/>
  <c r="U7" i="208"/>
  <c r="V7" i="208"/>
  <c r="W7" i="208"/>
  <c r="X7" i="208"/>
  <c r="Y7" i="208"/>
  <c r="Z7" i="208"/>
  <c r="AA7" i="208"/>
  <c r="AB7" i="208"/>
  <c r="D8" i="208"/>
  <c r="E8" i="208"/>
  <c r="F8" i="208"/>
  <c r="G8" i="208"/>
  <c r="H8" i="208"/>
  <c r="I8" i="208"/>
  <c r="J8" i="208"/>
  <c r="K8" i="208"/>
  <c r="L8" i="208"/>
  <c r="M8" i="208"/>
  <c r="N8" i="208"/>
  <c r="O8" i="208"/>
  <c r="P8" i="208"/>
  <c r="Q8" i="208"/>
  <c r="R8" i="208"/>
  <c r="R9" i="208" s="1"/>
  <c r="S8" i="208"/>
  <c r="T8" i="208"/>
  <c r="U8" i="208"/>
  <c r="V8" i="208"/>
  <c r="W8" i="208"/>
  <c r="X8" i="208"/>
  <c r="X9" i="208" s="1"/>
  <c r="Y8" i="208"/>
  <c r="Z8" i="208"/>
  <c r="AA8" i="208"/>
  <c r="AB8" i="208"/>
  <c r="E6" i="208"/>
  <c r="F6" i="208"/>
  <c r="G6" i="208"/>
  <c r="H6" i="208"/>
  <c r="I6" i="208"/>
  <c r="J6" i="208"/>
  <c r="J9" i="208" s="1"/>
  <c r="K6" i="208"/>
  <c r="L6" i="208"/>
  <c r="M6" i="208"/>
  <c r="N6" i="208"/>
  <c r="O6" i="208"/>
  <c r="P6" i="208"/>
  <c r="Q6" i="208"/>
  <c r="R6" i="208"/>
  <c r="S6" i="208"/>
  <c r="T6" i="208"/>
  <c r="U6" i="208"/>
  <c r="V6" i="208"/>
  <c r="W6" i="208"/>
  <c r="X6" i="208"/>
  <c r="Y6" i="208"/>
  <c r="Z6" i="208"/>
  <c r="AA6" i="208"/>
  <c r="AB6" i="208"/>
  <c r="D6" i="208"/>
  <c r="Y9" i="208"/>
  <c r="V9" i="208"/>
  <c r="N9" i="208"/>
  <c r="I9" i="208"/>
  <c r="H9" i="208"/>
  <c r="E9" i="208"/>
  <c r="A9" i="208"/>
  <c r="A8" i="208"/>
  <c r="A7" i="208"/>
  <c r="AA22" i="207"/>
  <c r="AB22" i="207"/>
  <c r="AA59" i="207"/>
  <c r="AB59" i="207"/>
  <c r="AA70" i="207"/>
  <c r="AB70" i="207"/>
  <c r="AA71" i="207"/>
  <c r="AB71" i="207"/>
  <c r="AA24" i="207"/>
  <c r="AB24" i="207"/>
  <c r="AA25" i="207"/>
  <c r="AB25" i="207"/>
  <c r="AA47" i="207"/>
  <c r="AB47" i="207"/>
  <c r="AA14" i="207"/>
  <c r="AB14" i="207"/>
  <c r="AA19" i="207"/>
  <c r="AB19" i="207"/>
  <c r="AA65" i="207"/>
  <c r="AB65" i="207"/>
  <c r="AA26" i="207"/>
  <c r="AB26" i="207"/>
  <c r="AA27" i="207"/>
  <c r="AB27" i="207"/>
  <c r="AA28" i="207"/>
  <c r="AB28" i="207"/>
  <c r="AA20" i="207"/>
  <c r="AB20" i="207"/>
  <c r="AA60" i="207"/>
  <c r="AB60" i="207"/>
  <c r="AA15" i="207"/>
  <c r="AB15" i="207"/>
  <c r="AA16" i="207"/>
  <c r="AB16" i="207"/>
  <c r="AA17" i="207"/>
  <c r="AB17" i="207"/>
  <c r="AA29" i="207"/>
  <c r="AB29" i="207"/>
  <c r="AA49" i="207"/>
  <c r="AB49" i="207"/>
  <c r="AA30" i="207"/>
  <c r="AB30" i="207"/>
  <c r="AA31" i="207"/>
  <c r="AB31" i="207"/>
  <c r="AA32" i="207"/>
  <c r="AB32" i="207"/>
  <c r="AA18" i="207"/>
  <c r="AB18" i="207"/>
  <c r="AA61" i="207"/>
  <c r="AB61" i="207"/>
  <c r="AA50" i="207"/>
  <c r="AB50" i="207"/>
  <c r="AA10" i="207"/>
  <c r="AB10" i="207"/>
  <c r="AA33" i="207"/>
  <c r="AB33" i="207"/>
  <c r="AA62" i="207"/>
  <c r="AB62" i="207"/>
  <c r="AA66" i="207"/>
  <c r="AB66" i="207"/>
  <c r="AA34" i="207"/>
  <c r="AB34" i="207"/>
  <c r="AA57" i="207"/>
  <c r="AB57" i="207"/>
  <c r="AA35" i="207"/>
  <c r="AB35" i="207"/>
  <c r="AA36" i="207"/>
  <c r="AB36" i="207"/>
  <c r="AA37" i="207"/>
  <c r="AB37" i="207"/>
  <c r="AA38" i="207"/>
  <c r="AB38" i="207"/>
  <c r="AA63" i="207"/>
  <c r="AB63" i="207"/>
  <c r="AA39" i="207"/>
  <c r="AB39" i="207"/>
  <c r="AA72" i="207"/>
  <c r="AB72" i="207"/>
  <c r="AA40" i="207"/>
  <c r="AB40" i="207"/>
  <c r="AA41" i="207"/>
  <c r="AB41" i="207"/>
  <c r="AA51" i="207"/>
  <c r="AB51" i="207"/>
  <c r="AA42" i="207"/>
  <c r="AB42" i="207"/>
  <c r="AA73" i="207"/>
  <c r="AB73" i="207"/>
  <c r="AA6" i="207"/>
  <c r="AB6" i="207"/>
  <c r="AA74" i="207"/>
  <c r="AB74" i="207"/>
  <c r="AA8" i="207"/>
  <c r="AB8" i="207"/>
  <c r="AA55" i="207"/>
  <c r="AB55" i="207"/>
  <c r="AA67" i="207"/>
  <c r="AB67" i="207"/>
  <c r="AA43" i="207"/>
  <c r="AB43" i="207"/>
  <c r="AA75" i="207"/>
  <c r="AB75" i="207"/>
  <c r="AA52" i="207"/>
  <c r="AB52" i="207"/>
  <c r="AA44" i="207"/>
  <c r="AB44" i="207"/>
  <c r="AA68" i="207"/>
  <c r="AB68" i="207"/>
  <c r="AA21" i="207"/>
  <c r="AB21" i="207"/>
  <c r="AA9" i="207"/>
  <c r="AB9" i="207"/>
  <c r="AA45" i="207"/>
  <c r="AB45" i="207"/>
  <c r="AA46" i="207"/>
  <c r="AB46" i="207"/>
  <c r="AA12" i="207"/>
  <c r="AB12" i="207"/>
  <c r="AA65" i="206"/>
  <c r="AB65" i="206"/>
  <c r="AA66" i="206"/>
  <c r="AB66" i="206"/>
  <c r="AA89" i="206"/>
  <c r="AB89" i="206"/>
  <c r="AA90" i="206"/>
  <c r="AB90" i="206"/>
  <c r="AA91" i="206"/>
  <c r="AB91" i="206"/>
  <c r="AA92" i="206"/>
  <c r="AB92" i="206"/>
  <c r="AA93" i="206"/>
  <c r="AB93" i="206"/>
  <c r="AA94" i="206"/>
  <c r="AB94" i="206"/>
  <c r="AA95" i="206"/>
  <c r="AB95" i="206"/>
  <c r="AA57" i="206"/>
  <c r="AB57" i="206"/>
  <c r="AA96" i="206"/>
  <c r="AB96" i="206"/>
  <c r="AA58" i="206"/>
  <c r="AB58" i="206"/>
  <c r="AA59" i="206"/>
  <c r="AB59" i="206"/>
  <c r="AA97" i="206"/>
  <c r="AB97" i="206"/>
  <c r="AB56" i="206"/>
  <c r="AA56" i="206"/>
  <c r="AA16" i="206"/>
  <c r="AB16" i="206"/>
  <c r="AA73" i="206"/>
  <c r="AB73" i="206"/>
  <c r="AA6" i="206"/>
  <c r="AB6" i="206"/>
  <c r="AA17" i="206"/>
  <c r="AB17" i="206"/>
  <c r="AA18" i="206"/>
  <c r="AB18" i="206"/>
  <c r="AA19" i="206"/>
  <c r="AB19" i="206"/>
  <c r="AA20" i="206"/>
  <c r="AB20" i="206"/>
  <c r="AA129" i="206"/>
  <c r="AB129" i="206"/>
  <c r="AA21" i="206"/>
  <c r="AB21" i="206"/>
  <c r="AA22" i="206"/>
  <c r="AB22" i="206"/>
  <c r="AA108" i="206"/>
  <c r="AB108" i="206"/>
  <c r="AA68" i="206"/>
  <c r="AB68" i="206"/>
  <c r="AA104" i="206"/>
  <c r="AB104" i="206"/>
  <c r="AA71" i="206"/>
  <c r="AB71" i="206"/>
  <c r="AA23" i="206"/>
  <c r="AB23" i="206"/>
  <c r="AA24" i="206"/>
  <c r="AB24" i="206"/>
  <c r="AA25" i="206"/>
  <c r="AB25" i="206"/>
  <c r="AA26" i="206"/>
  <c r="AB26" i="206"/>
  <c r="AA27" i="206"/>
  <c r="AB27" i="206"/>
  <c r="AA28" i="206"/>
  <c r="AB28" i="206"/>
  <c r="AA29" i="206"/>
  <c r="AB29" i="206"/>
  <c r="AA30" i="206"/>
  <c r="AB30" i="206"/>
  <c r="AA31" i="206"/>
  <c r="AB31" i="206"/>
  <c r="AA7" i="206"/>
  <c r="AB7" i="206"/>
  <c r="AA75" i="206"/>
  <c r="AB75" i="206"/>
  <c r="AA32" i="206"/>
  <c r="AB32" i="206"/>
  <c r="AA109" i="206"/>
  <c r="AB109" i="206"/>
  <c r="AA8" i="206"/>
  <c r="AB8" i="206"/>
  <c r="AA33" i="206"/>
  <c r="AB33" i="206"/>
  <c r="AA76" i="206"/>
  <c r="AB76" i="206"/>
  <c r="AA110" i="206"/>
  <c r="AB110" i="206"/>
  <c r="AA101" i="206"/>
  <c r="AB101" i="206"/>
  <c r="AA102" i="206"/>
  <c r="AB102" i="206"/>
  <c r="AA130" i="206"/>
  <c r="AB130" i="206"/>
  <c r="AA123" i="206"/>
  <c r="AB123" i="206"/>
  <c r="AA34" i="206"/>
  <c r="AB34" i="206"/>
  <c r="AA9" i="206"/>
  <c r="AB9" i="206"/>
  <c r="AA35" i="206"/>
  <c r="AB35" i="206"/>
  <c r="AA77" i="206"/>
  <c r="AB77" i="206"/>
  <c r="AA111" i="206"/>
  <c r="AB111" i="206"/>
  <c r="AA131" i="206"/>
  <c r="AA132" i="206" s="1"/>
  <c r="AB131" i="206"/>
  <c r="AA36" i="206"/>
  <c r="AB36" i="206"/>
  <c r="AA112" i="206"/>
  <c r="AB112" i="206"/>
  <c r="AA10" i="206"/>
  <c r="AB10" i="206"/>
  <c r="AA37" i="206"/>
  <c r="AB37" i="206"/>
  <c r="AA38" i="206"/>
  <c r="AB38" i="206"/>
  <c r="AA39" i="206"/>
  <c r="AB39" i="206"/>
  <c r="AA78" i="206"/>
  <c r="AB78" i="206"/>
  <c r="AA60" i="206"/>
  <c r="AB60" i="206"/>
  <c r="AA100" i="206"/>
  <c r="AB100" i="206"/>
  <c r="AA127" i="206"/>
  <c r="AB127" i="206"/>
  <c r="AA40" i="206"/>
  <c r="AB40" i="206"/>
  <c r="AA41" i="206"/>
  <c r="AB41" i="206"/>
  <c r="AA42" i="206"/>
  <c r="AB42" i="206"/>
  <c r="AA43" i="206"/>
  <c r="AB43" i="206"/>
  <c r="AA79" i="206"/>
  <c r="AB79" i="206"/>
  <c r="AA80" i="206"/>
  <c r="AB80" i="206"/>
  <c r="AA103" i="206"/>
  <c r="AB103" i="206"/>
  <c r="AA44" i="206"/>
  <c r="AB44" i="206"/>
  <c r="AA45" i="206"/>
  <c r="AB45" i="206"/>
  <c r="AA124" i="206"/>
  <c r="AB124" i="206"/>
  <c r="AA113" i="206"/>
  <c r="AB113" i="206"/>
  <c r="AA81" i="206"/>
  <c r="AB81" i="206"/>
  <c r="AA82" i="206"/>
  <c r="AB82" i="206"/>
  <c r="AA83" i="206"/>
  <c r="AB83" i="206"/>
  <c r="AA84" i="206"/>
  <c r="AB84" i="206"/>
  <c r="AA61" i="206"/>
  <c r="AB61" i="206"/>
  <c r="AA105" i="206"/>
  <c r="AB105" i="206"/>
  <c r="AA106" i="206"/>
  <c r="AB106" i="206"/>
  <c r="AA114" i="206"/>
  <c r="AB114" i="206"/>
  <c r="AA115" i="206"/>
  <c r="AB115" i="206"/>
  <c r="AA125" i="206"/>
  <c r="AB125" i="206"/>
  <c r="AA46" i="206"/>
  <c r="AB46" i="206"/>
  <c r="AA118" i="206"/>
  <c r="AB118" i="206"/>
  <c r="AA69" i="206"/>
  <c r="AB69" i="206"/>
  <c r="AA85" i="206"/>
  <c r="AB85" i="206"/>
  <c r="AA107" i="206"/>
  <c r="AB107" i="206"/>
  <c r="AA119" i="206"/>
  <c r="AB119" i="206"/>
  <c r="AA99" i="206"/>
  <c r="AB99" i="206"/>
  <c r="AA121" i="206"/>
  <c r="AB121" i="206"/>
  <c r="AA47" i="206"/>
  <c r="AB47" i="206"/>
  <c r="AA48" i="206"/>
  <c r="AB48" i="206"/>
  <c r="AA62" i="206"/>
  <c r="AB62" i="206"/>
  <c r="AA49" i="206"/>
  <c r="AB49" i="206"/>
  <c r="AA50" i="206"/>
  <c r="AB50" i="206"/>
  <c r="AA51" i="206"/>
  <c r="AB51" i="206"/>
  <c r="AA11" i="206"/>
  <c r="AB11" i="206"/>
  <c r="AA63" i="206"/>
  <c r="AB63" i="206"/>
  <c r="AA52" i="206"/>
  <c r="AB52" i="206"/>
  <c r="AA53" i="206"/>
  <c r="AB53" i="206"/>
  <c r="AA12" i="206"/>
  <c r="AB12" i="206"/>
  <c r="AA13" i="206"/>
  <c r="AB13" i="206"/>
  <c r="AA86" i="206"/>
  <c r="AB86" i="206"/>
  <c r="AA54" i="206"/>
  <c r="AB54" i="206"/>
  <c r="AA87" i="206"/>
  <c r="AB87" i="206"/>
  <c r="AA64" i="206"/>
  <c r="AB64" i="206"/>
  <c r="AA55" i="206"/>
  <c r="AB55" i="206"/>
  <c r="AA88" i="206"/>
  <c r="AB88" i="206"/>
  <c r="AA116" i="206"/>
  <c r="AB116" i="206"/>
  <c r="AA15" i="206"/>
  <c r="AB15" i="206"/>
  <c r="AA84" i="205"/>
  <c r="AB84" i="205"/>
  <c r="AA50" i="205"/>
  <c r="AB50" i="205"/>
  <c r="AA51" i="205"/>
  <c r="AB51" i="205"/>
  <c r="AA52" i="205"/>
  <c r="AB52" i="205"/>
  <c r="AA83" i="205"/>
  <c r="AB83" i="205"/>
  <c r="AA7" i="205"/>
  <c r="AB7" i="205"/>
  <c r="AA53" i="205"/>
  <c r="AB53" i="205"/>
  <c r="AA54" i="205"/>
  <c r="AB54" i="205"/>
  <c r="AA8" i="205"/>
  <c r="AB8" i="205"/>
  <c r="AA55" i="205"/>
  <c r="AB55" i="205"/>
  <c r="AA9" i="205"/>
  <c r="AB9" i="205"/>
  <c r="AA85" i="205"/>
  <c r="AB85" i="205"/>
  <c r="AA56" i="205"/>
  <c r="AB56" i="205"/>
  <c r="AA57" i="205"/>
  <c r="AB57" i="205"/>
  <c r="AA58" i="205"/>
  <c r="AB58" i="205"/>
  <c r="AA10" i="205"/>
  <c r="AB10" i="205"/>
  <c r="AA11" i="205"/>
  <c r="AB11" i="205"/>
  <c r="AA12" i="205"/>
  <c r="AB12" i="205"/>
  <c r="AA59" i="205"/>
  <c r="AB59" i="205"/>
  <c r="AA13" i="205"/>
  <c r="AB13" i="205"/>
  <c r="AA60" i="205"/>
  <c r="AB60" i="205"/>
  <c r="AA14" i="205"/>
  <c r="AB14" i="205"/>
  <c r="AA88" i="205"/>
  <c r="AB88" i="205"/>
  <c r="AA15" i="205"/>
  <c r="AB15" i="205"/>
  <c r="AA86" i="205"/>
  <c r="AB86" i="205"/>
  <c r="AA16" i="205"/>
  <c r="AB16" i="205"/>
  <c r="AA61" i="205"/>
  <c r="AB61" i="205"/>
  <c r="AA62" i="205"/>
  <c r="AB62" i="205"/>
  <c r="AA63" i="205"/>
  <c r="AB63" i="205"/>
  <c r="AA17" i="205"/>
  <c r="AB17" i="205"/>
  <c r="AA18" i="205"/>
  <c r="AB18" i="205"/>
  <c r="AA19" i="205"/>
  <c r="AB19" i="205"/>
  <c r="AA64" i="205"/>
  <c r="AB64" i="205"/>
  <c r="AA20" i="205"/>
  <c r="AB20" i="205"/>
  <c r="AA21" i="205"/>
  <c r="AB21" i="205"/>
  <c r="AA22" i="205"/>
  <c r="AB22" i="205"/>
  <c r="AA23" i="205"/>
  <c r="AB23" i="205"/>
  <c r="AA65" i="205"/>
  <c r="AB65" i="205"/>
  <c r="AA66" i="205"/>
  <c r="AB66" i="205"/>
  <c r="AA67" i="205"/>
  <c r="AB67" i="205"/>
  <c r="AA24" i="205"/>
  <c r="AB24" i="205"/>
  <c r="AA25" i="205"/>
  <c r="AB25" i="205"/>
  <c r="AA26" i="205"/>
  <c r="AB26" i="205"/>
  <c r="AA27" i="205"/>
  <c r="AB27" i="205"/>
  <c r="AA28" i="205"/>
  <c r="AB28" i="205"/>
  <c r="AA29" i="205"/>
  <c r="AB29" i="205"/>
  <c r="AA30" i="205"/>
  <c r="AB30" i="205"/>
  <c r="AA31" i="205"/>
  <c r="AB31" i="205"/>
  <c r="AA68" i="205"/>
  <c r="AB68" i="205"/>
  <c r="AA32" i="205"/>
  <c r="AB32" i="205"/>
  <c r="AA69" i="205"/>
  <c r="AB69" i="205"/>
  <c r="AA33" i="205"/>
  <c r="AB33" i="205"/>
  <c r="AA34" i="205"/>
  <c r="AB34" i="205"/>
  <c r="AA70" i="205"/>
  <c r="AB70" i="205"/>
  <c r="AA35" i="205"/>
  <c r="AB35" i="205"/>
  <c r="AA82" i="205"/>
  <c r="AB82" i="205"/>
  <c r="AA36" i="205"/>
  <c r="AB36" i="205"/>
  <c r="AA37" i="205"/>
  <c r="AB37" i="205"/>
  <c r="AA71" i="205"/>
  <c r="AB71" i="205"/>
  <c r="AA72" i="205"/>
  <c r="AB72" i="205"/>
  <c r="AA73" i="205"/>
  <c r="AB73" i="205"/>
  <c r="AA38" i="205"/>
  <c r="AB38" i="205"/>
  <c r="AA74" i="205"/>
  <c r="AB74" i="205"/>
  <c r="AA75" i="205"/>
  <c r="AB75" i="205"/>
  <c r="AA76" i="205"/>
  <c r="AB76" i="205"/>
  <c r="AA39" i="205"/>
  <c r="AB39" i="205"/>
  <c r="AA40" i="205"/>
  <c r="AB40" i="205"/>
  <c r="AA41" i="205"/>
  <c r="AB41" i="205"/>
  <c r="AA42" i="205"/>
  <c r="AB42" i="205"/>
  <c r="AA43" i="205"/>
  <c r="AB43" i="205"/>
  <c r="AA77" i="205"/>
  <c r="AB77" i="205"/>
  <c r="AA44" i="205"/>
  <c r="AB44" i="205"/>
  <c r="AA78" i="205"/>
  <c r="AB78" i="205"/>
  <c r="AA79" i="205"/>
  <c r="AB79" i="205"/>
  <c r="AA45" i="205"/>
  <c r="AB45" i="205"/>
  <c r="AA80" i="205"/>
  <c r="AB80" i="205"/>
  <c r="AA46" i="205"/>
  <c r="AB46" i="205"/>
  <c r="AA47" i="205"/>
  <c r="AB47" i="205"/>
  <c r="AA81" i="205"/>
  <c r="AB81" i="205"/>
  <c r="AA48" i="205"/>
  <c r="AB48" i="205"/>
  <c r="AA6" i="205"/>
  <c r="AB6" i="205"/>
  <c r="E22" i="207"/>
  <c r="G22" i="207"/>
  <c r="H22" i="207"/>
  <c r="I22" i="207"/>
  <c r="J22" i="207"/>
  <c r="N22" i="207"/>
  <c r="Q22" i="207"/>
  <c r="R22" i="207"/>
  <c r="V22" i="207"/>
  <c r="X22" i="207"/>
  <c r="Y22" i="207"/>
  <c r="Z22" i="207"/>
  <c r="E59" i="207"/>
  <c r="G59" i="207"/>
  <c r="H59" i="207"/>
  <c r="I59" i="207"/>
  <c r="J59" i="207"/>
  <c r="N59" i="207"/>
  <c r="Q59" i="207"/>
  <c r="R59" i="207"/>
  <c r="V59" i="207"/>
  <c r="X59" i="207"/>
  <c r="Y59" i="207"/>
  <c r="Z59" i="207"/>
  <c r="E70" i="207"/>
  <c r="G70" i="207"/>
  <c r="H70" i="207"/>
  <c r="I70" i="207"/>
  <c r="J70" i="207"/>
  <c r="N70" i="207"/>
  <c r="Q70" i="207"/>
  <c r="R70" i="207"/>
  <c r="V70" i="207"/>
  <c r="X70" i="207"/>
  <c r="Y70" i="207"/>
  <c r="Z70" i="207"/>
  <c r="E71" i="207"/>
  <c r="G71" i="207"/>
  <c r="H71" i="207"/>
  <c r="I71" i="207"/>
  <c r="J71" i="207"/>
  <c r="N71" i="207"/>
  <c r="Q71" i="207"/>
  <c r="R71" i="207"/>
  <c r="V71" i="207"/>
  <c r="X71" i="207"/>
  <c r="Y71" i="207"/>
  <c r="Z71" i="207"/>
  <c r="D24" i="207"/>
  <c r="E24" i="207"/>
  <c r="G24" i="207"/>
  <c r="H24" i="207"/>
  <c r="I24" i="207"/>
  <c r="J24" i="207"/>
  <c r="N24" i="207"/>
  <c r="Q24" i="207"/>
  <c r="R24" i="207"/>
  <c r="V24" i="207"/>
  <c r="X24" i="207"/>
  <c r="Y24" i="207"/>
  <c r="Z24" i="207"/>
  <c r="D25" i="207"/>
  <c r="E25" i="207"/>
  <c r="G25" i="207"/>
  <c r="H25" i="207"/>
  <c r="I25" i="207"/>
  <c r="J25" i="207"/>
  <c r="N25" i="207"/>
  <c r="Q25" i="207"/>
  <c r="R25" i="207"/>
  <c r="W25" i="207"/>
  <c r="X25" i="207"/>
  <c r="Y25" i="207"/>
  <c r="Z25" i="207"/>
  <c r="D47" i="207"/>
  <c r="E47" i="207"/>
  <c r="G47" i="207"/>
  <c r="H47" i="207"/>
  <c r="I47" i="207"/>
  <c r="J47" i="207"/>
  <c r="N47" i="207"/>
  <c r="Q47" i="207"/>
  <c r="R47" i="207"/>
  <c r="V47" i="207"/>
  <c r="X47" i="207"/>
  <c r="Y47" i="207"/>
  <c r="Z47" i="207"/>
  <c r="E14" i="207"/>
  <c r="G14" i="207"/>
  <c r="H14" i="207"/>
  <c r="I14" i="207"/>
  <c r="J14" i="207"/>
  <c r="N14" i="207"/>
  <c r="Q14" i="207"/>
  <c r="R14" i="207"/>
  <c r="V14" i="207"/>
  <c r="X14" i="207"/>
  <c r="Y14" i="207"/>
  <c r="Z14" i="207"/>
  <c r="E19" i="207"/>
  <c r="G19" i="207"/>
  <c r="H19" i="207"/>
  <c r="I19" i="207"/>
  <c r="J19" i="207"/>
  <c r="N19" i="207"/>
  <c r="Q19" i="207"/>
  <c r="R19" i="207"/>
  <c r="V19" i="207"/>
  <c r="X19" i="207"/>
  <c r="Y19" i="207"/>
  <c r="Z19" i="207"/>
  <c r="D65" i="207"/>
  <c r="E65" i="207"/>
  <c r="G65" i="207"/>
  <c r="H65" i="207"/>
  <c r="I65" i="207"/>
  <c r="J65" i="207"/>
  <c r="N65" i="207"/>
  <c r="Q65" i="207"/>
  <c r="R65" i="207"/>
  <c r="V65" i="207"/>
  <c r="X65" i="207"/>
  <c r="Y65" i="207"/>
  <c r="Z65" i="207"/>
  <c r="D26" i="207"/>
  <c r="E26" i="207"/>
  <c r="G26" i="207"/>
  <c r="H26" i="207"/>
  <c r="I26" i="207"/>
  <c r="J26" i="207"/>
  <c r="N26" i="207"/>
  <c r="Q26" i="207"/>
  <c r="R26" i="207"/>
  <c r="V26" i="207"/>
  <c r="X26" i="207"/>
  <c r="Y26" i="207"/>
  <c r="Z26" i="207"/>
  <c r="D27" i="207"/>
  <c r="E27" i="207"/>
  <c r="G27" i="207"/>
  <c r="H27" i="207"/>
  <c r="I27" i="207"/>
  <c r="J27" i="207"/>
  <c r="N27" i="207"/>
  <c r="Q27" i="207"/>
  <c r="R27" i="207"/>
  <c r="V27" i="207"/>
  <c r="X27" i="207"/>
  <c r="Y27" i="207"/>
  <c r="Z27" i="207"/>
  <c r="D28" i="207"/>
  <c r="E28" i="207"/>
  <c r="G28" i="207"/>
  <c r="H28" i="207"/>
  <c r="I28" i="207"/>
  <c r="J28" i="207"/>
  <c r="N28" i="207"/>
  <c r="Q28" i="207"/>
  <c r="R28" i="207"/>
  <c r="V28" i="207"/>
  <c r="X28" i="207"/>
  <c r="Y28" i="207"/>
  <c r="Z28" i="207"/>
  <c r="D20" i="207"/>
  <c r="E20" i="207"/>
  <c r="G20" i="207"/>
  <c r="H20" i="207"/>
  <c r="I20" i="207"/>
  <c r="J20" i="207"/>
  <c r="N20" i="207"/>
  <c r="Q20" i="207"/>
  <c r="R20" i="207"/>
  <c r="V20" i="207"/>
  <c r="X20" i="207"/>
  <c r="Y20" i="207"/>
  <c r="Z20" i="207"/>
  <c r="D60" i="207"/>
  <c r="E60" i="207"/>
  <c r="G60" i="207"/>
  <c r="H60" i="207"/>
  <c r="I60" i="207"/>
  <c r="J60" i="207"/>
  <c r="N60" i="207"/>
  <c r="Q60" i="207"/>
  <c r="R60" i="207"/>
  <c r="V60" i="207"/>
  <c r="X60" i="207"/>
  <c r="Y60" i="207"/>
  <c r="Z60" i="207"/>
  <c r="D15" i="207"/>
  <c r="E15" i="207"/>
  <c r="G15" i="207"/>
  <c r="H15" i="207"/>
  <c r="I15" i="207"/>
  <c r="J15" i="207"/>
  <c r="N15" i="207"/>
  <c r="Q15" i="207"/>
  <c r="R15" i="207"/>
  <c r="W15" i="207"/>
  <c r="X15" i="207"/>
  <c r="Y15" i="207"/>
  <c r="Z15" i="207"/>
  <c r="E16" i="207"/>
  <c r="G16" i="207"/>
  <c r="H16" i="207"/>
  <c r="I16" i="207"/>
  <c r="J16" i="207"/>
  <c r="N16" i="207"/>
  <c r="Q16" i="207"/>
  <c r="R16" i="207"/>
  <c r="V16" i="207"/>
  <c r="X16" i="207"/>
  <c r="Y16" i="207"/>
  <c r="Z16" i="207"/>
  <c r="D17" i="207"/>
  <c r="E17" i="207"/>
  <c r="G17" i="207"/>
  <c r="H17" i="207"/>
  <c r="I17" i="207"/>
  <c r="J17" i="207"/>
  <c r="N17" i="207"/>
  <c r="Q17" i="207"/>
  <c r="R17" i="207"/>
  <c r="V17" i="207"/>
  <c r="X17" i="207"/>
  <c r="Y17" i="207"/>
  <c r="Z17" i="207"/>
  <c r="D29" i="207"/>
  <c r="E29" i="207"/>
  <c r="G29" i="207"/>
  <c r="H29" i="207"/>
  <c r="I29" i="207"/>
  <c r="J29" i="207"/>
  <c r="N29" i="207"/>
  <c r="Q29" i="207"/>
  <c r="R29" i="207"/>
  <c r="V29" i="207"/>
  <c r="X29" i="207"/>
  <c r="Y29" i="207"/>
  <c r="Z29" i="207"/>
  <c r="D49" i="207"/>
  <c r="E49" i="207"/>
  <c r="G49" i="207"/>
  <c r="H49" i="207"/>
  <c r="I49" i="207"/>
  <c r="J49" i="207"/>
  <c r="N49" i="207"/>
  <c r="Q49" i="207"/>
  <c r="R49" i="207"/>
  <c r="V49" i="207"/>
  <c r="X49" i="207"/>
  <c r="Y49" i="207"/>
  <c r="Z49" i="207"/>
  <c r="D30" i="207"/>
  <c r="E30" i="207"/>
  <c r="G30" i="207"/>
  <c r="H30" i="207"/>
  <c r="I30" i="207"/>
  <c r="J30" i="207"/>
  <c r="N30" i="207"/>
  <c r="Q30" i="207"/>
  <c r="R30" i="207"/>
  <c r="V30" i="207"/>
  <c r="X30" i="207"/>
  <c r="Y30" i="207"/>
  <c r="Z30" i="207"/>
  <c r="D31" i="207"/>
  <c r="E31" i="207"/>
  <c r="G31" i="207"/>
  <c r="H31" i="207"/>
  <c r="I31" i="207"/>
  <c r="J31" i="207"/>
  <c r="N31" i="207"/>
  <c r="Q31" i="207"/>
  <c r="R31" i="207"/>
  <c r="W31" i="207"/>
  <c r="X31" i="207"/>
  <c r="Y31" i="207"/>
  <c r="Z31" i="207"/>
  <c r="D32" i="207"/>
  <c r="E32" i="207"/>
  <c r="G32" i="207"/>
  <c r="H32" i="207"/>
  <c r="I32" i="207"/>
  <c r="J32" i="207"/>
  <c r="N32" i="207"/>
  <c r="Q32" i="207"/>
  <c r="R32" i="207"/>
  <c r="V32" i="207"/>
  <c r="X32" i="207"/>
  <c r="Y32" i="207"/>
  <c r="Z32" i="207"/>
  <c r="D18" i="207"/>
  <c r="E18" i="207"/>
  <c r="G18" i="207"/>
  <c r="H18" i="207"/>
  <c r="I18" i="207"/>
  <c r="J18" i="207"/>
  <c r="Q18" i="207"/>
  <c r="R18" i="207"/>
  <c r="W18" i="207"/>
  <c r="X18" i="207"/>
  <c r="Y18" i="207"/>
  <c r="Z18" i="207"/>
  <c r="D61" i="207"/>
  <c r="E61" i="207"/>
  <c r="G61" i="207"/>
  <c r="H61" i="207"/>
  <c r="I61" i="207"/>
  <c r="J61" i="207"/>
  <c r="N61" i="207"/>
  <c r="Q61" i="207"/>
  <c r="R61" i="207"/>
  <c r="V61" i="207"/>
  <c r="X61" i="207"/>
  <c r="Y61" i="207"/>
  <c r="Z61" i="207"/>
  <c r="D50" i="207"/>
  <c r="E50" i="207"/>
  <c r="G50" i="207"/>
  <c r="H50" i="207"/>
  <c r="I50" i="207"/>
  <c r="J50" i="207"/>
  <c r="N50" i="207"/>
  <c r="Q50" i="207"/>
  <c r="R50" i="207"/>
  <c r="V50" i="207"/>
  <c r="X50" i="207"/>
  <c r="Y50" i="207"/>
  <c r="Z50" i="207"/>
  <c r="D10" i="207"/>
  <c r="E10" i="207"/>
  <c r="G10" i="207"/>
  <c r="H10" i="207"/>
  <c r="I10" i="207"/>
  <c r="J10" i="207"/>
  <c r="N10" i="207"/>
  <c r="Q10" i="207"/>
  <c r="R10" i="207"/>
  <c r="W10" i="207"/>
  <c r="X10" i="207"/>
  <c r="Y10" i="207"/>
  <c r="Z10" i="207"/>
  <c r="D33" i="207"/>
  <c r="E33" i="207"/>
  <c r="G33" i="207"/>
  <c r="H33" i="207"/>
  <c r="I33" i="207"/>
  <c r="J33" i="207"/>
  <c r="N33" i="207"/>
  <c r="Q33" i="207"/>
  <c r="R33" i="207"/>
  <c r="V33" i="207"/>
  <c r="X33" i="207"/>
  <c r="Y33" i="207"/>
  <c r="Z33" i="207"/>
  <c r="D62" i="207"/>
  <c r="E62" i="207"/>
  <c r="G62" i="207"/>
  <c r="H62" i="207"/>
  <c r="I62" i="207"/>
  <c r="J62" i="207"/>
  <c r="N62" i="207"/>
  <c r="Q62" i="207"/>
  <c r="R62" i="207"/>
  <c r="W62" i="207"/>
  <c r="X62" i="207"/>
  <c r="Y62" i="207"/>
  <c r="Z62" i="207"/>
  <c r="D66" i="207"/>
  <c r="E66" i="207"/>
  <c r="G66" i="207"/>
  <c r="H66" i="207"/>
  <c r="I66" i="207"/>
  <c r="J66" i="207"/>
  <c r="N66" i="207"/>
  <c r="Q66" i="207"/>
  <c r="R66" i="207"/>
  <c r="V66" i="207"/>
  <c r="X66" i="207"/>
  <c r="Y66" i="207"/>
  <c r="Z66" i="207"/>
  <c r="D34" i="207"/>
  <c r="E34" i="207"/>
  <c r="G34" i="207"/>
  <c r="H34" i="207"/>
  <c r="I34" i="207"/>
  <c r="J34" i="207"/>
  <c r="N34" i="207"/>
  <c r="Q34" i="207"/>
  <c r="R34" i="207"/>
  <c r="W34" i="207"/>
  <c r="X34" i="207"/>
  <c r="Y34" i="207"/>
  <c r="Z34" i="207"/>
  <c r="E57" i="207"/>
  <c r="E58" i="207" s="1"/>
  <c r="C16" i="97" s="1"/>
  <c r="G57" i="207"/>
  <c r="G58" i="207" s="1"/>
  <c r="E16" i="97" s="1"/>
  <c r="H57" i="207"/>
  <c r="H58" i="207" s="1"/>
  <c r="F16" i="97" s="1"/>
  <c r="I57" i="207"/>
  <c r="I58" i="207" s="1"/>
  <c r="G16" i="97" s="1"/>
  <c r="J57" i="207"/>
  <c r="J58" i="207" s="1"/>
  <c r="H16" i="97" s="1"/>
  <c r="N57" i="207"/>
  <c r="N58" i="207" s="1"/>
  <c r="L16" i="97" s="1"/>
  <c r="Q57" i="207"/>
  <c r="Q58" i="207" s="1"/>
  <c r="O16" i="97" s="1"/>
  <c r="R57" i="207"/>
  <c r="R58" i="207" s="1"/>
  <c r="P16" i="97" s="1"/>
  <c r="V57" i="207"/>
  <c r="V58" i="207" s="1"/>
  <c r="T16" i="97" s="1"/>
  <c r="X57" i="207"/>
  <c r="X58" i="207" s="1"/>
  <c r="V16" i="97" s="1"/>
  <c r="Y57" i="207"/>
  <c r="Y58" i="207" s="1"/>
  <c r="W16" i="97" s="1"/>
  <c r="Z57" i="207"/>
  <c r="Z58" i="207" s="1"/>
  <c r="X16" i="97" s="1"/>
  <c r="E35" i="207"/>
  <c r="G35" i="207"/>
  <c r="H35" i="207"/>
  <c r="I35" i="207"/>
  <c r="J35" i="207"/>
  <c r="Q35" i="207"/>
  <c r="R35" i="207"/>
  <c r="V35" i="207"/>
  <c r="X35" i="207"/>
  <c r="Y35" i="207"/>
  <c r="Z35" i="207"/>
  <c r="D36" i="207"/>
  <c r="E36" i="207"/>
  <c r="G36" i="207"/>
  <c r="H36" i="207"/>
  <c r="I36" i="207"/>
  <c r="J36" i="207"/>
  <c r="N36" i="207"/>
  <c r="Q36" i="207"/>
  <c r="R36" i="207"/>
  <c r="W36" i="207"/>
  <c r="X36" i="207"/>
  <c r="Y36" i="207"/>
  <c r="Z36" i="207"/>
  <c r="D37" i="207"/>
  <c r="E37" i="207"/>
  <c r="G37" i="207"/>
  <c r="H37" i="207"/>
  <c r="I37" i="207"/>
  <c r="J37" i="207"/>
  <c r="N37" i="207"/>
  <c r="Q37" i="207"/>
  <c r="R37" i="207"/>
  <c r="V37" i="207"/>
  <c r="X37" i="207"/>
  <c r="Y37" i="207"/>
  <c r="Z37" i="207"/>
  <c r="E38" i="207"/>
  <c r="G38" i="207"/>
  <c r="H38" i="207"/>
  <c r="I38" i="207"/>
  <c r="J38" i="207"/>
  <c r="N38" i="207"/>
  <c r="Q38" i="207"/>
  <c r="R38" i="207"/>
  <c r="V38" i="207"/>
  <c r="X38" i="207"/>
  <c r="Y38" i="207"/>
  <c r="Z38" i="207"/>
  <c r="D63" i="207"/>
  <c r="E63" i="207"/>
  <c r="G63" i="207"/>
  <c r="H63" i="207"/>
  <c r="I63" i="207"/>
  <c r="J63" i="207"/>
  <c r="N63" i="207"/>
  <c r="Q63" i="207"/>
  <c r="R63" i="207"/>
  <c r="V63" i="207"/>
  <c r="X63" i="207"/>
  <c r="Y63" i="207"/>
  <c r="Z63" i="207"/>
  <c r="D39" i="207"/>
  <c r="E39" i="207"/>
  <c r="G39" i="207"/>
  <c r="H39" i="207"/>
  <c r="I39" i="207"/>
  <c r="J39" i="207"/>
  <c r="N39" i="207"/>
  <c r="Q39" i="207"/>
  <c r="R39" i="207"/>
  <c r="W39" i="207"/>
  <c r="X39" i="207"/>
  <c r="Y39" i="207"/>
  <c r="Z39" i="207"/>
  <c r="D72" i="207"/>
  <c r="E72" i="207"/>
  <c r="G72" i="207"/>
  <c r="H72" i="207"/>
  <c r="I72" i="207"/>
  <c r="J72" i="207"/>
  <c r="N72" i="207"/>
  <c r="Q72" i="207"/>
  <c r="R72" i="207"/>
  <c r="V72" i="207"/>
  <c r="X72" i="207"/>
  <c r="Y72" i="207"/>
  <c r="Z72" i="207"/>
  <c r="D40" i="207"/>
  <c r="E40" i="207"/>
  <c r="G40" i="207"/>
  <c r="H40" i="207"/>
  <c r="I40" i="207"/>
  <c r="J40" i="207"/>
  <c r="N40" i="207"/>
  <c r="Q40" i="207"/>
  <c r="R40" i="207"/>
  <c r="V40" i="207"/>
  <c r="X40" i="207"/>
  <c r="Y40" i="207"/>
  <c r="Z40" i="207"/>
  <c r="D41" i="207"/>
  <c r="E41" i="207"/>
  <c r="G41" i="207"/>
  <c r="H41" i="207"/>
  <c r="I41" i="207"/>
  <c r="J41" i="207"/>
  <c r="N41" i="207"/>
  <c r="Q41" i="207"/>
  <c r="R41" i="207"/>
  <c r="V41" i="207"/>
  <c r="X41" i="207"/>
  <c r="Y41" i="207"/>
  <c r="Z41" i="207"/>
  <c r="D51" i="207"/>
  <c r="E51" i="207"/>
  <c r="G51" i="207"/>
  <c r="H51" i="207"/>
  <c r="I51" i="207"/>
  <c r="J51" i="207"/>
  <c r="N51" i="207"/>
  <c r="Q51" i="207"/>
  <c r="R51" i="207"/>
  <c r="V51" i="207"/>
  <c r="X51" i="207"/>
  <c r="Y51" i="207"/>
  <c r="Z51" i="207"/>
  <c r="D42" i="207"/>
  <c r="E42" i="207"/>
  <c r="G42" i="207"/>
  <c r="H42" i="207"/>
  <c r="I42" i="207"/>
  <c r="J42" i="207"/>
  <c r="Q42" i="207"/>
  <c r="R42" i="207"/>
  <c r="V42" i="207"/>
  <c r="X42" i="207"/>
  <c r="Y42" i="207"/>
  <c r="Z42" i="207"/>
  <c r="D73" i="207"/>
  <c r="E73" i="207"/>
  <c r="G73" i="207"/>
  <c r="H73" i="207"/>
  <c r="I73" i="207"/>
  <c r="J73" i="207"/>
  <c r="N73" i="207"/>
  <c r="Q73" i="207"/>
  <c r="R73" i="207"/>
  <c r="X73" i="207"/>
  <c r="Y73" i="207"/>
  <c r="Z73" i="207"/>
  <c r="D6" i="207"/>
  <c r="B6" i="97" s="1"/>
  <c r="E6" i="207"/>
  <c r="E7" i="207" s="1"/>
  <c r="G6" i="207"/>
  <c r="G7" i="207" s="1"/>
  <c r="H6" i="207"/>
  <c r="H7" i="207" s="1"/>
  <c r="I6" i="207"/>
  <c r="I7" i="207" s="1"/>
  <c r="J6" i="207"/>
  <c r="J7" i="207" s="1"/>
  <c r="N6" i="207"/>
  <c r="N7" i="207" s="1"/>
  <c r="Q6" i="207"/>
  <c r="Q7" i="207" s="1"/>
  <c r="R6" i="207"/>
  <c r="R7" i="207" s="1"/>
  <c r="V6" i="207"/>
  <c r="V7" i="207" s="1"/>
  <c r="X6" i="207"/>
  <c r="X7" i="207" s="1"/>
  <c r="Y6" i="207"/>
  <c r="Y7" i="207" s="1"/>
  <c r="Z6" i="207"/>
  <c r="Z7" i="207" s="1"/>
  <c r="D74" i="207"/>
  <c r="E74" i="207"/>
  <c r="G74" i="207"/>
  <c r="H74" i="207"/>
  <c r="I74" i="207"/>
  <c r="J74" i="207"/>
  <c r="N74" i="207"/>
  <c r="Q74" i="207"/>
  <c r="R74" i="207"/>
  <c r="X74" i="207"/>
  <c r="Y74" i="207"/>
  <c r="Z74" i="207"/>
  <c r="D8" i="207"/>
  <c r="E8" i="207"/>
  <c r="G8" i="207"/>
  <c r="H8" i="207"/>
  <c r="I8" i="207"/>
  <c r="J8" i="207"/>
  <c r="N8" i="207"/>
  <c r="Q8" i="207"/>
  <c r="R8" i="207"/>
  <c r="V8" i="207"/>
  <c r="X8" i="207"/>
  <c r="Y8" i="207"/>
  <c r="Z8" i="207"/>
  <c r="D55" i="207"/>
  <c r="B13" i="97" s="1"/>
  <c r="E55" i="207"/>
  <c r="E56" i="207" s="1"/>
  <c r="C13" i="97" s="1"/>
  <c r="G55" i="207"/>
  <c r="G56" i="207" s="1"/>
  <c r="E13" i="97" s="1"/>
  <c r="H55" i="207"/>
  <c r="H56" i="207" s="1"/>
  <c r="F13" i="97" s="1"/>
  <c r="I55" i="207"/>
  <c r="I56" i="207" s="1"/>
  <c r="G13" i="97" s="1"/>
  <c r="J55" i="207"/>
  <c r="J56" i="207" s="1"/>
  <c r="H13" i="97" s="1"/>
  <c r="N55" i="207"/>
  <c r="N56" i="207" s="1"/>
  <c r="Q55" i="207"/>
  <c r="Q56" i="207" s="1"/>
  <c r="O13" i="97" s="1"/>
  <c r="R55" i="207"/>
  <c r="R56" i="207" s="1"/>
  <c r="P13" i="97" s="1"/>
  <c r="X55" i="207"/>
  <c r="X56" i="207" s="1"/>
  <c r="V13" i="97" s="1"/>
  <c r="Y55" i="207"/>
  <c r="Y56" i="207" s="1"/>
  <c r="W13" i="97" s="1"/>
  <c r="Z55" i="207"/>
  <c r="Z56" i="207" s="1"/>
  <c r="X13" i="97" s="1"/>
  <c r="D67" i="207"/>
  <c r="E67" i="207"/>
  <c r="G67" i="207"/>
  <c r="H67" i="207"/>
  <c r="I67" i="207"/>
  <c r="J67" i="207"/>
  <c r="N67" i="207"/>
  <c r="Q67" i="207"/>
  <c r="R67" i="207"/>
  <c r="X67" i="207"/>
  <c r="Y67" i="207"/>
  <c r="Z67" i="207"/>
  <c r="D43" i="207"/>
  <c r="E43" i="207"/>
  <c r="G43" i="207"/>
  <c r="H43" i="207"/>
  <c r="I43" i="207"/>
  <c r="J43" i="207"/>
  <c r="N43" i="207"/>
  <c r="Q43" i="207"/>
  <c r="R43" i="207"/>
  <c r="X43" i="207"/>
  <c r="Y43" i="207"/>
  <c r="Z43" i="207"/>
  <c r="D75" i="207"/>
  <c r="E75" i="207"/>
  <c r="G75" i="207"/>
  <c r="H75" i="207"/>
  <c r="I75" i="207"/>
  <c r="J75" i="207"/>
  <c r="N75" i="207"/>
  <c r="Q75" i="207"/>
  <c r="R75" i="207"/>
  <c r="X75" i="207"/>
  <c r="Y75" i="207"/>
  <c r="Z75" i="207"/>
  <c r="D52" i="207"/>
  <c r="E52" i="207"/>
  <c r="G52" i="207"/>
  <c r="H52" i="207"/>
  <c r="I52" i="207"/>
  <c r="J52" i="207"/>
  <c r="N52" i="207"/>
  <c r="Q52" i="207"/>
  <c r="R52" i="207"/>
  <c r="X52" i="207"/>
  <c r="Y52" i="207"/>
  <c r="Z52" i="207"/>
  <c r="D44" i="207"/>
  <c r="E44" i="207"/>
  <c r="G44" i="207"/>
  <c r="H44" i="207"/>
  <c r="I44" i="207"/>
  <c r="J44" i="207"/>
  <c r="N44" i="207"/>
  <c r="Q44" i="207"/>
  <c r="R44" i="207"/>
  <c r="X44" i="207"/>
  <c r="Y44" i="207"/>
  <c r="Z44" i="207"/>
  <c r="D68" i="207"/>
  <c r="E68" i="207"/>
  <c r="G68" i="207"/>
  <c r="H68" i="207"/>
  <c r="I68" i="207"/>
  <c r="J68" i="207"/>
  <c r="N68" i="207"/>
  <c r="Q68" i="207"/>
  <c r="R68" i="207"/>
  <c r="W68" i="207"/>
  <c r="X68" i="207"/>
  <c r="Y68" i="207"/>
  <c r="Z68" i="207"/>
  <c r="D21" i="207"/>
  <c r="E21" i="207"/>
  <c r="G21" i="207"/>
  <c r="H21" i="207"/>
  <c r="I21" i="207"/>
  <c r="J21" i="207"/>
  <c r="N21" i="207"/>
  <c r="Q21" i="207"/>
  <c r="R21" i="207"/>
  <c r="W21" i="207"/>
  <c r="X21" i="207"/>
  <c r="Y21" i="207"/>
  <c r="Z21" i="207"/>
  <c r="D9" i="207"/>
  <c r="E9" i="207"/>
  <c r="G9" i="207"/>
  <c r="H9" i="207"/>
  <c r="I9" i="207"/>
  <c r="J9" i="207"/>
  <c r="Q9" i="207"/>
  <c r="R9" i="207"/>
  <c r="W9" i="207"/>
  <c r="X9" i="207"/>
  <c r="Y9" i="207"/>
  <c r="Z9" i="207"/>
  <c r="E45" i="207"/>
  <c r="G45" i="207"/>
  <c r="H45" i="207"/>
  <c r="I45" i="207"/>
  <c r="J45" i="207"/>
  <c r="Q45" i="207"/>
  <c r="R45" i="207"/>
  <c r="W45" i="207"/>
  <c r="X45" i="207"/>
  <c r="Y45" i="207"/>
  <c r="Z45" i="207"/>
  <c r="D46" i="207"/>
  <c r="E46" i="207"/>
  <c r="G46" i="207"/>
  <c r="H46" i="207"/>
  <c r="I46" i="207"/>
  <c r="J46" i="207"/>
  <c r="Q46" i="207"/>
  <c r="R46" i="207"/>
  <c r="W46" i="207"/>
  <c r="X46" i="207"/>
  <c r="Y46" i="207"/>
  <c r="Z46" i="207"/>
  <c r="E12" i="207"/>
  <c r="E13" i="207" s="1"/>
  <c r="G12" i="207"/>
  <c r="G13" i="207" s="1"/>
  <c r="E7" i="97" s="1"/>
  <c r="H12" i="207"/>
  <c r="H13" i="207" s="1"/>
  <c r="F7" i="97" s="1"/>
  <c r="I12" i="207"/>
  <c r="I13" i="207" s="1"/>
  <c r="G7" i="97" s="1"/>
  <c r="J12" i="207"/>
  <c r="J13" i="207" s="1"/>
  <c r="H7" i="97" s="1"/>
  <c r="N12" i="207"/>
  <c r="N13" i="207" s="1"/>
  <c r="Q12" i="207"/>
  <c r="Q13" i="207" s="1"/>
  <c r="O7" i="97" s="1"/>
  <c r="R12" i="207"/>
  <c r="R13" i="207" s="1"/>
  <c r="P7" i="97" s="1"/>
  <c r="W12" i="207"/>
  <c r="W13" i="207" s="1"/>
  <c r="U7" i="97" s="1"/>
  <c r="X12" i="207"/>
  <c r="X13" i="207" s="1"/>
  <c r="V7" i="97" s="1"/>
  <c r="Y12" i="207"/>
  <c r="Y13" i="207" s="1"/>
  <c r="W7" i="97" s="1"/>
  <c r="Z12" i="207"/>
  <c r="Z13" i="207" s="1"/>
  <c r="X7" i="97" s="1"/>
  <c r="D12" i="207"/>
  <c r="D65" i="206"/>
  <c r="E65" i="206"/>
  <c r="F65" i="206"/>
  <c r="G65" i="206"/>
  <c r="H65" i="206"/>
  <c r="I65" i="206"/>
  <c r="J65" i="206"/>
  <c r="K65" i="206"/>
  <c r="L65" i="206"/>
  <c r="M65" i="206"/>
  <c r="N65" i="206"/>
  <c r="O65" i="206"/>
  <c r="P65" i="206"/>
  <c r="Q65" i="206"/>
  <c r="R65" i="206"/>
  <c r="S65" i="206"/>
  <c r="T65" i="206"/>
  <c r="U65" i="206"/>
  <c r="V65" i="206"/>
  <c r="W65" i="206"/>
  <c r="X65" i="206"/>
  <c r="Y65" i="206"/>
  <c r="Z65" i="206"/>
  <c r="D66" i="206"/>
  <c r="E66" i="206"/>
  <c r="F66" i="206"/>
  <c r="G66" i="206"/>
  <c r="H66" i="206"/>
  <c r="I66" i="206"/>
  <c r="J66" i="206"/>
  <c r="K66" i="206"/>
  <c r="L66" i="206"/>
  <c r="M66" i="206"/>
  <c r="N66" i="206"/>
  <c r="O66" i="206"/>
  <c r="P66" i="206"/>
  <c r="Q66" i="206"/>
  <c r="R66" i="206"/>
  <c r="S66" i="206"/>
  <c r="T66" i="206"/>
  <c r="U66" i="206"/>
  <c r="V66" i="206"/>
  <c r="W66" i="206"/>
  <c r="X66" i="206"/>
  <c r="Y66" i="206"/>
  <c r="Z66" i="206"/>
  <c r="D89" i="206"/>
  <c r="E89" i="206"/>
  <c r="G89" i="206"/>
  <c r="H89" i="206"/>
  <c r="I89" i="206"/>
  <c r="J89" i="206"/>
  <c r="K89" i="206"/>
  <c r="L89" i="206"/>
  <c r="M89" i="206"/>
  <c r="N89" i="206"/>
  <c r="P89" i="206"/>
  <c r="Q89" i="206"/>
  <c r="R89" i="206"/>
  <c r="S89" i="206"/>
  <c r="T89" i="206"/>
  <c r="U89" i="206"/>
  <c r="V89" i="206"/>
  <c r="W89" i="206"/>
  <c r="X89" i="206"/>
  <c r="Y89" i="206"/>
  <c r="Z89" i="206"/>
  <c r="D90" i="206"/>
  <c r="E90" i="206"/>
  <c r="G90" i="206"/>
  <c r="H90" i="206"/>
  <c r="I90" i="206"/>
  <c r="J90" i="206"/>
  <c r="K90" i="206"/>
  <c r="L90" i="206"/>
  <c r="M90" i="206"/>
  <c r="N90" i="206"/>
  <c r="P90" i="206"/>
  <c r="Q90" i="206"/>
  <c r="R90" i="206"/>
  <c r="S90" i="206"/>
  <c r="T90" i="206"/>
  <c r="U90" i="206"/>
  <c r="V90" i="206"/>
  <c r="W90" i="206"/>
  <c r="X90" i="206"/>
  <c r="Y90" i="206"/>
  <c r="Z90" i="206"/>
  <c r="D91" i="206"/>
  <c r="E91" i="206"/>
  <c r="F91" i="206"/>
  <c r="G91" i="206"/>
  <c r="H91" i="206"/>
  <c r="I91" i="206"/>
  <c r="J91" i="206"/>
  <c r="K91" i="206"/>
  <c r="L91" i="206"/>
  <c r="M91" i="206"/>
  <c r="N91" i="206"/>
  <c r="O91" i="206"/>
  <c r="P91" i="206"/>
  <c r="Q91" i="206"/>
  <c r="R91" i="206"/>
  <c r="S91" i="206"/>
  <c r="T91" i="206"/>
  <c r="U91" i="206"/>
  <c r="V91" i="206"/>
  <c r="W91" i="206"/>
  <c r="X91" i="206"/>
  <c r="Y91" i="206"/>
  <c r="Z91" i="206"/>
  <c r="D92" i="206"/>
  <c r="E92" i="206"/>
  <c r="F92" i="206"/>
  <c r="G92" i="206"/>
  <c r="H92" i="206"/>
  <c r="I92" i="206"/>
  <c r="J92" i="206"/>
  <c r="K92" i="206"/>
  <c r="L92" i="206"/>
  <c r="M92" i="206"/>
  <c r="N92" i="206"/>
  <c r="P92" i="206"/>
  <c r="Q92" i="206"/>
  <c r="R92" i="206"/>
  <c r="S92" i="206"/>
  <c r="T92" i="206"/>
  <c r="V92" i="206"/>
  <c r="W92" i="206"/>
  <c r="X92" i="206"/>
  <c r="Z92" i="206"/>
  <c r="D93" i="206"/>
  <c r="E93" i="206"/>
  <c r="F93" i="206"/>
  <c r="G93" i="206"/>
  <c r="H93" i="206"/>
  <c r="I93" i="206"/>
  <c r="J93" i="206"/>
  <c r="K93" i="206"/>
  <c r="L93" i="206"/>
  <c r="M93" i="206"/>
  <c r="N93" i="206"/>
  <c r="O93" i="206"/>
  <c r="P93" i="206"/>
  <c r="Q93" i="206"/>
  <c r="R93" i="206"/>
  <c r="S93" i="206"/>
  <c r="T93" i="206"/>
  <c r="U93" i="206"/>
  <c r="V93" i="206"/>
  <c r="W93" i="206"/>
  <c r="X93" i="206"/>
  <c r="Y93" i="206"/>
  <c r="Z93" i="206"/>
  <c r="D94" i="206"/>
  <c r="E94" i="206"/>
  <c r="F94" i="206"/>
  <c r="G94" i="206"/>
  <c r="H94" i="206"/>
  <c r="I94" i="206"/>
  <c r="J94" i="206"/>
  <c r="K94" i="206"/>
  <c r="L94" i="206"/>
  <c r="M94" i="206"/>
  <c r="N94" i="206"/>
  <c r="P94" i="206"/>
  <c r="Q94" i="206"/>
  <c r="R94" i="206"/>
  <c r="S94" i="206"/>
  <c r="T94" i="206"/>
  <c r="W94" i="206"/>
  <c r="X94" i="206"/>
  <c r="Z94" i="206"/>
  <c r="D95" i="206"/>
  <c r="E95" i="206"/>
  <c r="F95" i="206"/>
  <c r="G95" i="206"/>
  <c r="H95" i="206"/>
  <c r="I95" i="206"/>
  <c r="J95" i="206"/>
  <c r="K95" i="206"/>
  <c r="L95" i="206"/>
  <c r="M95" i="206"/>
  <c r="N95" i="206"/>
  <c r="O95" i="206"/>
  <c r="P95" i="206"/>
  <c r="Q95" i="206"/>
  <c r="R95" i="206"/>
  <c r="S95" i="206"/>
  <c r="T95" i="206"/>
  <c r="U95" i="206"/>
  <c r="V95" i="206"/>
  <c r="W95" i="206"/>
  <c r="X95" i="206"/>
  <c r="Y95" i="206"/>
  <c r="Z95" i="206"/>
  <c r="D57" i="206"/>
  <c r="E57" i="206"/>
  <c r="F57" i="206"/>
  <c r="G57" i="206"/>
  <c r="H57" i="206"/>
  <c r="I57" i="206"/>
  <c r="J57" i="206"/>
  <c r="K57" i="206"/>
  <c r="L57" i="206"/>
  <c r="M57" i="206"/>
  <c r="N57" i="206"/>
  <c r="O57" i="206"/>
  <c r="P57" i="206"/>
  <c r="Q57" i="206"/>
  <c r="R57" i="206"/>
  <c r="S57" i="206"/>
  <c r="T57" i="206"/>
  <c r="U57" i="206"/>
  <c r="V57" i="206"/>
  <c r="W57" i="206"/>
  <c r="X57" i="206"/>
  <c r="Y57" i="206"/>
  <c r="Z57" i="206"/>
  <c r="D96" i="206"/>
  <c r="E96" i="206"/>
  <c r="F96" i="206"/>
  <c r="G96" i="206"/>
  <c r="H96" i="206"/>
  <c r="I96" i="206"/>
  <c r="J96" i="206"/>
  <c r="K96" i="206"/>
  <c r="L96" i="206"/>
  <c r="M96" i="206"/>
  <c r="N96" i="206"/>
  <c r="O96" i="206"/>
  <c r="P96" i="206"/>
  <c r="Q96" i="206"/>
  <c r="R96" i="206"/>
  <c r="S96" i="206"/>
  <c r="T96" i="206"/>
  <c r="U96" i="206"/>
  <c r="V96" i="206"/>
  <c r="W96" i="206"/>
  <c r="X96" i="206"/>
  <c r="Y96" i="206"/>
  <c r="Z96" i="206"/>
  <c r="D58" i="206"/>
  <c r="E58" i="206"/>
  <c r="F58" i="206"/>
  <c r="G58" i="206"/>
  <c r="H58" i="206"/>
  <c r="I58" i="206"/>
  <c r="J58" i="206"/>
  <c r="K58" i="206"/>
  <c r="L58" i="206"/>
  <c r="M58" i="206"/>
  <c r="N58" i="206"/>
  <c r="O58" i="206"/>
  <c r="P58" i="206"/>
  <c r="Q58" i="206"/>
  <c r="R58" i="206"/>
  <c r="S58" i="206"/>
  <c r="T58" i="206"/>
  <c r="U58" i="206"/>
  <c r="V58" i="206"/>
  <c r="W58" i="206"/>
  <c r="X58" i="206"/>
  <c r="Y58" i="206"/>
  <c r="Z58" i="206"/>
  <c r="D59" i="206"/>
  <c r="E59" i="206"/>
  <c r="F59" i="206"/>
  <c r="G59" i="206"/>
  <c r="H59" i="206"/>
  <c r="I59" i="206"/>
  <c r="J59" i="206"/>
  <c r="K59" i="206"/>
  <c r="L59" i="206"/>
  <c r="M59" i="206"/>
  <c r="N59" i="206"/>
  <c r="O59" i="206"/>
  <c r="P59" i="206"/>
  <c r="Q59" i="206"/>
  <c r="R59" i="206"/>
  <c r="S59" i="206"/>
  <c r="T59" i="206"/>
  <c r="U59" i="206"/>
  <c r="V59" i="206"/>
  <c r="W59" i="206"/>
  <c r="X59" i="206"/>
  <c r="Y59" i="206"/>
  <c r="Z59" i="206"/>
  <c r="D97" i="206"/>
  <c r="E97" i="206"/>
  <c r="F97" i="206"/>
  <c r="G97" i="206"/>
  <c r="H97" i="206"/>
  <c r="I97" i="206"/>
  <c r="J97" i="206"/>
  <c r="K97" i="206"/>
  <c r="L97" i="206"/>
  <c r="M97" i="206"/>
  <c r="N97" i="206"/>
  <c r="O97" i="206"/>
  <c r="P97" i="206"/>
  <c r="Q97" i="206"/>
  <c r="R97" i="206"/>
  <c r="S97" i="206"/>
  <c r="T97" i="206"/>
  <c r="U97" i="206"/>
  <c r="V97" i="206"/>
  <c r="W97" i="206"/>
  <c r="X97" i="206"/>
  <c r="Y97" i="206"/>
  <c r="Z97" i="206"/>
  <c r="E56" i="206"/>
  <c r="F56" i="206"/>
  <c r="G56" i="206"/>
  <c r="H56" i="206"/>
  <c r="I56" i="206"/>
  <c r="J56" i="206"/>
  <c r="K56" i="206"/>
  <c r="L56" i="206"/>
  <c r="M56" i="206"/>
  <c r="N56" i="206"/>
  <c r="O56" i="206"/>
  <c r="P56" i="206"/>
  <c r="Q56" i="206"/>
  <c r="R56" i="206"/>
  <c r="S56" i="206"/>
  <c r="T56" i="206"/>
  <c r="U56" i="206"/>
  <c r="V56" i="206"/>
  <c r="W56" i="206"/>
  <c r="X56" i="206"/>
  <c r="Y56" i="206"/>
  <c r="Z56" i="206"/>
  <c r="D16" i="206"/>
  <c r="E16" i="206"/>
  <c r="F16" i="206"/>
  <c r="G16" i="206"/>
  <c r="H16" i="206"/>
  <c r="I16" i="206"/>
  <c r="J16" i="206"/>
  <c r="K16" i="206"/>
  <c r="L16" i="206"/>
  <c r="M16" i="206"/>
  <c r="N16" i="206"/>
  <c r="O16" i="206"/>
  <c r="P16" i="206"/>
  <c r="Q16" i="206"/>
  <c r="R16" i="206"/>
  <c r="S16" i="206"/>
  <c r="T16" i="206"/>
  <c r="U16" i="206"/>
  <c r="V16" i="206"/>
  <c r="W16" i="206"/>
  <c r="X16" i="206"/>
  <c r="Y16" i="206"/>
  <c r="Z16" i="206"/>
  <c r="D73" i="206"/>
  <c r="E73" i="206"/>
  <c r="E74" i="206" s="1"/>
  <c r="F73" i="206"/>
  <c r="F74" i="206" s="1"/>
  <c r="G73" i="206"/>
  <c r="G74" i="206" s="1"/>
  <c r="H73" i="206"/>
  <c r="H74" i="206" s="1"/>
  <c r="I73" i="206"/>
  <c r="I74" i="206" s="1"/>
  <c r="J73" i="206"/>
  <c r="J74" i="206" s="1"/>
  <c r="K73" i="206"/>
  <c r="K74" i="206" s="1"/>
  <c r="L73" i="206"/>
  <c r="L74" i="206" s="1"/>
  <c r="M73" i="206"/>
  <c r="M74" i="206" s="1"/>
  <c r="N73" i="206"/>
  <c r="N74" i="206" s="1"/>
  <c r="O73" i="206"/>
  <c r="O74" i="206" s="1"/>
  <c r="P73" i="206"/>
  <c r="P74" i="206" s="1"/>
  <c r="Q73" i="206"/>
  <c r="Q74" i="206" s="1"/>
  <c r="R73" i="206"/>
  <c r="R74" i="206" s="1"/>
  <c r="S73" i="206"/>
  <c r="S74" i="206" s="1"/>
  <c r="T73" i="206"/>
  <c r="T74" i="206" s="1"/>
  <c r="U73" i="206"/>
  <c r="U74" i="206" s="1"/>
  <c r="V73" i="206"/>
  <c r="V74" i="206" s="1"/>
  <c r="W73" i="206"/>
  <c r="W74" i="206" s="1"/>
  <c r="X73" i="206"/>
  <c r="X74" i="206" s="1"/>
  <c r="Y73" i="206"/>
  <c r="Y74" i="206" s="1"/>
  <c r="Z73" i="206"/>
  <c r="Z74" i="206" s="1"/>
  <c r="D6" i="206"/>
  <c r="E6" i="206"/>
  <c r="F6" i="206"/>
  <c r="G6" i="206"/>
  <c r="H6" i="206"/>
  <c r="I6" i="206"/>
  <c r="J6" i="206"/>
  <c r="K6" i="206"/>
  <c r="L6" i="206"/>
  <c r="M6" i="206"/>
  <c r="N6" i="206"/>
  <c r="O6" i="206"/>
  <c r="P6" i="206"/>
  <c r="Q6" i="206"/>
  <c r="R6" i="206"/>
  <c r="S6" i="206"/>
  <c r="T6" i="206"/>
  <c r="U6" i="206"/>
  <c r="V6" i="206"/>
  <c r="W6" i="206"/>
  <c r="X6" i="206"/>
  <c r="Y6" i="206"/>
  <c r="Z6" i="206"/>
  <c r="D17" i="206"/>
  <c r="E17" i="206"/>
  <c r="F17" i="206"/>
  <c r="G17" i="206"/>
  <c r="H17" i="206"/>
  <c r="I17" i="206"/>
  <c r="J17" i="206"/>
  <c r="K17" i="206"/>
  <c r="L17" i="206"/>
  <c r="M17" i="206"/>
  <c r="N17" i="206"/>
  <c r="O17" i="206"/>
  <c r="P17" i="206"/>
  <c r="Q17" i="206"/>
  <c r="R17" i="206"/>
  <c r="S17" i="206"/>
  <c r="T17" i="206"/>
  <c r="U17" i="206"/>
  <c r="V17" i="206"/>
  <c r="W17" i="206"/>
  <c r="X17" i="206"/>
  <c r="Y17" i="206"/>
  <c r="Z17" i="206"/>
  <c r="D18" i="206"/>
  <c r="E18" i="206"/>
  <c r="F18" i="206"/>
  <c r="G18" i="206"/>
  <c r="H18" i="206"/>
  <c r="I18" i="206"/>
  <c r="J18" i="206"/>
  <c r="K18" i="206"/>
  <c r="L18" i="206"/>
  <c r="M18" i="206"/>
  <c r="N18" i="206"/>
  <c r="P18" i="206"/>
  <c r="Q18" i="206"/>
  <c r="R18" i="206"/>
  <c r="S18" i="206"/>
  <c r="T18" i="206"/>
  <c r="W18" i="206"/>
  <c r="X18" i="206"/>
  <c r="Y18" i="206"/>
  <c r="Z18" i="206"/>
  <c r="D19" i="206"/>
  <c r="E19" i="206"/>
  <c r="F19" i="206"/>
  <c r="G19" i="206"/>
  <c r="H19" i="206"/>
  <c r="I19" i="206"/>
  <c r="J19" i="206"/>
  <c r="K19" i="206"/>
  <c r="L19" i="206"/>
  <c r="M19" i="206"/>
  <c r="N19" i="206"/>
  <c r="O19" i="206"/>
  <c r="P19" i="206"/>
  <c r="Q19" i="206"/>
  <c r="R19" i="206"/>
  <c r="S19" i="206"/>
  <c r="T19" i="206"/>
  <c r="U19" i="206"/>
  <c r="V19" i="206"/>
  <c r="W19" i="206"/>
  <c r="X19" i="206"/>
  <c r="Y19" i="206"/>
  <c r="Z19" i="206"/>
  <c r="D20" i="206"/>
  <c r="E20" i="206"/>
  <c r="F20" i="206"/>
  <c r="G20" i="206"/>
  <c r="H20" i="206"/>
  <c r="I20" i="206"/>
  <c r="J20" i="206"/>
  <c r="K20" i="206"/>
  <c r="L20" i="206"/>
  <c r="M20" i="206"/>
  <c r="N20" i="206"/>
  <c r="O20" i="206"/>
  <c r="P20" i="206"/>
  <c r="Q20" i="206"/>
  <c r="R20" i="206"/>
  <c r="S20" i="206"/>
  <c r="T20" i="206"/>
  <c r="U20" i="206"/>
  <c r="V20" i="206"/>
  <c r="W20" i="206"/>
  <c r="X20" i="206"/>
  <c r="Y20" i="206"/>
  <c r="Z20" i="206"/>
  <c r="D129" i="206"/>
  <c r="E129" i="206"/>
  <c r="F129" i="206"/>
  <c r="G129" i="206"/>
  <c r="H129" i="206"/>
  <c r="I129" i="206"/>
  <c r="J129" i="206"/>
  <c r="K129" i="206"/>
  <c r="L129" i="206"/>
  <c r="M129" i="206"/>
  <c r="N129" i="206"/>
  <c r="O129" i="206"/>
  <c r="P129" i="206"/>
  <c r="Q129" i="206"/>
  <c r="R129" i="206"/>
  <c r="S129" i="206"/>
  <c r="T129" i="206"/>
  <c r="U129" i="206"/>
  <c r="V129" i="206"/>
  <c r="W129" i="206"/>
  <c r="X129" i="206"/>
  <c r="Y129" i="206"/>
  <c r="Z129" i="206"/>
  <c r="D21" i="206"/>
  <c r="E21" i="206"/>
  <c r="F21" i="206"/>
  <c r="G21" i="206"/>
  <c r="H21" i="206"/>
  <c r="I21" i="206"/>
  <c r="J21" i="206"/>
  <c r="K21" i="206"/>
  <c r="L21" i="206"/>
  <c r="M21" i="206"/>
  <c r="N21" i="206"/>
  <c r="O21" i="206"/>
  <c r="P21" i="206"/>
  <c r="Q21" i="206"/>
  <c r="R21" i="206"/>
  <c r="S21" i="206"/>
  <c r="T21" i="206"/>
  <c r="U21" i="206"/>
  <c r="V21" i="206"/>
  <c r="W21" i="206"/>
  <c r="X21" i="206"/>
  <c r="Y21" i="206"/>
  <c r="Z21" i="206"/>
  <c r="D22" i="206"/>
  <c r="E22" i="206"/>
  <c r="F22" i="206"/>
  <c r="G22" i="206"/>
  <c r="H22" i="206"/>
  <c r="I22" i="206"/>
  <c r="J22" i="206"/>
  <c r="K22" i="206"/>
  <c r="L22" i="206"/>
  <c r="M22" i="206"/>
  <c r="N22" i="206"/>
  <c r="P22" i="206"/>
  <c r="Q22" i="206"/>
  <c r="R22" i="206"/>
  <c r="S22" i="206"/>
  <c r="T22" i="206"/>
  <c r="W22" i="206"/>
  <c r="X22" i="206"/>
  <c r="Y22" i="206"/>
  <c r="Z22" i="206"/>
  <c r="D108" i="206"/>
  <c r="E108" i="206"/>
  <c r="F108" i="206"/>
  <c r="G108" i="206"/>
  <c r="H108" i="206"/>
  <c r="I108" i="206"/>
  <c r="J108" i="206"/>
  <c r="K108" i="206"/>
  <c r="L108" i="206"/>
  <c r="M108" i="206"/>
  <c r="N108" i="206"/>
  <c r="O108" i="206"/>
  <c r="P108" i="206"/>
  <c r="Q108" i="206"/>
  <c r="R108" i="206"/>
  <c r="S108" i="206"/>
  <c r="T108" i="206"/>
  <c r="U108" i="206"/>
  <c r="V108" i="206"/>
  <c r="W108" i="206"/>
  <c r="X108" i="206"/>
  <c r="Y108" i="206"/>
  <c r="Z108" i="206"/>
  <c r="D68" i="206"/>
  <c r="E68" i="206"/>
  <c r="F68" i="206"/>
  <c r="G68" i="206"/>
  <c r="H68" i="206"/>
  <c r="I68" i="206"/>
  <c r="I70" i="206" s="1"/>
  <c r="J68" i="206"/>
  <c r="K68" i="206"/>
  <c r="L68" i="206"/>
  <c r="M68" i="206"/>
  <c r="N68" i="206"/>
  <c r="O68" i="206"/>
  <c r="P68" i="206"/>
  <c r="Q68" i="206"/>
  <c r="Q70" i="206" s="1"/>
  <c r="R68" i="206"/>
  <c r="S68" i="206"/>
  <c r="T68" i="206"/>
  <c r="U68" i="206"/>
  <c r="V68" i="206"/>
  <c r="W68" i="206"/>
  <c r="X68" i="206"/>
  <c r="Y68" i="206"/>
  <c r="Y70" i="206" s="1"/>
  <c r="Z68" i="206"/>
  <c r="D104" i="206"/>
  <c r="E104" i="206"/>
  <c r="F104" i="206"/>
  <c r="G104" i="206"/>
  <c r="H104" i="206"/>
  <c r="I104" i="206"/>
  <c r="J104" i="206"/>
  <c r="K104" i="206"/>
  <c r="L104" i="206"/>
  <c r="M104" i="206"/>
  <c r="N104" i="206"/>
  <c r="O104" i="206"/>
  <c r="P104" i="206"/>
  <c r="Q104" i="206"/>
  <c r="R104" i="206"/>
  <c r="S104" i="206"/>
  <c r="T104" i="206"/>
  <c r="U104" i="206"/>
  <c r="V104" i="206"/>
  <c r="W104" i="206"/>
  <c r="X104" i="206"/>
  <c r="Y104" i="206"/>
  <c r="Z104" i="206"/>
  <c r="D71" i="206"/>
  <c r="E71" i="206"/>
  <c r="E72" i="206" s="1"/>
  <c r="F71" i="206"/>
  <c r="F72" i="206" s="1"/>
  <c r="G71" i="206"/>
  <c r="G72" i="206" s="1"/>
  <c r="H71" i="206"/>
  <c r="H72" i="206" s="1"/>
  <c r="I71" i="206"/>
  <c r="I72" i="206" s="1"/>
  <c r="J71" i="206"/>
  <c r="J72" i="206" s="1"/>
  <c r="K71" i="206"/>
  <c r="K72" i="206" s="1"/>
  <c r="L71" i="206"/>
  <c r="L72" i="206" s="1"/>
  <c r="M71" i="206"/>
  <c r="M72" i="206" s="1"/>
  <c r="N71" i="206"/>
  <c r="N72" i="206" s="1"/>
  <c r="O71" i="206"/>
  <c r="O72" i="206" s="1"/>
  <c r="P71" i="206"/>
  <c r="P72" i="206" s="1"/>
  <c r="Q71" i="206"/>
  <c r="Q72" i="206" s="1"/>
  <c r="R71" i="206"/>
  <c r="R72" i="206" s="1"/>
  <c r="S71" i="206"/>
  <c r="S72" i="206" s="1"/>
  <c r="T71" i="206"/>
  <c r="T72" i="206" s="1"/>
  <c r="U71" i="206"/>
  <c r="U72" i="206" s="1"/>
  <c r="V71" i="206"/>
  <c r="V72" i="206" s="1"/>
  <c r="W71" i="206"/>
  <c r="W72" i="206" s="1"/>
  <c r="X71" i="206"/>
  <c r="X72" i="206" s="1"/>
  <c r="Y71" i="206"/>
  <c r="Y72" i="206" s="1"/>
  <c r="Z71" i="206"/>
  <c r="Z72" i="206" s="1"/>
  <c r="D23" i="206"/>
  <c r="E23" i="206"/>
  <c r="F23" i="206"/>
  <c r="G23" i="206"/>
  <c r="H23" i="206"/>
  <c r="I23" i="206"/>
  <c r="J23" i="206"/>
  <c r="K23" i="206"/>
  <c r="L23" i="206"/>
  <c r="M23" i="206"/>
  <c r="N23" i="206"/>
  <c r="O23" i="206"/>
  <c r="P23" i="206"/>
  <c r="Q23" i="206"/>
  <c r="R23" i="206"/>
  <c r="S23" i="206"/>
  <c r="T23" i="206"/>
  <c r="U23" i="206"/>
  <c r="V23" i="206"/>
  <c r="W23" i="206"/>
  <c r="X23" i="206"/>
  <c r="Y23" i="206"/>
  <c r="Z23" i="206"/>
  <c r="D24" i="206"/>
  <c r="E24" i="206"/>
  <c r="F24" i="206"/>
  <c r="G24" i="206"/>
  <c r="H24" i="206"/>
  <c r="I24" i="206"/>
  <c r="J24" i="206"/>
  <c r="K24" i="206"/>
  <c r="L24" i="206"/>
  <c r="M24" i="206"/>
  <c r="N24" i="206"/>
  <c r="O24" i="206"/>
  <c r="P24" i="206"/>
  <c r="Q24" i="206"/>
  <c r="R24" i="206"/>
  <c r="S24" i="206"/>
  <c r="T24" i="206"/>
  <c r="U24" i="206"/>
  <c r="V24" i="206"/>
  <c r="W24" i="206"/>
  <c r="X24" i="206"/>
  <c r="Y24" i="206"/>
  <c r="Z24" i="206"/>
  <c r="D25" i="206"/>
  <c r="E25" i="206"/>
  <c r="F25" i="206"/>
  <c r="G25" i="206"/>
  <c r="H25" i="206"/>
  <c r="I25" i="206"/>
  <c r="J25" i="206"/>
  <c r="K25" i="206"/>
  <c r="L25" i="206"/>
  <c r="M25" i="206"/>
  <c r="N25" i="206"/>
  <c r="O25" i="206"/>
  <c r="P25" i="206"/>
  <c r="Q25" i="206"/>
  <c r="R25" i="206"/>
  <c r="S25" i="206"/>
  <c r="T25" i="206"/>
  <c r="U25" i="206"/>
  <c r="V25" i="206"/>
  <c r="W25" i="206"/>
  <c r="X25" i="206"/>
  <c r="Y25" i="206"/>
  <c r="Z25" i="206"/>
  <c r="D26" i="206"/>
  <c r="E26" i="206"/>
  <c r="F26" i="206"/>
  <c r="G26" i="206"/>
  <c r="H26" i="206"/>
  <c r="I26" i="206"/>
  <c r="J26" i="206"/>
  <c r="K26" i="206"/>
  <c r="L26" i="206"/>
  <c r="M26" i="206"/>
  <c r="N26" i="206"/>
  <c r="O26" i="206"/>
  <c r="P26" i="206"/>
  <c r="Q26" i="206"/>
  <c r="R26" i="206"/>
  <c r="S26" i="206"/>
  <c r="T26" i="206"/>
  <c r="U26" i="206"/>
  <c r="V26" i="206"/>
  <c r="W26" i="206"/>
  <c r="X26" i="206"/>
  <c r="Y26" i="206"/>
  <c r="Z26" i="206"/>
  <c r="D27" i="206"/>
  <c r="E27" i="206"/>
  <c r="F27" i="206"/>
  <c r="G27" i="206"/>
  <c r="H27" i="206"/>
  <c r="I27" i="206"/>
  <c r="J27" i="206"/>
  <c r="K27" i="206"/>
  <c r="L27" i="206"/>
  <c r="M27" i="206"/>
  <c r="N27" i="206"/>
  <c r="O27" i="206"/>
  <c r="P27" i="206"/>
  <c r="Q27" i="206"/>
  <c r="R27" i="206"/>
  <c r="S27" i="206"/>
  <c r="T27" i="206"/>
  <c r="U27" i="206"/>
  <c r="V27" i="206"/>
  <c r="W27" i="206"/>
  <c r="X27" i="206"/>
  <c r="Y27" i="206"/>
  <c r="Z27" i="206"/>
  <c r="D28" i="206"/>
  <c r="E28" i="206"/>
  <c r="F28" i="206"/>
  <c r="G28" i="206"/>
  <c r="H28" i="206"/>
  <c r="I28" i="206"/>
  <c r="J28" i="206"/>
  <c r="K28" i="206"/>
  <c r="L28" i="206"/>
  <c r="M28" i="206"/>
  <c r="N28" i="206"/>
  <c r="O28" i="206"/>
  <c r="P28" i="206"/>
  <c r="Q28" i="206"/>
  <c r="R28" i="206"/>
  <c r="S28" i="206"/>
  <c r="T28" i="206"/>
  <c r="U28" i="206"/>
  <c r="V28" i="206"/>
  <c r="W28" i="206"/>
  <c r="X28" i="206"/>
  <c r="Y28" i="206"/>
  <c r="Z28" i="206"/>
  <c r="D29" i="206"/>
  <c r="E29" i="206"/>
  <c r="F29" i="206"/>
  <c r="G29" i="206"/>
  <c r="H29" i="206"/>
  <c r="I29" i="206"/>
  <c r="J29" i="206"/>
  <c r="K29" i="206"/>
  <c r="L29" i="206"/>
  <c r="M29" i="206"/>
  <c r="N29" i="206"/>
  <c r="P29" i="206"/>
  <c r="Q29" i="206"/>
  <c r="R29" i="206"/>
  <c r="S29" i="206"/>
  <c r="T29" i="206"/>
  <c r="W29" i="206"/>
  <c r="X29" i="206"/>
  <c r="Y29" i="206"/>
  <c r="Z29" i="206"/>
  <c r="D30" i="206"/>
  <c r="E30" i="206"/>
  <c r="F30" i="206"/>
  <c r="G30" i="206"/>
  <c r="H30" i="206"/>
  <c r="I30" i="206"/>
  <c r="J30" i="206"/>
  <c r="K30" i="206"/>
  <c r="L30" i="206"/>
  <c r="M30" i="206"/>
  <c r="N30" i="206"/>
  <c r="O30" i="206"/>
  <c r="P30" i="206"/>
  <c r="Q30" i="206"/>
  <c r="R30" i="206"/>
  <c r="S30" i="206"/>
  <c r="T30" i="206"/>
  <c r="U30" i="206"/>
  <c r="V30" i="206"/>
  <c r="W30" i="206"/>
  <c r="X30" i="206"/>
  <c r="Y30" i="206"/>
  <c r="Z30" i="206"/>
  <c r="D31" i="206"/>
  <c r="E31" i="206"/>
  <c r="F31" i="206"/>
  <c r="G31" i="206"/>
  <c r="H31" i="206"/>
  <c r="I31" i="206"/>
  <c r="J31" i="206"/>
  <c r="K31" i="206"/>
  <c r="L31" i="206"/>
  <c r="M31" i="206"/>
  <c r="N31" i="206"/>
  <c r="P31" i="206"/>
  <c r="Q31" i="206"/>
  <c r="R31" i="206"/>
  <c r="S31" i="206"/>
  <c r="T31" i="206"/>
  <c r="W31" i="206"/>
  <c r="X31" i="206"/>
  <c r="Y31" i="206"/>
  <c r="Z31" i="206"/>
  <c r="D7" i="206"/>
  <c r="E7" i="206"/>
  <c r="F7" i="206"/>
  <c r="G7" i="206"/>
  <c r="H7" i="206"/>
  <c r="I7" i="206"/>
  <c r="J7" i="206"/>
  <c r="K7" i="206"/>
  <c r="L7" i="206"/>
  <c r="M7" i="206"/>
  <c r="N7" i="206"/>
  <c r="O7" i="206"/>
  <c r="P7" i="206"/>
  <c r="Q7" i="206"/>
  <c r="R7" i="206"/>
  <c r="S7" i="206"/>
  <c r="T7" i="206"/>
  <c r="U7" i="206"/>
  <c r="V7" i="206"/>
  <c r="W7" i="206"/>
  <c r="X7" i="206"/>
  <c r="Y7" i="206"/>
  <c r="Z7" i="206"/>
  <c r="D75" i="206"/>
  <c r="E75" i="206"/>
  <c r="F75" i="206"/>
  <c r="G75" i="206"/>
  <c r="H75" i="206"/>
  <c r="I75" i="206"/>
  <c r="J75" i="206"/>
  <c r="K75" i="206"/>
  <c r="L75" i="206"/>
  <c r="M75" i="206"/>
  <c r="N75" i="206"/>
  <c r="O75" i="206"/>
  <c r="P75" i="206"/>
  <c r="Q75" i="206"/>
  <c r="R75" i="206"/>
  <c r="S75" i="206"/>
  <c r="T75" i="206"/>
  <c r="U75" i="206"/>
  <c r="V75" i="206"/>
  <c r="W75" i="206"/>
  <c r="X75" i="206"/>
  <c r="Y75" i="206"/>
  <c r="Z75" i="206"/>
  <c r="D32" i="206"/>
  <c r="E32" i="206"/>
  <c r="F32" i="206"/>
  <c r="G32" i="206"/>
  <c r="H32" i="206"/>
  <c r="I32" i="206"/>
  <c r="J32" i="206"/>
  <c r="K32" i="206"/>
  <c r="L32" i="206"/>
  <c r="M32" i="206"/>
  <c r="N32" i="206"/>
  <c r="O32" i="206"/>
  <c r="P32" i="206"/>
  <c r="Q32" i="206"/>
  <c r="R32" i="206"/>
  <c r="S32" i="206"/>
  <c r="T32" i="206"/>
  <c r="U32" i="206"/>
  <c r="V32" i="206"/>
  <c r="W32" i="206"/>
  <c r="X32" i="206"/>
  <c r="Y32" i="206"/>
  <c r="Z32" i="206"/>
  <c r="D109" i="206"/>
  <c r="E109" i="206"/>
  <c r="F109" i="206"/>
  <c r="G109" i="206"/>
  <c r="H109" i="206"/>
  <c r="I109" i="206"/>
  <c r="J109" i="206"/>
  <c r="K109" i="206"/>
  <c r="L109" i="206"/>
  <c r="M109" i="206"/>
  <c r="N109" i="206"/>
  <c r="O109" i="206"/>
  <c r="P109" i="206"/>
  <c r="Q109" i="206"/>
  <c r="R109" i="206"/>
  <c r="S109" i="206"/>
  <c r="T109" i="206"/>
  <c r="U109" i="206"/>
  <c r="V109" i="206"/>
  <c r="W109" i="206"/>
  <c r="X109" i="206"/>
  <c r="Y109" i="206"/>
  <c r="Z109" i="206"/>
  <c r="D8" i="206"/>
  <c r="E8" i="206"/>
  <c r="F8" i="206"/>
  <c r="G8" i="206"/>
  <c r="H8" i="206"/>
  <c r="I8" i="206"/>
  <c r="J8" i="206"/>
  <c r="K8" i="206"/>
  <c r="L8" i="206"/>
  <c r="M8" i="206"/>
  <c r="N8" i="206"/>
  <c r="O8" i="206"/>
  <c r="P8" i="206"/>
  <c r="Q8" i="206"/>
  <c r="R8" i="206"/>
  <c r="S8" i="206"/>
  <c r="T8" i="206"/>
  <c r="U8" i="206"/>
  <c r="V8" i="206"/>
  <c r="W8" i="206"/>
  <c r="X8" i="206"/>
  <c r="Y8" i="206"/>
  <c r="Z8" i="206"/>
  <c r="D33" i="206"/>
  <c r="E33" i="206"/>
  <c r="F33" i="206"/>
  <c r="G33" i="206"/>
  <c r="H33" i="206"/>
  <c r="I33" i="206"/>
  <c r="J33" i="206"/>
  <c r="K33" i="206"/>
  <c r="L33" i="206"/>
  <c r="M33" i="206"/>
  <c r="N33" i="206"/>
  <c r="O33" i="206"/>
  <c r="P33" i="206"/>
  <c r="Q33" i="206"/>
  <c r="R33" i="206"/>
  <c r="S33" i="206"/>
  <c r="T33" i="206"/>
  <c r="U33" i="206"/>
  <c r="V33" i="206"/>
  <c r="W33" i="206"/>
  <c r="X33" i="206"/>
  <c r="Y33" i="206"/>
  <c r="Z33" i="206"/>
  <c r="D76" i="206"/>
  <c r="E76" i="206"/>
  <c r="F76" i="206"/>
  <c r="G76" i="206"/>
  <c r="H76" i="206"/>
  <c r="I76" i="206"/>
  <c r="J76" i="206"/>
  <c r="K76" i="206"/>
  <c r="L76" i="206"/>
  <c r="M76" i="206"/>
  <c r="N76" i="206"/>
  <c r="O76" i="206"/>
  <c r="P76" i="206"/>
  <c r="Q76" i="206"/>
  <c r="R76" i="206"/>
  <c r="S76" i="206"/>
  <c r="T76" i="206"/>
  <c r="U76" i="206"/>
  <c r="V76" i="206"/>
  <c r="W76" i="206"/>
  <c r="X76" i="206"/>
  <c r="Y76" i="206"/>
  <c r="Z76" i="206"/>
  <c r="D110" i="206"/>
  <c r="E110" i="206"/>
  <c r="F110" i="206"/>
  <c r="G110" i="206"/>
  <c r="H110" i="206"/>
  <c r="I110" i="206"/>
  <c r="J110" i="206"/>
  <c r="K110" i="206"/>
  <c r="L110" i="206"/>
  <c r="M110" i="206"/>
  <c r="N110" i="206"/>
  <c r="P110" i="206"/>
  <c r="Q110" i="206"/>
  <c r="R110" i="206"/>
  <c r="S110" i="206"/>
  <c r="T110" i="206"/>
  <c r="W110" i="206"/>
  <c r="X110" i="206"/>
  <c r="Y110" i="206"/>
  <c r="Z110" i="206"/>
  <c r="D101" i="206"/>
  <c r="E101" i="206"/>
  <c r="F101" i="206"/>
  <c r="G101" i="206"/>
  <c r="H101" i="206"/>
  <c r="I101" i="206"/>
  <c r="J101" i="206"/>
  <c r="K101" i="206"/>
  <c r="L101" i="206"/>
  <c r="M101" i="206"/>
  <c r="N101" i="206"/>
  <c r="P101" i="206"/>
  <c r="Q101" i="206"/>
  <c r="R101" i="206"/>
  <c r="S101" i="206"/>
  <c r="T101" i="206"/>
  <c r="W101" i="206"/>
  <c r="X101" i="206"/>
  <c r="Y101" i="206"/>
  <c r="Z101" i="206"/>
  <c r="D102" i="206"/>
  <c r="E102" i="206"/>
  <c r="F102" i="206"/>
  <c r="G102" i="206"/>
  <c r="H102" i="206"/>
  <c r="I102" i="206"/>
  <c r="J102" i="206"/>
  <c r="K102" i="206"/>
  <c r="L102" i="206"/>
  <c r="M102" i="206"/>
  <c r="N102" i="206"/>
  <c r="P102" i="206"/>
  <c r="Q102" i="206"/>
  <c r="R102" i="206"/>
  <c r="S102" i="206"/>
  <c r="T102" i="206"/>
  <c r="W102" i="206"/>
  <c r="X102" i="206"/>
  <c r="Y102" i="206"/>
  <c r="Z102" i="206"/>
  <c r="D130" i="206"/>
  <c r="E130" i="206"/>
  <c r="F130" i="206"/>
  <c r="G130" i="206"/>
  <c r="H130" i="206"/>
  <c r="I130" i="206"/>
  <c r="J130" i="206"/>
  <c r="K130" i="206"/>
  <c r="L130" i="206"/>
  <c r="M130" i="206"/>
  <c r="N130" i="206"/>
  <c r="O130" i="206"/>
  <c r="P130" i="206"/>
  <c r="Q130" i="206"/>
  <c r="R130" i="206"/>
  <c r="S130" i="206"/>
  <c r="T130" i="206"/>
  <c r="U130" i="206"/>
  <c r="V130" i="206"/>
  <c r="W130" i="206"/>
  <c r="X130" i="206"/>
  <c r="Y130" i="206"/>
  <c r="Z130" i="206"/>
  <c r="D123" i="206"/>
  <c r="E123" i="206"/>
  <c r="F123" i="206"/>
  <c r="G123" i="206"/>
  <c r="H123" i="206"/>
  <c r="I123" i="206"/>
  <c r="J123" i="206"/>
  <c r="K123" i="206"/>
  <c r="L123" i="206"/>
  <c r="M123" i="206"/>
  <c r="N123" i="206"/>
  <c r="O123" i="206"/>
  <c r="P123" i="206"/>
  <c r="Q123" i="206"/>
  <c r="R123" i="206"/>
  <c r="S123" i="206"/>
  <c r="T123" i="206"/>
  <c r="U123" i="206"/>
  <c r="V123" i="206"/>
  <c r="W123" i="206"/>
  <c r="X123" i="206"/>
  <c r="Y123" i="206"/>
  <c r="Z123" i="206"/>
  <c r="D34" i="206"/>
  <c r="E34" i="206"/>
  <c r="F34" i="206"/>
  <c r="G34" i="206"/>
  <c r="H34" i="206"/>
  <c r="I34" i="206"/>
  <c r="J34" i="206"/>
  <c r="K34" i="206"/>
  <c r="L34" i="206"/>
  <c r="M34" i="206"/>
  <c r="N34" i="206"/>
  <c r="O34" i="206"/>
  <c r="P34" i="206"/>
  <c r="Q34" i="206"/>
  <c r="R34" i="206"/>
  <c r="S34" i="206"/>
  <c r="T34" i="206"/>
  <c r="U34" i="206"/>
  <c r="V34" i="206"/>
  <c r="W34" i="206"/>
  <c r="X34" i="206"/>
  <c r="Y34" i="206"/>
  <c r="Z34" i="206"/>
  <c r="D9" i="206"/>
  <c r="E9" i="206"/>
  <c r="F9" i="206"/>
  <c r="G9" i="206"/>
  <c r="H9" i="206"/>
  <c r="I9" i="206"/>
  <c r="J9" i="206"/>
  <c r="K9" i="206"/>
  <c r="L9" i="206"/>
  <c r="M9" i="206"/>
  <c r="N9" i="206"/>
  <c r="O9" i="206"/>
  <c r="P9" i="206"/>
  <c r="Q9" i="206"/>
  <c r="R9" i="206"/>
  <c r="S9" i="206"/>
  <c r="T9" i="206"/>
  <c r="U9" i="206"/>
  <c r="V9" i="206"/>
  <c r="W9" i="206"/>
  <c r="X9" i="206"/>
  <c r="Y9" i="206"/>
  <c r="Z9" i="206"/>
  <c r="D35" i="206"/>
  <c r="E35" i="206"/>
  <c r="F35" i="206"/>
  <c r="G35" i="206"/>
  <c r="H35" i="206"/>
  <c r="I35" i="206"/>
  <c r="J35" i="206"/>
  <c r="K35" i="206"/>
  <c r="L35" i="206"/>
  <c r="M35" i="206"/>
  <c r="N35" i="206"/>
  <c r="O35" i="206"/>
  <c r="P35" i="206"/>
  <c r="Q35" i="206"/>
  <c r="R35" i="206"/>
  <c r="S35" i="206"/>
  <c r="T35" i="206"/>
  <c r="U35" i="206"/>
  <c r="V35" i="206"/>
  <c r="W35" i="206"/>
  <c r="X35" i="206"/>
  <c r="Y35" i="206"/>
  <c r="Z35" i="206"/>
  <c r="D77" i="206"/>
  <c r="E77" i="206"/>
  <c r="F77" i="206"/>
  <c r="G77" i="206"/>
  <c r="H77" i="206"/>
  <c r="I77" i="206"/>
  <c r="J77" i="206"/>
  <c r="K77" i="206"/>
  <c r="L77" i="206"/>
  <c r="M77" i="206"/>
  <c r="N77" i="206"/>
  <c r="O77" i="206"/>
  <c r="P77" i="206"/>
  <c r="Q77" i="206"/>
  <c r="R77" i="206"/>
  <c r="S77" i="206"/>
  <c r="T77" i="206"/>
  <c r="U77" i="206"/>
  <c r="V77" i="206"/>
  <c r="W77" i="206"/>
  <c r="X77" i="206"/>
  <c r="Y77" i="206"/>
  <c r="Z77" i="206"/>
  <c r="D111" i="206"/>
  <c r="E111" i="206"/>
  <c r="F111" i="206"/>
  <c r="G111" i="206"/>
  <c r="H111" i="206"/>
  <c r="I111" i="206"/>
  <c r="J111" i="206"/>
  <c r="K111" i="206"/>
  <c r="L111" i="206"/>
  <c r="M111" i="206"/>
  <c r="N111" i="206"/>
  <c r="O111" i="206"/>
  <c r="P111" i="206"/>
  <c r="Q111" i="206"/>
  <c r="R111" i="206"/>
  <c r="S111" i="206"/>
  <c r="T111" i="206"/>
  <c r="U111" i="206"/>
  <c r="V111" i="206"/>
  <c r="W111" i="206"/>
  <c r="X111" i="206"/>
  <c r="Y111" i="206"/>
  <c r="Z111" i="206"/>
  <c r="D131" i="206"/>
  <c r="E131" i="206"/>
  <c r="F131" i="206"/>
  <c r="G131" i="206"/>
  <c r="H131" i="206"/>
  <c r="I131" i="206"/>
  <c r="J131" i="206"/>
  <c r="K131" i="206"/>
  <c r="L131" i="206"/>
  <c r="M131" i="206"/>
  <c r="N131" i="206"/>
  <c r="O131" i="206"/>
  <c r="P131" i="206"/>
  <c r="Q131" i="206"/>
  <c r="R131" i="206"/>
  <c r="S131" i="206"/>
  <c r="T131" i="206"/>
  <c r="U131" i="206"/>
  <c r="V131" i="206"/>
  <c r="W131" i="206"/>
  <c r="X131" i="206"/>
  <c r="Y131" i="206"/>
  <c r="Z131" i="206"/>
  <c r="D36" i="206"/>
  <c r="E36" i="206"/>
  <c r="F36" i="206"/>
  <c r="G36" i="206"/>
  <c r="H36" i="206"/>
  <c r="I36" i="206"/>
  <c r="J36" i="206"/>
  <c r="K36" i="206"/>
  <c r="L36" i="206"/>
  <c r="M36" i="206"/>
  <c r="N36" i="206"/>
  <c r="O36" i="206"/>
  <c r="P36" i="206"/>
  <c r="Q36" i="206"/>
  <c r="R36" i="206"/>
  <c r="S36" i="206"/>
  <c r="T36" i="206"/>
  <c r="U36" i="206"/>
  <c r="V36" i="206"/>
  <c r="W36" i="206"/>
  <c r="X36" i="206"/>
  <c r="Y36" i="206"/>
  <c r="Z36" i="206"/>
  <c r="D112" i="206"/>
  <c r="E112" i="206"/>
  <c r="F112" i="206"/>
  <c r="G112" i="206"/>
  <c r="H112" i="206"/>
  <c r="I112" i="206"/>
  <c r="J112" i="206"/>
  <c r="K112" i="206"/>
  <c r="L112" i="206"/>
  <c r="M112" i="206"/>
  <c r="N112" i="206"/>
  <c r="O112" i="206"/>
  <c r="P112" i="206"/>
  <c r="Q112" i="206"/>
  <c r="R112" i="206"/>
  <c r="S112" i="206"/>
  <c r="T112" i="206"/>
  <c r="U112" i="206"/>
  <c r="V112" i="206"/>
  <c r="W112" i="206"/>
  <c r="X112" i="206"/>
  <c r="Y112" i="206"/>
  <c r="Z112" i="206"/>
  <c r="D10" i="206"/>
  <c r="E10" i="206"/>
  <c r="F10" i="206"/>
  <c r="G10" i="206"/>
  <c r="H10" i="206"/>
  <c r="I10" i="206"/>
  <c r="J10" i="206"/>
  <c r="K10" i="206"/>
  <c r="L10" i="206"/>
  <c r="M10" i="206"/>
  <c r="N10" i="206"/>
  <c r="O10" i="206"/>
  <c r="P10" i="206"/>
  <c r="Q10" i="206"/>
  <c r="R10" i="206"/>
  <c r="S10" i="206"/>
  <c r="T10" i="206"/>
  <c r="U10" i="206"/>
  <c r="V10" i="206"/>
  <c r="W10" i="206"/>
  <c r="X10" i="206"/>
  <c r="Y10" i="206"/>
  <c r="Z10" i="206"/>
  <c r="D37" i="206"/>
  <c r="E37" i="206"/>
  <c r="F37" i="206"/>
  <c r="G37" i="206"/>
  <c r="H37" i="206"/>
  <c r="I37" i="206"/>
  <c r="J37" i="206"/>
  <c r="K37" i="206"/>
  <c r="L37" i="206"/>
  <c r="M37" i="206"/>
  <c r="N37" i="206"/>
  <c r="O37" i="206"/>
  <c r="P37" i="206"/>
  <c r="Q37" i="206"/>
  <c r="R37" i="206"/>
  <c r="S37" i="206"/>
  <c r="T37" i="206"/>
  <c r="U37" i="206"/>
  <c r="V37" i="206"/>
  <c r="W37" i="206"/>
  <c r="X37" i="206"/>
  <c r="Y37" i="206"/>
  <c r="Z37" i="206"/>
  <c r="D38" i="206"/>
  <c r="E38" i="206"/>
  <c r="F38" i="206"/>
  <c r="G38" i="206"/>
  <c r="H38" i="206"/>
  <c r="I38" i="206"/>
  <c r="J38" i="206"/>
  <c r="K38" i="206"/>
  <c r="L38" i="206"/>
  <c r="M38" i="206"/>
  <c r="N38" i="206"/>
  <c r="O38" i="206"/>
  <c r="P38" i="206"/>
  <c r="Q38" i="206"/>
  <c r="R38" i="206"/>
  <c r="S38" i="206"/>
  <c r="T38" i="206"/>
  <c r="U38" i="206"/>
  <c r="V38" i="206"/>
  <c r="W38" i="206"/>
  <c r="X38" i="206"/>
  <c r="Y38" i="206"/>
  <c r="Z38" i="206"/>
  <c r="D39" i="206"/>
  <c r="E39" i="206"/>
  <c r="F39" i="206"/>
  <c r="G39" i="206"/>
  <c r="H39" i="206"/>
  <c r="I39" i="206"/>
  <c r="J39" i="206"/>
  <c r="K39" i="206"/>
  <c r="L39" i="206"/>
  <c r="M39" i="206"/>
  <c r="N39" i="206"/>
  <c r="O39" i="206"/>
  <c r="P39" i="206"/>
  <c r="Q39" i="206"/>
  <c r="R39" i="206"/>
  <c r="S39" i="206"/>
  <c r="T39" i="206"/>
  <c r="U39" i="206"/>
  <c r="V39" i="206"/>
  <c r="W39" i="206"/>
  <c r="X39" i="206"/>
  <c r="Y39" i="206"/>
  <c r="Z39" i="206"/>
  <c r="D78" i="206"/>
  <c r="E78" i="206"/>
  <c r="F78" i="206"/>
  <c r="G78" i="206"/>
  <c r="H78" i="206"/>
  <c r="I78" i="206"/>
  <c r="J78" i="206"/>
  <c r="K78" i="206"/>
  <c r="L78" i="206"/>
  <c r="M78" i="206"/>
  <c r="N78" i="206"/>
  <c r="P78" i="206"/>
  <c r="Q78" i="206"/>
  <c r="R78" i="206"/>
  <c r="S78" i="206"/>
  <c r="T78" i="206"/>
  <c r="W78" i="206"/>
  <c r="X78" i="206"/>
  <c r="Y78" i="206"/>
  <c r="Z78" i="206"/>
  <c r="D60" i="206"/>
  <c r="E60" i="206"/>
  <c r="F60" i="206"/>
  <c r="G60" i="206"/>
  <c r="H60" i="206"/>
  <c r="I60" i="206"/>
  <c r="J60" i="206"/>
  <c r="K60" i="206"/>
  <c r="L60" i="206"/>
  <c r="M60" i="206"/>
  <c r="N60" i="206"/>
  <c r="O60" i="206"/>
  <c r="P60" i="206"/>
  <c r="Q60" i="206"/>
  <c r="R60" i="206"/>
  <c r="S60" i="206"/>
  <c r="T60" i="206"/>
  <c r="U60" i="206"/>
  <c r="V60" i="206"/>
  <c r="W60" i="206"/>
  <c r="X60" i="206"/>
  <c r="Y60" i="206"/>
  <c r="Z60" i="206"/>
  <c r="D100" i="206"/>
  <c r="E100" i="206"/>
  <c r="F100" i="206"/>
  <c r="G100" i="206"/>
  <c r="H100" i="206"/>
  <c r="I100" i="206"/>
  <c r="J100" i="206"/>
  <c r="K100" i="206"/>
  <c r="L100" i="206"/>
  <c r="M100" i="206"/>
  <c r="N100" i="206"/>
  <c r="O100" i="206"/>
  <c r="P100" i="206"/>
  <c r="Q100" i="206"/>
  <c r="R100" i="206"/>
  <c r="S100" i="206"/>
  <c r="T100" i="206"/>
  <c r="U100" i="206"/>
  <c r="V100" i="206"/>
  <c r="W100" i="206"/>
  <c r="X100" i="206"/>
  <c r="Y100" i="206"/>
  <c r="Z100" i="206"/>
  <c r="D127" i="206"/>
  <c r="E127" i="206"/>
  <c r="E128" i="206" s="1"/>
  <c r="F127" i="206"/>
  <c r="F128" i="206" s="1"/>
  <c r="G127" i="206"/>
  <c r="G128" i="206" s="1"/>
  <c r="H127" i="206"/>
  <c r="H128" i="206" s="1"/>
  <c r="I127" i="206"/>
  <c r="I128" i="206" s="1"/>
  <c r="J127" i="206"/>
  <c r="J128" i="206" s="1"/>
  <c r="K127" i="206"/>
  <c r="K128" i="206" s="1"/>
  <c r="L127" i="206"/>
  <c r="L128" i="206" s="1"/>
  <c r="M127" i="206"/>
  <c r="M128" i="206" s="1"/>
  <c r="N127" i="206"/>
  <c r="N128" i="206" s="1"/>
  <c r="O127" i="206"/>
  <c r="O128" i="206" s="1"/>
  <c r="P127" i="206"/>
  <c r="P128" i="206" s="1"/>
  <c r="Q127" i="206"/>
  <c r="Q128" i="206" s="1"/>
  <c r="R127" i="206"/>
  <c r="R128" i="206" s="1"/>
  <c r="S127" i="206"/>
  <c r="S128" i="206" s="1"/>
  <c r="T127" i="206"/>
  <c r="T128" i="206" s="1"/>
  <c r="U127" i="206"/>
  <c r="U128" i="206" s="1"/>
  <c r="V127" i="206"/>
  <c r="V128" i="206" s="1"/>
  <c r="W127" i="206"/>
  <c r="W128" i="206" s="1"/>
  <c r="X127" i="206"/>
  <c r="X128" i="206" s="1"/>
  <c r="Y127" i="206"/>
  <c r="Y128" i="206" s="1"/>
  <c r="Z127" i="206"/>
  <c r="Z128" i="206" s="1"/>
  <c r="D40" i="206"/>
  <c r="E40" i="206"/>
  <c r="F40" i="206"/>
  <c r="G40" i="206"/>
  <c r="H40" i="206"/>
  <c r="I40" i="206"/>
  <c r="J40" i="206"/>
  <c r="K40" i="206"/>
  <c r="L40" i="206"/>
  <c r="M40" i="206"/>
  <c r="N40" i="206"/>
  <c r="O40" i="206"/>
  <c r="P40" i="206"/>
  <c r="Q40" i="206"/>
  <c r="R40" i="206"/>
  <c r="S40" i="206"/>
  <c r="T40" i="206"/>
  <c r="U40" i="206"/>
  <c r="V40" i="206"/>
  <c r="W40" i="206"/>
  <c r="X40" i="206"/>
  <c r="Y40" i="206"/>
  <c r="Z40" i="206"/>
  <c r="D41" i="206"/>
  <c r="E41" i="206"/>
  <c r="F41" i="206"/>
  <c r="G41" i="206"/>
  <c r="H41" i="206"/>
  <c r="I41" i="206"/>
  <c r="J41" i="206"/>
  <c r="K41" i="206"/>
  <c r="L41" i="206"/>
  <c r="M41" i="206"/>
  <c r="N41" i="206"/>
  <c r="P41" i="206"/>
  <c r="Q41" i="206"/>
  <c r="R41" i="206"/>
  <c r="S41" i="206"/>
  <c r="T41" i="206"/>
  <c r="W41" i="206"/>
  <c r="X41" i="206"/>
  <c r="Y41" i="206"/>
  <c r="Z41" i="206"/>
  <c r="D42" i="206"/>
  <c r="E42" i="206"/>
  <c r="G42" i="206"/>
  <c r="H42" i="206"/>
  <c r="I42" i="206"/>
  <c r="J42" i="206"/>
  <c r="K42" i="206"/>
  <c r="L42" i="206"/>
  <c r="M42" i="206"/>
  <c r="N42" i="206"/>
  <c r="P42" i="206"/>
  <c r="Q42" i="206"/>
  <c r="R42" i="206"/>
  <c r="S42" i="206"/>
  <c r="T42" i="206"/>
  <c r="U42" i="206"/>
  <c r="V42" i="206"/>
  <c r="W42" i="206"/>
  <c r="X42" i="206"/>
  <c r="Y42" i="206"/>
  <c r="Z42" i="206"/>
  <c r="D43" i="206"/>
  <c r="E43" i="206"/>
  <c r="F43" i="206"/>
  <c r="G43" i="206"/>
  <c r="H43" i="206"/>
  <c r="I43" i="206"/>
  <c r="J43" i="206"/>
  <c r="K43" i="206"/>
  <c r="L43" i="206"/>
  <c r="M43" i="206"/>
  <c r="N43" i="206"/>
  <c r="O43" i="206"/>
  <c r="P43" i="206"/>
  <c r="Q43" i="206"/>
  <c r="R43" i="206"/>
  <c r="S43" i="206"/>
  <c r="T43" i="206"/>
  <c r="U43" i="206"/>
  <c r="V43" i="206"/>
  <c r="W43" i="206"/>
  <c r="X43" i="206"/>
  <c r="Y43" i="206"/>
  <c r="Z43" i="206"/>
  <c r="D79" i="206"/>
  <c r="E79" i="206"/>
  <c r="F79" i="206"/>
  <c r="G79" i="206"/>
  <c r="H79" i="206"/>
  <c r="I79" i="206"/>
  <c r="J79" i="206"/>
  <c r="K79" i="206"/>
  <c r="L79" i="206"/>
  <c r="M79" i="206"/>
  <c r="N79" i="206"/>
  <c r="P79" i="206"/>
  <c r="Q79" i="206"/>
  <c r="R79" i="206"/>
  <c r="S79" i="206"/>
  <c r="T79" i="206"/>
  <c r="W79" i="206"/>
  <c r="X79" i="206"/>
  <c r="Y79" i="206"/>
  <c r="Z79" i="206"/>
  <c r="D80" i="206"/>
  <c r="E80" i="206"/>
  <c r="F80" i="206"/>
  <c r="G80" i="206"/>
  <c r="H80" i="206"/>
  <c r="I80" i="206"/>
  <c r="J80" i="206"/>
  <c r="K80" i="206"/>
  <c r="L80" i="206"/>
  <c r="M80" i="206"/>
  <c r="N80" i="206"/>
  <c r="O80" i="206"/>
  <c r="P80" i="206"/>
  <c r="Q80" i="206"/>
  <c r="R80" i="206"/>
  <c r="S80" i="206"/>
  <c r="T80" i="206"/>
  <c r="U80" i="206"/>
  <c r="V80" i="206"/>
  <c r="W80" i="206"/>
  <c r="X80" i="206"/>
  <c r="Y80" i="206"/>
  <c r="Z80" i="206"/>
  <c r="D103" i="206"/>
  <c r="E103" i="206"/>
  <c r="F103" i="206"/>
  <c r="G103" i="206"/>
  <c r="H103" i="206"/>
  <c r="I103" i="206"/>
  <c r="J103" i="206"/>
  <c r="K103" i="206"/>
  <c r="L103" i="206"/>
  <c r="M103" i="206"/>
  <c r="N103" i="206"/>
  <c r="O103" i="206"/>
  <c r="P103" i="206"/>
  <c r="Q103" i="206"/>
  <c r="R103" i="206"/>
  <c r="S103" i="206"/>
  <c r="T103" i="206"/>
  <c r="U103" i="206"/>
  <c r="V103" i="206"/>
  <c r="W103" i="206"/>
  <c r="X103" i="206"/>
  <c r="Y103" i="206"/>
  <c r="Z103" i="206"/>
  <c r="D44" i="206"/>
  <c r="E44" i="206"/>
  <c r="F44" i="206"/>
  <c r="G44" i="206"/>
  <c r="H44" i="206"/>
  <c r="I44" i="206"/>
  <c r="J44" i="206"/>
  <c r="K44" i="206"/>
  <c r="L44" i="206"/>
  <c r="M44" i="206"/>
  <c r="N44" i="206"/>
  <c r="O44" i="206"/>
  <c r="P44" i="206"/>
  <c r="Q44" i="206"/>
  <c r="R44" i="206"/>
  <c r="S44" i="206"/>
  <c r="T44" i="206"/>
  <c r="U44" i="206"/>
  <c r="V44" i="206"/>
  <c r="W44" i="206"/>
  <c r="X44" i="206"/>
  <c r="Y44" i="206"/>
  <c r="Z44" i="206"/>
  <c r="D45" i="206"/>
  <c r="E45" i="206"/>
  <c r="F45" i="206"/>
  <c r="G45" i="206"/>
  <c r="H45" i="206"/>
  <c r="I45" i="206"/>
  <c r="J45" i="206"/>
  <c r="K45" i="206"/>
  <c r="L45" i="206"/>
  <c r="M45" i="206"/>
  <c r="N45" i="206"/>
  <c r="O45" i="206"/>
  <c r="P45" i="206"/>
  <c r="Q45" i="206"/>
  <c r="R45" i="206"/>
  <c r="S45" i="206"/>
  <c r="T45" i="206"/>
  <c r="U45" i="206"/>
  <c r="V45" i="206"/>
  <c r="W45" i="206"/>
  <c r="X45" i="206"/>
  <c r="Y45" i="206"/>
  <c r="Z45" i="206"/>
  <c r="D124" i="206"/>
  <c r="E124" i="206"/>
  <c r="F124" i="206"/>
  <c r="G124" i="206"/>
  <c r="H124" i="206"/>
  <c r="I124" i="206"/>
  <c r="J124" i="206"/>
  <c r="K124" i="206"/>
  <c r="L124" i="206"/>
  <c r="M124" i="206"/>
  <c r="N124" i="206"/>
  <c r="O124" i="206"/>
  <c r="P124" i="206"/>
  <c r="Q124" i="206"/>
  <c r="R124" i="206"/>
  <c r="S124" i="206"/>
  <c r="T124" i="206"/>
  <c r="U124" i="206"/>
  <c r="V124" i="206"/>
  <c r="W124" i="206"/>
  <c r="X124" i="206"/>
  <c r="Y124" i="206"/>
  <c r="Z124" i="206"/>
  <c r="D113" i="206"/>
  <c r="E113" i="206"/>
  <c r="F113" i="206"/>
  <c r="G113" i="206"/>
  <c r="H113" i="206"/>
  <c r="I113" i="206"/>
  <c r="J113" i="206"/>
  <c r="K113" i="206"/>
  <c r="L113" i="206"/>
  <c r="M113" i="206"/>
  <c r="N113" i="206"/>
  <c r="O113" i="206"/>
  <c r="P113" i="206"/>
  <c r="Q113" i="206"/>
  <c r="R113" i="206"/>
  <c r="S113" i="206"/>
  <c r="T113" i="206"/>
  <c r="U113" i="206"/>
  <c r="V113" i="206"/>
  <c r="W113" i="206"/>
  <c r="X113" i="206"/>
  <c r="Y113" i="206"/>
  <c r="Z113" i="206"/>
  <c r="D81" i="206"/>
  <c r="E81" i="206"/>
  <c r="F81" i="206"/>
  <c r="G81" i="206"/>
  <c r="H81" i="206"/>
  <c r="I81" i="206"/>
  <c r="J81" i="206"/>
  <c r="K81" i="206"/>
  <c r="L81" i="206"/>
  <c r="M81" i="206"/>
  <c r="N81" i="206"/>
  <c r="O81" i="206"/>
  <c r="P81" i="206"/>
  <c r="Q81" i="206"/>
  <c r="R81" i="206"/>
  <c r="S81" i="206"/>
  <c r="T81" i="206"/>
  <c r="U81" i="206"/>
  <c r="V81" i="206"/>
  <c r="W81" i="206"/>
  <c r="X81" i="206"/>
  <c r="Y81" i="206"/>
  <c r="Z81" i="206"/>
  <c r="D82" i="206"/>
  <c r="E82" i="206"/>
  <c r="F82" i="206"/>
  <c r="G82" i="206"/>
  <c r="H82" i="206"/>
  <c r="I82" i="206"/>
  <c r="J82" i="206"/>
  <c r="K82" i="206"/>
  <c r="L82" i="206"/>
  <c r="M82" i="206"/>
  <c r="N82" i="206"/>
  <c r="O82" i="206"/>
  <c r="P82" i="206"/>
  <c r="Q82" i="206"/>
  <c r="R82" i="206"/>
  <c r="S82" i="206"/>
  <c r="T82" i="206"/>
  <c r="U82" i="206"/>
  <c r="V82" i="206"/>
  <c r="W82" i="206"/>
  <c r="X82" i="206"/>
  <c r="Y82" i="206"/>
  <c r="Z82" i="206"/>
  <c r="D83" i="206"/>
  <c r="E83" i="206"/>
  <c r="F83" i="206"/>
  <c r="G83" i="206"/>
  <c r="H83" i="206"/>
  <c r="I83" i="206"/>
  <c r="J83" i="206"/>
  <c r="K83" i="206"/>
  <c r="L83" i="206"/>
  <c r="M83" i="206"/>
  <c r="N83" i="206"/>
  <c r="O83" i="206"/>
  <c r="P83" i="206"/>
  <c r="Q83" i="206"/>
  <c r="R83" i="206"/>
  <c r="S83" i="206"/>
  <c r="T83" i="206"/>
  <c r="U83" i="206"/>
  <c r="V83" i="206"/>
  <c r="W83" i="206"/>
  <c r="X83" i="206"/>
  <c r="Y83" i="206"/>
  <c r="Z83" i="206"/>
  <c r="D84" i="206"/>
  <c r="E84" i="206"/>
  <c r="F84" i="206"/>
  <c r="G84" i="206"/>
  <c r="H84" i="206"/>
  <c r="I84" i="206"/>
  <c r="J84" i="206"/>
  <c r="K84" i="206"/>
  <c r="L84" i="206"/>
  <c r="M84" i="206"/>
  <c r="N84" i="206"/>
  <c r="O84" i="206"/>
  <c r="P84" i="206"/>
  <c r="Q84" i="206"/>
  <c r="R84" i="206"/>
  <c r="S84" i="206"/>
  <c r="T84" i="206"/>
  <c r="U84" i="206"/>
  <c r="V84" i="206"/>
  <c r="W84" i="206"/>
  <c r="X84" i="206"/>
  <c r="Y84" i="206"/>
  <c r="Z84" i="206"/>
  <c r="D61" i="206"/>
  <c r="E61" i="206"/>
  <c r="F61" i="206"/>
  <c r="G61" i="206"/>
  <c r="H61" i="206"/>
  <c r="I61" i="206"/>
  <c r="J61" i="206"/>
  <c r="K61" i="206"/>
  <c r="L61" i="206"/>
  <c r="M61" i="206"/>
  <c r="N61" i="206"/>
  <c r="O61" i="206"/>
  <c r="P61" i="206"/>
  <c r="Q61" i="206"/>
  <c r="R61" i="206"/>
  <c r="S61" i="206"/>
  <c r="T61" i="206"/>
  <c r="U61" i="206"/>
  <c r="V61" i="206"/>
  <c r="W61" i="206"/>
  <c r="X61" i="206"/>
  <c r="Y61" i="206"/>
  <c r="Z61" i="206"/>
  <c r="D105" i="206"/>
  <c r="E105" i="206"/>
  <c r="F105" i="206"/>
  <c r="G105" i="206"/>
  <c r="H105" i="206"/>
  <c r="I105" i="206"/>
  <c r="J105" i="206"/>
  <c r="K105" i="206"/>
  <c r="L105" i="206"/>
  <c r="M105" i="206"/>
  <c r="N105" i="206"/>
  <c r="O105" i="206"/>
  <c r="P105" i="206"/>
  <c r="Q105" i="206"/>
  <c r="R105" i="206"/>
  <c r="S105" i="206"/>
  <c r="T105" i="206"/>
  <c r="U105" i="206"/>
  <c r="V105" i="206"/>
  <c r="W105" i="206"/>
  <c r="X105" i="206"/>
  <c r="Y105" i="206"/>
  <c r="Z105" i="206"/>
  <c r="D106" i="206"/>
  <c r="E106" i="206"/>
  <c r="F106" i="206"/>
  <c r="G106" i="206"/>
  <c r="H106" i="206"/>
  <c r="I106" i="206"/>
  <c r="J106" i="206"/>
  <c r="K106" i="206"/>
  <c r="L106" i="206"/>
  <c r="M106" i="206"/>
  <c r="N106" i="206"/>
  <c r="O106" i="206"/>
  <c r="P106" i="206"/>
  <c r="Q106" i="206"/>
  <c r="R106" i="206"/>
  <c r="S106" i="206"/>
  <c r="T106" i="206"/>
  <c r="U106" i="206"/>
  <c r="V106" i="206"/>
  <c r="W106" i="206"/>
  <c r="X106" i="206"/>
  <c r="Y106" i="206"/>
  <c r="Z106" i="206"/>
  <c r="D114" i="206"/>
  <c r="E114" i="206"/>
  <c r="F114" i="206"/>
  <c r="G114" i="206"/>
  <c r="H114" i="206"/>
  <c r="I114" i="206"/>
  <c r="J114" i="206"/>
  <c r="K114" i="206"/>
  <c r="L114" i="206"/>
  <c r="M114" i="206"/>
  <c r="N114" i="206"/>
  <c r="O114" i="206"/>
  <c r="P114" i="206"/>
  <c r="Q114" i="206"/>
  <c r="R114" i="206"/>
  <c r="S114" i="206"/>
  <c r="T114" i="206"/>
  <c r="U114" i="206"/>
  <c r="V114" i="206"/>
  <c r="W114" i="206"/>
  <c r="X114" i="206"/>
  <c r="Y114" i="206"/>
  <c r="Z114" i="206"/>
  <c r="D115" i="206"/>
  <c r="E115" i="206"/>
  <c r="F115" i="206"/>
  <c r="G115" i="206"/>
  <c r="H115" i="206"/>
  <c r="I115" i="206"/>
  <c r="J115" i="206"/>
  <c r="K115" i="206"/>
  <c r="L115" i="206"/>
  <c r="M115" i="206"/>
  <c r="N115" i="206"/>
  <c r="O115" i="206"/>
  <c r="P115" i="206"/>
  <c r="Q115" i="206"/>
  <c r="R115" i="206"/>
  <c r="S115" i="206"/>
  <c r="T115" i="206"/>
  <c r="U115" i="206"/>
  <c r="V115" i="206"/>
  <c r="W115" i="206"/>
  <c r="X115" i="206"/>
  <c r="Y115" i="206"/>
  <c r="Z115" i="206"/>
  <c r="D125" i="206"/>
  <c r="E125" i="206"/>
  <c r="F125" i="206"/>
  <c r="G125" i="206"/>
  <c r="H125" i="206"/>
  <c r="I125" i="206"/>
  <c r="J125" i="206"/>
  <c r="K125" i="206"/>
  <c r="L125" i="206"/>
  <c r="M125" i="206"/>
  <c r="N125" i="206"/>
  <c r="O125" i="206"/>
  <c r="P125" i="206"/>
  <c r="Q125" i="206"/>
  <c r="R125" i="206"/>
  <c r="S125" i="206"/>
  <c r="T125" i="206"/>
  <c r="U125" i="206"/>
  <c r="V125" i="206"/>
  <c r="W125" i="206"/>
  <c r="X125" i="206"/>
  <c r="Y125" i="206"/>
  <c r="Z125" i="206"/>
  <c r="D46" i="206"/>
  <c r="E46" i="206"/>
  <c r="F46" i="206"/>
  <c r="G46" i="206"/>
  <c r="H46" i="206"/>
  <c r="I46" i="206"/>
  <c r="J46" i="206"/>
  <c r="K46" i="206"/>
  <c r="L46" i="206"/>
  <c r="M46" i="206"/>
  <c r="N46" i="206"/>
  <c r="O46" i="206"/>
  <c r="P46" i="206"/>
  <c r="Q46" i="206"/>
  <c r="R46" i="206"/>
  <c r="S46" i="206"/>
  <c r="T46" i="206"/>
  <c r="U46" i="206"/>
  <c r="V46" i="206"/>
  <c r="W46" i="206"/>
  <c r="X46" i="206"/>
  <c r="Y46" i="206"/>
  <c r="Z46" i="206"/>
  <c r="D118" i="206"/>
  <c r="E118" i="206"/>
  <c r="F118" i="206"/>
  <c r="G118" i="206"/>
  <c r="H118" i="206"/>
  <c r="I118" i="206"/>
  <c r="J118" i="206"/>
  <c r="K118" i="206"/>
  <c r="L118" i="206"/>
  <c r="M118" i="206"/>
  <c r="N118" i="206"/>
  <c r="N120" i="206" s="1"/>
  <c r="P118" i="206"/>
  <c r="Q118" i="206"/>
  <c r="R118" i="206"/>
  <c r="S118" i="206"/>
  <c r="T118" i="206"/>
  <c r="W118" i="206"/>
  <c r="X118" i="206"/>
  <c r="Y118" i="206"/>
  <c r="Z118" i="206"/>
  <c r="D69" i="206"/>
  <c r="E69" i="206"/>
  <c r="F69" i="206"/>
  <c r="G69" i="206"/>
  <c r="H69" i="206"/>
  <c r="I69" i="206"/>
  <c r="J69" i="206"/>
  <c r="K69" i="206"/>
  <c r="L69" i="206"/>
  <c r="M69" i="206"/>
  <c r="N69" i="206"/>
  <c r="O69" i="206"/>
  <c r="P69" i="206"/>
  <c r="Q69" i="206"/>
  <c r="R69" i="206"/>
  <c r="S69" i="206"/>
  <c r="T69" i="206"/>
  <c r="U69" i="206"/>
  <c r="V69" i="206"/>
  <c r="W69" i="206"/>
  <c r="X69" i="206"/>
  <c r="Y69" i="206"/>
  <c r="Z69" i="206"/>
  <c r="D85" i="206"/>
  <c r="E85" i="206"/>
  <c r="F85" i="206"/>
  <c r="G85" i="206"/>
  <c r="H85" i="206"/>
  <c r="I85" i="206"/>
  <c r="J85" i="206"/>
  <c r="K85" i="206"/>
  <c r="L85" i="206"/>
  <c r="M85" i="206"/>
  <c r="N85" i="206"/>
  <c r="O85" i="206"/>
  <c r="P85" i="206"/>
  <c r="Q85" i="206"/>
  <c r="R85" i="206"/>
  <c r="S85" i="206"/>
  <c r="T85" i="206"/>
  <c r="U85" i="206"/>
  <c r="V85" i="206"/>
  <c r="W85" i="206"/>
  <c r="X85" i="206"/>
  <c r="Y85" i="206"/>
  <c r="Z85" i="206"/>
  <c r="D107" i="206"/>
  <c r="E107" i="206"/>
  <c r="F107" i="206"/>
  <c r="G107" i="206"/>
  <c r="H107" i="206"/>
  <c r="I107" i="206"/>
  <c r="J107" i="206"/>
  <c r="K107" i="206"/>
  <c r="L107" i="206"/>
  <c r="M107" i="206"/>
  <c r="N107" i="206"/>
  <c r="O107" i="206"/>
  <c r="P107" i="206"/>
  <c r="Q107" i="206"/>
  <c r="R107" i="206"/>
  <c r="S107" i="206"/>
  <c r="T107" i="206"/>
  <c r="U107" i="206"/>
  <c r="V107" i="206"/>
  <c r="W107" i="206"/>
  <c r="X107" i="206"/>
  <c r="Y107" i="206"/>
  <c r="Z107" i="206"/>
  <c r="D119" i="206"/>
  <c r="E119" i="206"/>
  <c r="F119" i="206"/>
  <c r="G119" i="206"/>
  <c r="H119" i="206"/>
  <c r="I119" i="206"/>
  <c r="J119" i="206"/>
  <c r="K119" i="206"/>
  <c r="L119" i="206"/>
  <c r="M119" i="206"/>
  <c r="N119" i="206"/>
  <c r="O119" i="206"/>
  <c r="P119" i="206"/>
  <c r="Q119" i="206"/>
  <c r="R119" i="206"/>
  <c r="S119" i="206"/>
  <c r="T119" i="206"/>
  <c r="U119" i="206"/>
  <c r="V119" i="206"/>
  <c r="W119" i="206"/>
  <c r="X119" i="206"/>
  <c r="Y119" i="206"/>
  <c r="Z119" i="206"/>
  <c r="D99" i="206"/>
  <c r="E99" i="206"/>
  <c r="F99" i="206"/>
  <c r="G99" i="206"/>
  <c r="H99" i="206"/>
  <c r="I99" i="206"/>
  <c r="J99" i="206"/>
  <c r="K99" i="206"/>
  <c r="L99" i="206"/>
  <c r="M99" i="206"/>
  <c r="N99" i="206"/>
  <c r="O99" i="206"/>
  <c r="P99" i="206"/>
  <c r="Q99" i="206"/>
  <c r="R99" i="206"/>
  <c r="S99" i="206"/>
  <c r="T99" i="206"/>
  <c r="U99" i="206"/>
  <c r="V99" i="206"/>
  <c r="W99" i="206"/>
  <c r="X99" i="206"/>
  <c r="Y99" i="206"/>
  <c r="Z99" i="206"/>
  <c r="D121" i="206"/>
  <c r="E121" i="206"/>
  <c r="F121" i="206"/>
  <c r="G121" i="206"/>
  <c r="H121" i="206"/>
  <c r="I121" i="206"/>
  <c r="J121" i="206"/>
  <c r="K121" i="206"/>
  <c r="L121" i="206"/>
  <c r="M121" i="206"/>
  <c r="N121" i="206"/>
  <c r="O121" i="206"/>
  <c r="P121" i="206"/>
  <c r="Q121" i="206"/>
  <c r="R121" i="206"/>
  <c r="S121" i="206"/>
  <c r="T121" i="206"/>
  <c r="U121" i="206"/>
  <c r="V121" i="206"/>
  <c r="W121" i="206"/>
  <c r="X121" i="206"/>
  <c r="Y121" i="206"/>
  <c r="Z121" i="206"/>
  <c r="D47" i="206"/>
  <c r="E47" i="206"/>
  <c r="F47" i="206"/>
  <c r="G47" i="206"/>
  <c r="H47" i="206"/>
  <c r="I47" i="206"/>
  <c r="J47" i="206"/>
  <c r="K47" i="206"/>
  <c r="L47" i="206"/>
  <c r="M47" i="206"/>
  <c r="N47" i="206"/>
  <c r="P47" i="206"/>
  <c r="Q47" i="206"/>
  <c r="R47" i="206"/>
  <c r="S47" i="206"/>
  <c r="T47" i="206"/>
  <c r="W47" i="206"/>
  <c r="X47" i="206"/>
  <c r="Y47" i="206"/>
  <c r="Z47" i="206"/>
  <c r="D48" i="206"/>
  <c r="E48" i="206"/>
  <c r="F48" i="206"/>
  <c r="G48" i="206"/>
  <c r="H48" i="206"/>
  <c r="I48" i="206"/>
  <c r="J48" i="206"/>
  <c r="K48" i="206"/>
  <c r="L48" i="206"/>
  <c r="M48" i="206"/>
  <c r="N48" i="206"/>
  <c r="O48" i="206"/>
  <c r="P48" i="206"/>
  <c r="Q48" i="206"/>
  <c r="R48" i="206"/>
  <c r="S48" i="206"/>
  <c r="T48" i="206"/>
  <c r="U48" i="206"/>
  <c r="V48" i="206"/>
  <c r="W48" i="206"/>
  <c r="X48" i="206"/>
  <c r="Y48" i="206"/>
  <c r="Z48" i="206"/>
  <c r="D62" i="206"/>
  <c r="E62" i="206"/>
  <c r="F62" i="206"/>
  <c r="G62" i="206"/>
  <c r="H62" i="206"/>
  <c r="I62" i="206"/>
  <c r="J62" i="206"/>
  <c r="K62" i="206"/>
  <c r="L62" i="206"/>
  <c r="M62" i="206"/>
  <c r="N62" i="206"/>
  <c r="O62" i="206"/>
  <c r="P62" i="206"/>
  <c r="Q62" i="206"/>
  <c r="R62" i="206"/>
  <c r="S62" i="206"/>
  <c r="T62" i="206"/>
  <c r="U62" i="206"/>
  <c r="V62" i="206"/>
  <c r="W62" i="206"/>
  <c r="X62" i="206"/>
  <c r="Y62" i="206"/>
  <c r="Z62" i="206"/>
  <c r="D49" i="206"/>
  <c r="E49" i="206"/>
  <c r="F49" i="206"/>
  <c r="G49" i="206"/>
  <c r="H49" i="206"/>
  <c r="I49" i="206"/>
  <c r="J49" i="206"/>
  <c r="K49" i="206"/>
  <c r="L49" i="206"/>
  <c r="M49" i="206"/>
  <c r="N49" i="206"/>
  <c r="O49" i="206"/>
  <c r="P49" i="206"/>
  <c r="Q49" i="206"/>
  <c r="R49" i="206"/>
  <c r="S49" i="206"/>
  <c r="T49" i="206"/>
  <c r="U49" i="206"/>
  <c r="V49" i="206"/>
  <c r="W49" i="206"/>
  <c r="X49" i="206"/>
  <c r="Y49" i="206"/>
  <c r="Z49" i="206"/>
  <c r="D50" i="206"/>
  <c r="E50" i="206"/>
  <c r="F50" i="206"/>
  <c r="G50" i="206"/>
  <c r="H50" i="206"/>
  <c r="I50" i="206"/>
  <c r="J50" i="206"/>
  <c r="K50" i="206"/>
  <c r="L50" i="206"/>
  <c r="M50" i="206"/>
  <c r="N50" i="206"/>
  <c r="O50" i="206"/>
  <c r="P50" i="206"/>
  <c r="Q50" i="206"/>
  <c r="R50" i="206"/>
  <c r="S50" i="206"/>
  <c r="T50" i="206"/>
  <c r="U50" i="206"/>
  <c r="V50" i="206"/>
  <c r="W50" i="206"/>
  <c r="X50" i="206"/>
  <c r="Y50" i="206"/>
  <c r="Z50" i="206"/>
  <c r="D51" i="206"/>
  <c r="E51" i="206"/>
  <c r="F51" i="206"/>
  <c r="G51" i="206"/>
  <c r="H51" i="206"/>
  <c r="I51" i="206"/>
  <c r="J51" i="206"/>
  <c r="K51" i="206"/>
  <c r="L51" i="206"/>
  <c r="M51" i="206"/>
  <c r="N51" i="206"/>
  <c r="O51" i="206"/>
  <c r="P51" i="206"/>
  <c r="Q51" i="206"/>
  <c r="R51" i="206"/>
  <c r="S51" i="206"/>
  <c r="T51" i="206"/>
  <c r="U51" i="206"/>
  <c r="V51" i="206"/>
  <c r="W51" i="206"/>
  <c r="X51" i="206"/>
  <c r="Y51" i="206"/>
  <c r="Z51" i="206"/>
  <c r="D11" i="206"/>
  <c r="E11" i="206"/>
  <c r="F11" i="206"/>
  <c r="G11" i="206"/>
  <c r="H11" i="206"/>
  <c r="I11" i="206"/>
  <c r="J11" i="206"/>
  <c r="K11" i="206"/>
  <c r="L11" i="206"/>
  <c r="M11" i="206"/>
  <c r="N11" i="206"/>
  <c r="O11" i="206"/>
  <c r="P11" i="206"/>
  <c r="Q11" i="206"/>
  <c r="R11" i="206"/>
  <c r="S11" i="206"/>
  <c r="T11" i="206"/>
  <c r="U11" i="206"/>
  <c r="V11" i="206"/>
  <c r="W11" i="206"/>
  <c r="X11" i="206"/>
  <c r="Y11" i="206"/>
  <c r="Z11" i="206"/>
  <c r="D63" i="206"/>
  <c r="E63" i="206"/>
  <c r="F63" i="206"/>
  <c r="G63" i="206"/>
  <c r="H63" i="206"/>
  <c r="I63" i="206"/>
  <c r="J63" i="206"/>
  <c r="K63" i="206"/>
  <c r="L63" i="206"/>
  <c r="M63" i="206"/>
  <c r="N63" i="206"/>
  <c r="O63" i="206"/>
  <c r="P63" i="206"/>
  <c r="Q63" i="206"/>
  <c r="R63" i="206"/>
  <c r="S63" i="206"/>
  <c r="T63" i="206"/>
  <c r="U63" i="206"/>
  <c r="V63" i="206"/>
  <c r="W63" i="206"/>
  <c r="X63" i="206"/>
  <c r="Y63" i="206"/>
  <c r="Z63" i="206"/>
  <c r="D52" i="206"/>
  <c r="E52" i="206"/>
  <c r="F52" i="206"/>
  <c r="G52" i="206"/>
  <c r="H52" i="206"/>
  <c r="I52" i="206"/>
  <c r="J52" i="206"/>
  <c r="K52" i="206"/>
  <c r="L52" i="206"/>
  <c r="M52" i="206"/>
  <c r="N52" i="206"/>
  <c r="O52" i="206"/>
  <c r="P52" i="206"/>
  <c r="Q52" i="206"/>
  <c r="R52" i="206"/>
  <c r="S52" i="206"/>
  <c r="T52" i="206"/>
  <c r="U52" i="206"/>
  <c r="V52" i="206"/>
  <c r="W52" i="206"/>
  <c r="X52" i="206"/>
  <c r="Y52" i="206"/>
  <c r="Z52" i="206"/>
  <c r="D53" i="206"/>
  <c r="E53" i="206"/>
  <c r="F53" i="206"/>
  <c r="G53" i="206"/>
  <c r="H53" i="206"/>
  <c r="I53" i="206"/>
  <c r="J53" i="206"/>
  <c r="K53" i="206"/>
  <c r="L53" i="206"/>
  <c r="M53" i="206"/>
  <c r="N53" i="206"/>
  <c r="O53" i="206"/>
  <c r="P53" i="206"/>
  <c r="Q53" i="206"/>
  <c r="R53" i="206"/>
  <c r="S53" i="206"/>
  <c r="T53" i="206"/>
  <c r="U53" i="206"/>
  <c r="V53" i="206"/>
  <c r="W53" i="206"/>
  <c r="X53" i="206"/>
  <c r="Y53" i="206"/>
  <c r="Z53" i="206"/>
  <c r="D12" i="206"/>
  <c r="E12" i="206"/>
  <c r="F12" i="206"/>
  <c r="G12" i="206"/>
  <c r="H12" i="206"/>
  <c r="I12" i="206"/>
  <c r="J12" i="206"/>
  <c r="K12" i="206"/>
  <c r="L12" i="206"/>
  <c r="M12" i="206"/>
  <c r="N12" i="206"/>
  <c r="O12" i="206"/>
  <c r="P12" i="206"/>
  <c r="Q12" i="206"/>
  <c r="R12" i="206"/>
  <c r="S12" i="206"/>
  <c r="T12" i="206"/>
  <c r="U12" i="206"/>
  <c r="V12" i="206"/>
  <c r="W12" i="206"/>
  <c r="X12" i="206"/>
  <c r="Y12" i="206"/>
  <c r="Z12" i="206"/>
  <c r="D13" i="206"/>
  <c r="E13" i="206"/>
  <c r="F13" i="206"/>
  <c r="G13" i="206"/>
  <c r="H13" i="206"/>
  <c r="I13" i="206"/>
  <c r="J13" i="206"/>
  <c r="K13" i="206"/>
  <c r="L13" i="206"/>
  <c r="M13" i="206"/>
  <c r="N13" i="206"/>
  <c r="O13" i="206"/>
  <c r="P13" i="206"/>
  <c r="Q13" i="206"/>
  <c r="R13" i="206"/>
  <c r="S13" i="206"/>
  <c r="T13" i="206"/>
  <c r="U13" i="206"/>
  <c r="V13" i="206"/>
  <c r="W13" i="206"/>
  <c r="X13" i="206"/>
  <c r="Y13" i="206"/>
  <c r="Z13" i="206"/>
  <c r="D86" i="206"/>
  <c r="E86" i="206"/>
  <c r="F86" i="206"/>
  <c r="G86" i="206"/>
  <c r="H86" i="206"/>
  <c r="I86" i="206"/>
  <c r="J86" i="206"/>
  <c r="K86" i="206"/>
  <c r="L86" i="206"/>
  <c r="M86" i="206"/>
  <c r="N86" i="206"/>
  <c r="P86" i="206"/>
  <c r="Q86" i="206"/>
  <c r="R86" i="206"/>
  <c r="S86" i="206"/>
  <c r="T86" i="206"/>
  <c r="W86" i="206"/>
  <c r="X86" i="206"/>
  <c r="Y86" i="206"/>
  <c r="Z86" i="206"/>
  <c r="D54" i="206"/>
  <c r="E54" i="206"/>
  <c r="F54" i="206"/>
  <c r="G54" i="206"/>
  <c r="H54" i="206"/>
  <c r="I54" i="206"/>
  <c r="J54" i="206"/>
  <c r="K54" i="206"/>
  <c r="L54" i="206"/>
  <c r="M54" i="206"/>
  <c r="N54" i="206"/>
  <c r="O54" i="206"/>
  <c r="P54" i="206"/>
  <c r="Q54" i="206"/>
  <c r="R54" i="206"/>
  <c r="S54" i="206"/>
  <c r="T54" i="206"/>
  <c r="U54" i="206"/>
  <c r="V54" i="206"/>
  <c r="W54" i="206"/>
  <c r="X54" i="206"/>
  <c r="Y54" i="206"/>
  <c r="Z54" i="206"/>
  <c r="D87" i="206"/>
  <c r="E87" i="206"/>
  <c r="F87" i="206"/>
  <c r="G87" i="206"/>
  <c r="H87" i="206"/>
  <c r="I87" i="206"/>
  <c r="J87" i="206"/>
  <c r="K87" i="206"/>
  <c r="L87" i="206"/>
  <c r="M87" i="206"/>
  <c r="N87" i="206"/>
  <c r="O87" i="206"/>
  <c r="P87" i="206"/>
  <c r="Q87" i="206"/>
  <c r="R87" i="206"/>
  <c r="S87" i="206"/>
  <c r="T87" i="206"/>
  <c r="U87" i="206"/>
  <c r="V87" i="206"/>
  <c r="W87" i="206"/>
  <c r="X87" i="206"/>
  <c r="Y87" i="206"/>
  <c r="Z87" i="206"/>
  <c r="D64" i="206"/>
  <c r="E64" i="206"/>
  <c r="F64" i="206"/>
  <c r="G64" i="206"/>
  <c r="H64" i="206"/>
  <c r="I64" i="206"/>
  <c r="J64" i="206"/>
  <c r="K64" i="206"/>
  <c r="L64" i="206"/>
  <c r="M64" i="206"/>
  <c r="N64" i="206"/>
  <c r="O64" i="206"/>
  <c r="P64" i="206"/>
  <c r="Q64" i="206"/>
  <c r="R64" i="206"/>
  <c r="S64" i="206"/>
  <c r="T64" i="206"/>
  <c r="U64" i="206"/>
  <c r="V64" i="206"/>
  <c r="W64" i="206"/>
  <c r="X64" i="206"/>
  <c r="Y64" i="206"/>
  <c r="Z64" i="206"/>
  <c r="D55" i="206"/>
  <c r="E55" i="206"/>
  <c r="F55" i="206"/>
  <c r="G55" i="206"/>
  <c r="H55" i="206"/>
  <c r="I55" i="206"/>
  <c r="J55" i="206"/>
  <c r="K55" i="206"/>
  <c r="L55" i="206"/>
  <c r="M55" i="206"/>
  <c r="N55" i="206"/>
  <c r="O55" i="206"/>
  <c r="P55" i="206"/>
  <c r="Q55" i="206"/>
  <c r="R55" i="206"/>
  <c r="S55" i="206"/>
  <c r="T55" i="206"/>
  <c r="U55" i="206"/>
  <c r="V55" i="206"/>
  <c r="W55" i="206"/>
  <c r="X55" i="206"/>
  <c r="Y55" i="206"/>
  <c r="Z55" i="206"/>
  <c r="D88" i="206"/>
  <c r="E88" i="206"/>
  <c r="G88" i="206"/>
  <c r="H88" i="206"/>
  <c r="I88" i="206"/>
  <c r="J88" i="206"/>
  <c r="K88" i="206"/>
  <c r="L88" i="206"/>
  <c r="M88" i="206"/>
  <c r="N88" i="206"/>
  <c r="P88" i="206"/>
  <c r="Q88" i="206"/>
  <c r="R88" i="206"/>
  <c r="S88" i="206"/>
  <c r="T88" i="206"/>
  <c r="W88" i="206"/>
  <c r="X88" i="206"/>
  <c r="Y88" i="206"/>
  <c r="Z88" i="206"/>
  <c r="D116" i="206"/>
  <c r="E116" i="206"/>
  <c r="G116" i="206"/>
  <c r="H116" i="206"/>
  <c r="I116" i="206"/>
  <c r="J116" i="206"/>
  <c r="K116" i="206"/>
  <c r="L116" i="206"/>
  <c r="M116" i="206"/>
  <c r="N116" i="206"/>
  <c r="P116" i="206"/>
  <c r="Q116" i="206"/>
  <c r="R116" i="206"/>
  <c r="S116" i="206"/>
  <c r="T116" i="206"/>
  <c r="W116" i="206"/>
  <c r="X116" i="206"/>
  <c r="Y116" i="206"/>
  <c r="Z116" i="206"/>
  <c r="E15" i="206"/>
  <c r="F15" i="206"/>
  <c r="G15" i="206"/>
  <c r="H15" i="206"/>
  <c r="I15" i="206"/>
  <c r="J15" i="206"/>
  <c r="J67" i="206" s="1"/>
  <c r="K15" i="206"/>
  <c r="L15" i="206"/>
  <c r="M15" i="206"/>
  <c r="N15" i="206"/>
  <c r="O15" i="206"/>
  <c r="P15" i="206"/>
  <c r="Q15" i="206"/>
  <c r="R15" i="206"/>
  <c r="R67" i="206" s="1"/>
  <c r="S15" i="206"/>
  <c r="T15" i="206"/>
  <c r="U15" i="206"/>
  <c r="V15" i="206"/>
  <c r="W15" i="206"/>
  <c r="X15" i="206"/>
  <c r="Y15" i="206"/>
  <c r="Z15" i="206"/>
  <c r="Z67" i="206" s="1"/>
  <c r="D56" i="206"/>
  <c r="D15" i="206"/>
  <c r="L13" i="97" l="1"/>
  <c r="N16" i="210"/>
  <c r="N19" i="210" s="1"/>
  <c r="H6" i="97"/>
  <c r="G6" i="97"/>
  <c r="X6" i="97"/>
  <c r="F6" i="97"/>
  <c r="W6" i="97"/>
  <c r="E6" i="97"/>
  <c r="V6" i="97"/>
  <c r="C6" i="97"/>
  <c r="T6" i="97"/>
  <c r="P6" i="97"/>
  <c r="O6" i="97"/>
  <c r="T9" i="97"/>
  <c r="K9" i="97"/>
  <c r="M57" i="211"/>
  <c r="Y18" i="214"/>
  <c r="Q18" i="214"/>
  <c r="O11" i="97" s="1"/>
  <c r="J18" i="214"/>
  <c r="I18" i="214"/>
  <c r="Z18" i="214"/>
  <c r="E15" i="214"/>
  <c r="Q15" i="214"/>
  <c r="X18" i="214"/>
  <c r="H18" i="214"/>
  <c r="Z15" i="214"/>
  <c r="J15" i="214"/>
  <c r="G18" i="214"/>
  <c r="Y15" i="214"/>
  <c r="I15" i="214"/>
  <c r="N18" i="214"/>
  <c r="X15" i="214"/>
  <c r="H15" i="214"/>
  <c r="E18" i="214"/>
  <c r="G15" i="214"/>
  <c r="D18" i="214"/>
  <c r="P10" i="97"/>
  <c r="R19" i="214"/>
  <c r="Q19" i="214"/>
  <c r="G10" i="97"/>
  <c r="I19" i="214"/>
  <c r="N20" i="216"/>
  <c r="U127" i="222"/>
  <c r="M127" i="222"/>
  <c r="U88" i="221"/>
  <c r="M88" i="221"/>
  <c r="Y32" i="211"/>
  <c r="I32" i="211"/>
  <c r="X32" i="211"/>
  <c r="P32" i="211"/>
  <c r="H32" i="211"/>
  <c r="N43" i="211"/>
  <c r="F43" i="211"/>
  <c r="R32" i="211"/>
  <c r="Q32" i="211"/>
  <c r="G32" i="211"/>
  <c r="Z32" i="211"/>
  <c r="N32" i="211"/>
  <c r="M32" i="211"/>
  <c r="E32" i="211"/>
  <c r="T32" i="211"/>
  <c r="L32" i="211"/>
  <c r="D57" i="211"/>
  <c r="J32" i="211"/>
  <c r="S32" i="211"/>
  <c r="K32" i="211"/>
  <c r="I67" i="206"/>
  <c r="X70" i="206"/>
  <c r="G70" i="206"/>
  <c r="H70" i="206"/>
  <c r="W70" i="206"/>
  <c r="W67" i="206"/>
  <c r="G67" i="206"/>
  <c r="V70" i="206"/>
  <c r="N70" i="206"/>
  <c r="F70" i="206"/>
  <c r="P67" i="206"/>
  <c r="N67" i="206"/>
  <c r="U70" i="206"/>
  <c r="M70" i="206"/>
  <c r="E70" i="206"/>
  <c r="M67" i="206"/>
  <c r="E67" i="206"/>
  <c r="T70" i="206"/>
  <c r="L70" i="206"/>
  <c r="B9" i="97"/>
  <c r="Q67" i="206"/>
  <c r="X67" i="206"/>
  <c r="T67" i="206"/>
  <c r="S70" i="206"/>
  <c r="K70" i="206"/>
  <c r="Y67" i="206"/>
  <c r="P70" i="206"/>
  <c r="H67" i="206"/>
  <c r="O70" i="206"/>
  <c r="L67" i="206"/>
  <c r="S67" i="206"/>
  <c r="K67" i="206"/>
  <c r="Z70" i="206"/>
  <c r="R70" i="206"/>
  <c r="J70" i="206"/>
  <c r="Z76" i="207"/>
  <c r="R76" i="207"/>
  <c r="J76" i="207"/>
  <c r="Y76" i="207"/>
  <c r="Q76" i="207"/>
  <c r="I76" i="207"/>
  <c r="G69" i="207"/>
  <c r="E15" i="97" s="1"/>
  <c r="X76" i="207"/>
  <c r="H76" i="207"/>
  <c r="G64" i="207"/>
  <c r="E14" i="97" s="1"/>
  <c r="G76" i="207"/>
  <c r="N76" i="207"/>
  <c r="E76" i="207"/>
  <c r="W43" i="211"/>
  <c r="G43" i="211"/>
  <c r="G56" i="211"/>
  <c r="M43" i="211"/>
  <c r="E43" i="211"/>
  <c r="M56" i="211"/>
  <c r="E56" i="211"/>
  <c r="N56" i="211"/>
  <c r="T43" i="211"/>
  <c r="L43" i="211"/>
  <c r="T56" i="211"/>
  <c r="L56" i="211"/>
  <c r="F56" i="211"/>
  <c r="S43" i="211"/>
  <c r="K43" i="211"/>
  <c r="S56" i="211"/>
  <c r="K56" i="211"/>
  <c r="Z43" i="211"/>
  <c r="R43" i="211"/>
  <c r="J43" i="211"/>
  <c r="Z56" i="211"/>
  <c r="R56" i="211"/>
  <c r="J56" i="211"/>
  <c r="Y43" i="211"/>
  <c r="Q43" i="211"/>
  <c r="I43" i="211"/>
  <c r="Y56" i="211"/>
  <c r="Q56" i="211"/>
  <c r="I56" i="211"/>
  <c r="O14" i="206"/>
  <c r="V14" i="206"/>
  <c r="N14" i="206"/>
  <c r="F14" i="206"/>
  <c r="U14" i="206"/>
  <c r="M14" i="206"/>
  <c r="E14" i="206"/>
  <c r="P14" i="206"/>
  <c r="W14" i="206"/>
  <c r="T14" i="206"/>
  <c r="L14" i="206"/>
  <c r="X14" i="206"/>
  <c r="S14" i="206"/>
  <c r="K14" i="206"/>
  <c r="G14" i="206"/>
  <c r="N117" i="206"/>
  <c r="Z126" i="206"/>
  <c r="R126" i="206"/>
  <c r="J126" i="206"/>
  <c r="Z14" i="206"/>
  <c r="R14" i="206"/>
  <c r="J14" i="206"/>
  <c r="H14" i="206"/>
  <c r="Y14" i="206"/>
  <c r="Q14" i="206"/>
  <c r="I14" i="206"/>
  <c r="J12" i="216"/>
  <c r="Y12" i="216"/>
  <c r="Q12" i="216"/>
  <c r="I12" i="216"/>
  <c r="R12" i="216"/>
  <c r="W12" i="216"/>
  <c r="W20" i="216" s="1"/>
  <c r="G12" i="216"/>
  <c r="N12" i="216"/>
  <c r="W7" i="216"/>
  <c r="G7" i="216"/>
  <c r="Z12" i="216"/>
  <c r="M12" i="216"/>
  <c r="M20" i="216" s="1"/>
  <c r="E12" i="216"/>
  <c r="L12" i="216"/>
  <c r="D12" i="216"/>
  <c r="D20" i="216" s="1"/>
  <c r="Z11" i="207"/>
  <c r="E69" i="207"/>
  <c r="C15" i="97" s="1"/>
  <c r="E64" i="207"/>
  <c r="C14" i="97" s="1"/>
  <c r="N64" i="207"/>
  <c r="L14" i="97" s="1"/>
  <c r="Z69" i="207"/>
  <c r="X15" i="97" s="1"/>
  <c r="R69" i="207"/>
  <c r="P15" i="97" s="1"/>
  <c r="J69" i="207"/>
  <c r="H15" i="97" s="1"/>
  <c r="Z64" i="207"/>
  <c r="X14" i="97" s="1"/>
  <c r="R64" i="207"/>
  <c r="P14" i="97" s="1"/>
  <c r="J64" i="207"/>
  <c r="H14" i="97" s="1"/>
  <c r="Y69" i="207"/>
  <c r="W15" i="97" s="1"/>
  <c r="Q69" i="207"/>
  <c r="O15" i="97" s="1"/>
  <c r="I69" i="207"/>
  <c r="G15" i="97" s="1"/>
  <c r="Y64" i="207"/>
  <c r="W14" i="97" s="1"/>
  <c r="Q64" i="207"/>
  <c r="O14" i="97" s="1"/>
  <c r="I64" i="207"/>
  <c r="G14" i="97" s="1"/>
  <c r="N69" i="207"/>
  <c r="X69" i="207"/>
  <c r="V15" i="97" s="1"/>
  <c r="H69" i="207"/>
  <c r="F15" i="97" s="1"/>
  <c r="X64" i="207"/>
  <c r="V14" i="97" s="1"/>
  <c r="H64" i="207"/>
  <c r="F14" i="97" s="1"/>
  <c r="R11" i="207"/>
  <c r="J11" i="207"/>
  <c r="Y11" i="207"/>
  <c r="Y54" i="207"/>
  <c r="Q54" i="207"/>
  <c r="I54" i="207"/>
  <c r="E23" i="207"/>
  <c r="C8" i="97" s="1"/>
  <c r="C20" i="97" s="1"/>
  <c r="Z48" i="207"/>
  <c r="R48" i="207"/>
  <c r="P11" i="97" s="1"/>
  <c r="J48" i="207"/>
  <c r="X54" i="207"/>
  <c r="H54" i="207"/>
  <c r="Y48" i="207"/>
  <c r="Q48" i="207"/>
  <c r="I48" i="207"/>
  <c r="G54" i="207"/>
  <c r="Q11" i="207"/>
  <c r="O10" i="97" s="1"/>
  <c r="I11" i="207"/>
  <c r="N54" i="207"/>
  <c r="Z23" i="207"/>
  <c r="X8" i="97" s="1"/>
  <c r="R23" i="207"/>
  <c r="P8" i="97" s="1"/>
  <c r="J23" i="207"/>
  <c r="H8" i="97" s="1"/>
  <c r="G48" i="207"/>
  <c r="H48" i="207"/>
  <c r="X11" i="207"/>
  <c r="V10" i="97" s="1"/>
  <c r="H11" i="207"/>
  <c r="E54" i="207"/>
  <c r="Y23" i="207"/>
  <c r="W8" i="97" s="1"/>
  <c r="Q23" i="207"/>
  <c r="O8" i="97" s="1"/>
  <c r="I23" i="207"/>
  <c r="G8" i="97" s="1"/>
  <c r="G11" i="207"/>
  <c r="X23" i="207"/>
  <c r="V8" i="97" s="1"/>
  <c r="H23" i="207"/>
  <c r="F8" i="97" s="1"/>
  <c r="E48" i="207"/>
  <c r="X48" i="207"/>
  <c r="G23" i="207"/>
  <c r="E8" i="97" s="1"/>
  <c r="E11" i="207"/>
  <c r="C10" i="97" s="1"/>
  <c r="Z54" i="207"/>
  <c r="R54" i="207"/>
  <c r="J54" i="207"/>
  <c r="M117" i="206"/>
  <c r="E117" i="206"/>
  <c r="Y126" i="206"/>
  <c r="Q126" i="206"/>
  <c r="I126" i="206"/>
  <c r="W98" i="206"/>
  <c r="G98" i="206"/>
  <c r="H98" i="206"/>
  <c r="T117" i="206"/>
  <c r="L117" i="206"/>
  <c r="X126" i="206"/>
  <c r="P126" i="206"/>
  <c r="H126" i="206"/>
  <c r="N98" i="206"/>
  <c r="S117" i="206"/>
  <c r="K117" i="206"/>
  <c r="W126" i="206"/>
  <c r="O126" i="206"/>
  <c r="G126" i="206"/>
  <c r="M98" i="206"/>
  <c r="E98" i="206"/>
  <c r="P98" i="206"/>
  <c r="Z117" i="206"/>
  <c r="R117" i="206"/>
  <c r="J117" i="206"/>
  <c r="V126" i="206"/>
  <c r="N126" i="206"/>
  <c r="F126" i="206"/>
  <c r="T98" i="206"/>
  <c r="L98" i="206"/>
  <c r="Y117" i="206"/>
  <c r="Q117" i="206"/>
  <c r="I117" i="206"/>
  <c r="U126" i="206"/>
  <c r="M126" i="206"/>
  <c r="E126" i="206"/>
  <c r="S98" i="206"/>
  <c r="K98" i="206"/>
  <c r="X98" i="206"/>
  <c r="X117" i="206"/>
  <c r="P117" i="206"/>
  <c r="H117" i="206"/>
  <c r="T126" i="206"/>
  <c r="L126" i="206"/>
  <c r="Z98" i="206"/>
  <c r="R98" i="206"/>
  <c r="J98" i="206"/>
  <c r="W117" i="206"/>
  <c r="G117" i="206"/>
  <c r="S126" i="206"/>
  <c r="K126" i="206"/>
  <c r="Q98" i="206"/>
  <c r="I98" i="206"/>
  <c r="Z23" i="215"/>
  <c r="I23" i="215"/>
  <c r="X23" i="215"/>
  <c r="N23" i="215"/>
  <c r="E23" i="215"/>
  <c r="F23" i="215"/>
  <c r="L23" i="215"/>
  <c r="K23" i="215"/>
  <c r="L24" i="215" s="1"/>
  <c r="P24" i="215" s="1"/>
  <c r="Y24" i="212"/>
  <c r="I24" i="212"/>
  <c r="X24" i="212"/>
  <c r="L25" i="212"/>
  <c r="P25" i="212" s="1"/>
  <c r="F24" i="212"/>
  <c r="D24" i="212"/>
  <c r="V24" i="212"/>
  <c r="L20" i="210"/>
  <c r="P20" i="210" s="1"/>
  <c r="I28" i="209"/>
  <c r="X28" i="209"/>
  <c r="L29" i="209"/>
  <c r="P29" i="209" s="1"/>
  <c r="L28" i="209"/>
  <c r="P28" i="209"/>
  <c r="Q9" i="208"/>
  <c r="Z9" i="208"/>
  <c r="S9" i="208"/>
  <c r="D9" i="208"/>
  <c r="L9" i="208"/>
  <c r="P10" i="208" s="1"/>
  <c r="F9" i="208"/>
  <c r="K9" i="208"/>
  <c r="L10" i="208" s="1"/>
  <c r="AA133" i="206"/>
  <c r="N57" i="211" l="1"/>
  <c r="L15" i="97"/>
  <c r="W10" i="97"/>
  <c r="X11" i="97"/>
  <c r="E11" i="97"/>
  <c r="G11" i="97"/>
  <c r="E10" i="97"/>
  <c r="H10" i="97"/>
  <c r="H11" i="97"/>
  <c r="F10" i="97"/>
  <c r="F11" i="97"/>
  <c r="C11" i="97"/>
  <c r="V11" i="97"/>
  <c r="H12" i="97"/>
  <c r="J77" i="207"/>
  <c r="C12" i="97"/>
  <c r="E77" i="207"/>
  <c r="G12" i="97"/>
  <c r="I77" i="207"/>
  <c r="W12" i="97"/>
  <c r="Y77" i="207"/>
  <c r="X12" i="97"/>
  <c r="X20" i="97" s="1"/>
  <c r="Z77" i="207"/>
  <c r="P12" i="97"/>
  <c r="R77" i="207"/>
  <c r="F12" i="97"/>
  <c r="H77" i="207"/>
  <c r="O12" i="97"/>
  <c r="Q77" i="207"/>
  <c r="L12" i="97"/>
  <c r="E12" i="97"/>
  <c r="G77" i="207"/>
  <c r="V12" i="97"/>
  <c r="X77" i="207"/>
  <c r="B12" i="97"/>
  <c r="N133" i="206"/>
  <c r="Z19" i="214"/>
  <c r="Y19" i="214"/>
  <c r="X19" i="214"/>
  <c r="X10" i="97"/>
  <c r="E19" i="214"/>
  <c r="G19" i="214"/>
  <c r="J19" i="214"/>
  <c r="H19" i="214"/>
  <c r="B15" i="97"/>
  <c r="L58" i="211"/>
  <c r="L21" i="216"/>
  <c r="P21" i="216" s="1"/>
  <c r="P23" i="215"/>
  <c r="P18" i="213"/>
  <c r="L24" i="212"/>
  <c r="P9" i="208"/>
  <c r="P58" i="211" l="1"/>
  <c r="L134" i="206"/>
  <c r="P134" i="206" s="1"/>
  <c r="M134" i="206" s="1"/>
  <c r="U134" i="206"/>
  <c r="M23" i="215"/>
  <c r="O23" i="215"/>
  <c r="P24" i="212"/>
  <c r="U20" i="210"/>
  <c r="T20" i="210"/>
  <c r="T28" i="209"/>
  <c r="M28" i="209"/>
  <c r="T29" i="209" s="1"/>
  <c r="T9" i="208"/>
  <c r="U10" i="208" s="1"/>
  <c r="M9" i="208"/>
  <c r="O9" i="208"/>
  <c r="T23" i="215" l="1"/>
  <c r="M24" i="215" s="1"/>
  <c r="T24" i="212"/>
  <c r="U25" i="212" s="1"/>
  <c r="M24" i="212"/>
  <c r="T25" i="212" s="1"/>
  <c r="T58" i="211"/>
  <c r="U58" i="211" s="1"/>
  <c r="M10" i="208"/>
  <c r="U9" i="208"/>
  <c r="W9" i="208"/>
  <c r="U23" i="215" l="1"/>
  <c r="V23" i="215"/>
  <c r="U18" i="213" l="1"/>
  <c r="M18" i="213"/>
  <c r="E84" i="205"/>
  <c r="F84" i="205"/>
  <c r="G84" i="205"/>
  <c r="H84" i="205"/>
  <c r="I84" i="205"/>
  <c r="J84" i="205"/>
  <c r="K84" i="205"/>
  <c r="L84" i="205"/>
  <c r="M84" i="205"/>
  <c r="N84" i="205"/>
  <c r="O84" i="205"/>
  <c r="P84" i="205"/>
  <c r="Q84" i="205"/>
  <c r="R84" i="205"/>
  <c r="S84" i="205"/>
  <c r="T84" i="205"/>
  <c r="U84" i="205"/>
  <c r="V84" i="205"/>
  <c r="W84" i="205"/>
  <c r="X84" i="205"/>
  <c r="Y84" i="205"/>
  <c r="Z84" i="205"/>
  <c r="E50" i="205"/>
  <c r="F50" i="205"/>
  <c r="G50" i="205"/>
  <c r="H50" i="205"/>
  <c r="I50" i="205"/>
  <c r="J50" i="205"/>
  <c r="K50" i="205"/>
  <c r="L50" i="205"/>
  <c r="M50" i="205"/>
  <c r="N50" i="205"/>
  <c r="O50" i="205"/>
  <c r="P50" i="205"/>
  <c r="Q50" i="205"/>
  <c r="R50" i="205"/>
  <c r="S50" i="205"/>
  <c r="T50" i="205"/>
  <c r="U50" i="205"/>
  <c r="V50" i="205"/>
  <c r="W50" i="205"/>
  <c r="X50" i="205"/>
  <c r="Y50" i="205"/>
  <c r="Z50" i="205"/>
  <c r="E51" i="205"/>
  <c r="G51" i="205"/>
  <c r="H51" i="205"/>
  <c r="I51" i="205"/>
  <c r="J51" i="205"/>
  <c r="K51" i="205"/>
  <c r="L51" i="205"/>
  <c r="M51" i="205"/>
  <c r="N51" i="205"/>
  <c r="P51" i="205"/>
  <c r="Q51" i="205"/>
  <c r="R51" i="205"/>
  <c r="S51" i="205"/>
  <c r="T51" i="205"/>
  <c r="U51" i="205"/>
  <c r="V51" i="205"/>
  <c r="W51" i="205"/>
  <c r="X51" i="205"/>
  <c r="Y51" i="205"/>
  <c r="Z51" i="205"/>
  <c r="E52" i="205"/>
  <c r="F52" i="205"/>
  <c r="G52" i="205"/>
  <c r="H52" i="205"/>
  <c r="I52" i="205"/>
  <c r="J52" i="205"/>
  <c r="K52" i="205"/>
  <c r="L52" i="205"/>
  <c r="M52" i="205"/>
  <c r="N52" i="205"/>
  <c r="O52" i="205"/>
  <c r="P52" i="205"/>
  <c r="Q52" i="205"/>
  <c r="R52" i="205"/>
  <c r="S52" i="205"/>
  <c r="T52" i="205"/>
  <c r="U52" i="205"/>
  <c r="V52" i="205"/>
  <c r="W52" i="205"/>
  <c r="X52" i="205"/>
  <c r="Y52" i="205"/>
  <c r="Z52" i="205"/>
  <c r="E83" i="205"/>
  <c r="F83" i="205"/>
  <c r="G83" i="205"/>
  <c r="H83" i="205"/>
  <c r="I83" i="205"/>
  <c r="J83" i="205"/>
  <c r="K83" i="205"/>
  <c r="L83" i="205"/>
  <c r="M83" i="205"/>
  <c r="N83" i="205"/>
  <c r="O83" i="205"/>
  <c r="P83" i="205"/>
  <c r="Q83" i="205"/>
  <c r="R83" i="205"/>
  <c r="S83" i="205"/>
  <c r="T83" i="205"/>
  <c r="U83" i="205"/>
  <c r="V83" i="205"/>
  <c r="W83" i="205"/>
  <c r="X83" i="205"/>
  <c r="Y83" i="205"/>
  <c r="Z83" i="205"/>
  <c r="E7" i="205"/>
  <c r="F7" i="205"/>
  <c r="G7" i="205"/>
  <c r="H7" i="205"/>
  <c r="I7" i="205"/>
  <c r="J7" i="205"/>
  <c r="K7" i="205"/>
  <c r="L7" i="205"/>
  <c r="M7" i="205"/>
  <c r="N7" i="205"/>
  <c r="O7" i="205"/>
  <c r="P7" i="205"/>
  <c r="Q7" i="205"/>
  <c r="R7" i="205"/>
  <c r="S7" i="205"/>
  <c r="T7" i="205"/>
  <c r="U7" i="205"/>
  <c r="V7" i="205"/>
  <c r="W7" i="205"/>
  <c r="X7" i="205"/>
  <c r="Y7" i="205"/>
  <c r="Z7" i="205"/>
  <c r="E53" i="205"/>
  <c r="F53" i="205"/>
  <c r="G53" i="205"/>
  <c r="H53" i="205"/>
  <c r="I53" i="205"/>
  <c r="J53" i="205"/>
  <c r="K53" i="205"/>
  <c r="L53" i="205"/>
  <c r="M53" i="205"/>
  <c r="N53" i="205"/>
  <c r="O53" i="205"/>
  <c r="P53" i="205"/>
  <c r="Q53" i="205"/>
  <c r="R53" i="205"/>
  <c r="S53" i="205"/>
  <c r="T53" i="205"/>
  <c r="U53" i="205"/>
  <c r="V53" i="205"/>
  <c r="W53" i="205"/>
  <c r="X53" i="205"/>
  <c r="Y53" i="205"/>
  <c r="Z53" i="205"/>
  <c r="E54" i="205"/>
  <c r="F54" i="205"/>
  <c r="G54" i="205"/>
  <c r="H54" i="205"/>
  <c r="I54" i="205"/>
  <c r="J54" i="205"/>
  <c r="K54" i="205"/>
  <c r="L54" i="205"/>
  <c r="M54" i="205"/>
  <c r="N54" i="205"/>
  <c r="O54" i="205"/>
  <c r="P54" i="205"/>
  <c r="Q54" i="205"/>
  <c r="R54" i="205"/>
  <c r="S54" i="205"/>
  <c r="T54" i="205"/>
  <c r="U54" i="205"/>
  <c r="V54" i="205"/>
  <c r="W54" i="205"/>
  <c r="X54" i="205"/>
  <c r="Y54" i="205"/>
  <c r="Z54" i="205"/>
  <c r="E8" i="205"/>
  <c r="F8" i="205"/>
  <c r="G8" i="205"/>
  <c r="H8" i="205"/>
  <c r="I8" i="205"/>
  <c r="J8" i="205"/>
  <c r="K8" i="205"/>
  <c r="L8" i="205"/>
  <c r="M8" i="205"/>
  <c r="N8" i="205"/>
  <c r="O8" i="205"/>
  <c r="P8" i="205"/>
  <c r="Q8" i="205"/>
  <c r="R8" i="205"/>
  <c r="S8" i="205"/>
  <c r="T8" i="205"/>
  <c r="U8" i="205"/>
  <c r="V8" i="205"/>
  <c r="W8" i="205"/>
  <c r="X8" i="205"/>
  <c r="Y8" i="205"/>
  <c r="Z8" i="205"/>
  <c r="E55" i="205"/>
  <c r="F55" i="205"/>
  <c r="G55" i="205"/>
  <c r="H55" i="205"/>
  <c r="I55" i="205"/>
  <c r="J55" i="205"/>
  <c r="K55" i="205"/>
  <c r="L55" i="205"/>
  <c r="M55" i="205"/>
  <c r="N55" i="205"/>
  <c r="O55" i="205"/>
  <c r="P55" i="205"/>
  <c r="Q55" i="205"/>
  <c r="R55" i="205"/>
  <c r="S55" i="205"/>
  <c r="T55" i="205"/>
  <c r="U55" i="205"/>
  <c r="V55" i="205"/>
  <c r="W55" i="205"/>
  <c r="X55" i="205"/>
  <c r="Y55" i="205"/>
  <c r="Z55" i="205"/>
  <c r="E9" i="205"/>
  <c r="F9" i="205"/>
  <c r="G9" i="205"/>
  <c r="H9" i="205"/>
  <c r="I9" i="205"/>
  <c r="J9" i="205"/>
  <c r="K9" i="205"/>
  <c r="L9" i="205"/>
  <c r="M9" i="205"/>
  <c r="N9" i="205"/>
  <c r="O9" i="205"/>
  <c r="P9" i="205"/>
  <c r="Q9" i="205"/>
  <c r="R9" i="205"/>
  <c r="S9" i="205"/>
  <c r="T9" i="205"/>
  <c r="U9" i="205"/>
  <c r="V9" i="205"/>
  <c r="W9" i="205"/>
  <c r="X9" i="205"/>
  <c r="Y9" i="205"/>
  <c r="Z9" i="205"/>
  <c r="E85" i="205"/>
  <c r="F85" i="205"/>
  <c r="G85" i="205"/>
  <c r="H85" i="205"/>
  <c r="I85" i="205"/>
  <c r="J85" i="205"/>
  <c r="K85" i="205"/>
  <c r="L85" i="205"/>
  <c r="M85" i="205"/>
  <c r="N85" i="205"/>
  <c r="O85" i="205"/>
  <c r="P85" i="205"/>
  <c r="Q85" i="205"/>
  <c r="R85" i="205"/>
  <c r="S85" i="205"/>
  <c r="T85" i="205"/>
  <c r="U85" i="205"/>
  <c r="V85" i="205"/>
  <c r="W85" i="205"/>
  <c r="X85" i="205"/>
  <c r="Y85" i="205"/>
  <c r="Z85" i="205"/>
  <c r="E56" i="205"/>
  <c r="F56" i="205"/>
  <c r="G56" i="205"/>
  <c r="H56" i="205"/>
  <c r="I56" i="205"/>
  <c r="J56" i="205"/>
  <c r="K56" i="205"/>
  <c r="L56" i="205"/>
  <c r="M56" i="205"/>
  <c r="N56" i="205"/>
  <c r="O56" i="205"/>
  <c r="P56" i="205"/>
  <c r="Q56" i="205"/>
  <c r="R56" i="205"/>
  <c r="S56" i="205"/>
  <c r="T56" i="205"/>
  <c r="U56" i="205"/>
  <c r="V56" i="205"/>
  <c r="W56" i="205"/>
  <c r="X56" i="205"/>
  <c r="Y56" i="205"/>
  <c r="Z56" i="205"/>
  <c r="E57" i="205"/>
  <c r="F57" i="205"/>
  <c r="G57" i="205"/>
  <c r="H57" i="205"/>
  <c r="I57" i="205"/>
  <c r="J57" i="205"/>
  <c r="K57" i="205"/>
  <c r="L57" i="205"/>
  <c r="M57" i="205"/>
  <c r="N57" i="205"/>
  <c r="O57" i="205"/>
  <c r="P57" i="205"/>
  <c r="Q57" i="205"/>
  <c r="R57" i="205"/>
  <c r="S57" i="205"/>
  <c r="T57" i="205"/>
  <c r="U57" i="205"/>
  <c r="V57" i="205"/>
  <c r="W57" i="205"/>
  <c r="X57" i="205"/>
  <c r="Y57" i="205"/>
  <c r="Z57" i="205"/>
  <c r="E58" i="205"/>
  <c r="F58" i="205"/>
  <c r="G58" i="205"/>
  <c r="H58" i="205"/>
  <c r="I58" i="205"/>
  <c r="J58" i="205"/>
  <c r="K58" i="205"/>
  <c r="L58" i="205"/>
  <c r="M58" i="205"/>
  <c r="N58" i="205"/>
  <c r="O58" i="205"/>
  <c r="P58" i="205"/>
  <c r="Q58" i="205"/>
  <c r="R58" i="205"/>
  <c r="S58" i="205"/>
  <c r="T58" i="205"/>
  <c r="U58" i="205"/>
  <c r="V58" i="205"/>
  <c r="W58" i="205"/>
  <c r="X58" i="205"/>
  <c r="Y58" i="205"/>
  <c r="Z58" i="205"/>
  <c r="E10" i="205"/>
  <c r="F10" i="205"/>
  <c r="G10" i="205"/>
  <c r="H10" i="205"/>
  <c r="I10" i="205"/>
  <c r="J10" i="205"/>
  <c r="K10" i="205"/>
  <c r="L10" i="205"/>
  <c r="M10" i="205"/>
  <c r="N10" i="205"/>
  <c r="O10" i="205"/>
  <c r="P10" i="205"/>
  <c r="Q10" i="205"/>
  <c r="R10" i="205"/>
  <c r="S10" i="205"/>
  <c r="T10" i="205"/>
  <c r="U10" i="205"/>
  <c r="V10" i="205"/>
  <c r="W10" i="205"/>
  <c r="X10" i="205"/>
  <c r="Y10" i="205"/>
  <c r="Z10" i="205"/>
  <c r="E11" i="205"/>
  <c r="F11" i="205"/>
  <c r="G11" i="205"/>
  <c r="H11" i="205"/>
  <c r="I11" i="205"/>
  <c r="J11" i="205"/>
  <c r="K11" i="205"/>
  <c r="L11" i="205"/>
  <c r="M11" i="205"/>
  <c r="N11" i="205"/>
  <c r="P11" i="205"/>
  <c r="Q11" i="205"/>
  <c r="R11" i="205"/>
  <c r="S11" i="205"/>
  <c r="T11" i="205"/>
  <c r="W11" i="205"/>
  <c r="X11" i="205"/>
  <c r="Y11" i="205"/>
  <c r="Z11" i="205"/>
  <c r="E12" i="205"/>
  <c r="F12" i="205"/>
  <c r="G12" i="205"/>
  <c r="H12" i="205"/>
  <c r="I12" i="205"/>
  <c r="J12" i="205"/>
  <c r="K12" i="205"/>
  <c r="L12" i="205"/>
  <c r="M12" i="205"/>
  <c r="N12" i="205"/>
  <c r="O12" i="205"/>
  <c r="P12" i="205"/>
  <c r="Q12" i="205"/>
  <c r="R12" i="205"/>
  <c r="S12" i="205"/>
  <c r="T12" i="205"/>
  <c r="U12" i="205"/>
  <c r="V12" i="205"/>
  <c r="W12" i="205"/>
  <c r="X12" i="205"/>
  <c r="Y12" i="205"/>
  <c r="Z12" i="205"/>
  <c r="E59" i="205"/>
  <c r="F59" i="205"/>
  <c r="G59" i="205"/>
  <c r="H59" i="205"/>
  <c r="I59" i="205"/>
  <c r="J59" i="205"/>
  <c r="K59" i="205"/>
  <c r="L59" i="205"/>
  <c r="M59" i="205"/>
  <c r="N59" i="205"/>
  <c r="P59" i="205"/>
  <c r="Q59" i="205"/>
  <c r="R59" i="205"/>
  <c r="S59" i="205"/>
  <c r="T59" i="205"/>
  <c r="W59" i="205"/>
  <c r="X59" i="205"/>
  <c r="Y59" i="205"/>
  <c r="Z59" i="205"/>
  <c r="E13" i="205"/>
  <c r="F13" i="205"/>
  <c r="G13" i="205"/>
  <c r="H13" i="205"/>
  <c r="I13" i="205"/>
  <c r="J13" i="205"/>
  <c r="K13" i="205"/>
  <c r="L13" i="205"/>
  <c r="M13" i="205"/>
  <c r="N13" i="205"/>
  <c r="O13" i="205"/>
  <c r="P13" i="205"/>
  <c r="Q13" i="205"/>
  <c r="R13" i="205"/>
  <c r="S13" i="205"/>
  <c r="T13" i="205"/>
  <c r="U13" i="205"/>
  <c r="V13" i="205"/>
  <c r="W13" i="205"/>
  <c r="X13" i="205"/>
  <c r="Y13" i="205"/>
  <c r="Z13" i="205"/>
  <c r="E60" i="205"/>
  <c r="F60" i="205"/>
  <c r="G60" i="205"/>
  <c r="H60" i="205"/>
  <c r="I60" i="205"/>
  <c r="J60" i="205"/>
  <c r="K60" i="205"/>
  <c r="L60" i="205"/>
  <c r="M60" i="205"/>
  <c r="N60" i="205"/>
  <c r="O60" i="205"/>
  <c r="P60" i="205"/>
  <c r="Q60" i="205"/>
  <c r="R60" i="205"/>
  <c r="S60" i="205"/>
  <c r="T60" i="205"/>
  <c r="U60" i="205"/>
  <c r="V60" i="205"/>
  <c r="W60" i="205"/>
  <c r="X60" i="205"/>
  <c r="Y60" i="205"/>
  <c r="Z60" i="205"/>
  <c r="E14" i="205"/>
  <c r="F14" i="205"/>
  <c r="G14" i="205"/>
  <c r="H14" i="205"/>
  <c r="I14" i="205"/>
  <c r="J14" i="205"/>
  <c r="K14" i="205"/>
  <c r="L14" i="205"/>
  <c r="M14" i="205"/>
  <c r="N14" i="205"/>
  <c r="O14" i="205"/>
  <c r="P14" i="205"/>
  <c r="Q14" i="205"/>
  <c r="R14" i="205"/>
  <c r="S14" i="205"/>
  <c r="T14" i="205"/>
  <c r="U14" i="205"/>
  <c r="V14" i="205"/>
  <c r="W14" i="205"/>
  <c r="X14" i="205"/>
  <c r="Y14" i="205"/>
  <c r="Z14" i="205"/>
  <c r="E88" i="205"/>
  <c r="F88" i="205"/>
  <c r="G88" i="205"/>
  <c r="H88" i="205"/>
  <c r="I88" i="205"/>
  <c r="J88" i="205"/>
  <c r="K88" i="205"/>
  <c r="L88" i="205"/>
  <c r="M88" i="205"/>
  <c r="N88" i="205"/>
  <c r="O88" i="205"/>
  <c r="P88" i="205"/>
  <c r="Q88" i="205"/>
  <c r="R88" i="205"/>
  <c r="S88" i="205"/>
  <c r="T88" i="205"/>
  <c r="U88" i="205"/>
  <c r="V88" i="205"/>
  <c r="W88" i="205"/>
  <c r="X88" i="205"/>
  <c r="Y88" i="205"/>
  <c r="Z88" i="205"/>
  <c r="E15" i="205"/>
  <c r="F15" i="205"/>
  <c r="G15" i="205"/>
  <c r="H15" i="205"/>
  <c r="I15" i="205"/>
  <c r="J15" i="205"/>
  <c r="K15" i="205"/>
  <c r="L15" i="205"/>
  <c r="M15" i="205"/>
  <c r="N15" i="205"/>
  <c r="O15" i="205"/>
  <c r="P15" i="205"/>
  <c r="Q15" i="205"/>
  <c r="R15" i="205"/>
  <c r="S15" i="205"/>
  <c r="T15" i="205"/>
  <c r="U15" i="205"/>
  <c r="V15" i="205"/>
  <c r="W15" i="205"/>
  <c r="X15" i="205"/>
  <c r="Y15" i="205"/>
  <c r="Z15" i="205"/>
  <c r="E86" i="205"/>
  <c r="F86" i="205"/>
  <c r="G86" i="205"/>
  <c r="H86" i="205"/>
  <c r="I86" i="205"/>
  <c r="J86" i="205"/>
  <c r="K86" i="205"/>
  <c r="L86" i="205"/>
  <c r="M86" i="205"/>
  <c r="N86" i="205"/>
  <c r="O86" i="205"/>
  <c r="P86" i="205"/>
  <c r="Q86" i="205"/>
  <c r="R86" i="205"/>
  <c r="S86" i="205"/>
  <c r="T86" i="205"/>
  <c r="U86" i="205"/>
  <c r="V86" i="205"/>
  <c r="W86" i="205"/>
  <c r="X86" i="205"/>
  <c r="Y86" i="205"/>
  <c r="Z86" i="205"/>
  <c r="E16" i="205"/>
  <c r="F16" i="205"/>
  <c r="G16" i="205"/>
  <c r="H16" i="205"/>
  <c r="I16" i="205"/>
  <c r="J16" i="205"/>
  <c r="K16" i="205"/>
  <c r="L16" i="205"/>
  <c r="M16" i="205"/>
  <c r="N16" i="205"/>
  <c r="O16" i="205"/>
  <c r="P16" i="205"/>
  <c r="Q16" i="205"/>
  <c r="R16" i="205"/>
  <c r="S16" i="205"/>
  <c r="T16" i="205"/>
  <c r="U16" i="205"/>
  <c r="V16" i="205"/>
  <c r="W16" i="205"/>
  <c r="X16" i="205"/>
  <c r="Y16" i="205"/>
  <c r="Z16" i="205"/>
  <c r="E61" i="205"/>
  <c r="F61" i="205"/>
  <c r="G61" i="205"/>
  <c r="H61" i="205"/>
  <c r="I61" i="205"/>
  <c r="J61" i="205"/>
  <c r="K61" i="205"/>
  <c r="L61" i="205"/>
  <c r="M61" i="205"/>
  <c r="N61" i="205"/>
  <c r="O61" i="205"/>
  <c r="P61" i="205"/>
  <c r="Q61" i="205"/>
  <c r="R61" i="205"/>
  <c r="S61" i="205"/>
  <c r="T61" i="205"/>
  <c r="U61" i="205"/>
  <c r="V61" i="205"/>
  <c r="W61" i="205"/>
  <c r="X61" i="205"/>
  <c r="Y61" i="205"/>
  <c r="Z61" i="205"/>
  <c r="E62" i="205"/>
  <c r="F62" i="205"/>
  <c r="G62" i="205"/>
  <c r="H62" i="205"/>
  <c r="I62" i="205"/>
  <c r="J62" i="205"/>
  <c r="K62" i="205"/>
  <c r="L62" i="205"/>
  <c r="M62" i="205"/>
  <c r="N62" i="205"/>
  <c r="O62" i="205"/>
  <c r="P62" i="205"/>
  <c r="Q62" i="205"/>
  <c r="R62" i="205"/>
  <c r="S62" i="205"/>
  <c r="T62" i="205"/>
  <c r="U62" i="205"/>
  <c r="V62" i="205"/>
  <c r="W62" i="205"/>
  <c r="X62" i="205"/>
  <c r="Y62" i="205"/>
  <c r="Z62" i="205"/>
  <c r="E63" i="205"/>
  <c r="F63" i="205"/>
  <c r="G63" i="205"/>
  <c r="H63" i="205"/>
  <c r="I63" i="205"/>
  <c r="J63" i="205"/>
  <c r="K63" i="205"/>
  <c r="L63" i="205"/>
  <c r="M63" i="205"/>
  <c r="N63" i="205"/>
  <c r="O63" i="205"/>
  <c r="P63" i="205"/>
  <c r="Q63" i="205"/>
  <c r="R63" i="205"/>
  <c r="S63" i="205"/>
  <c r="T63" i="205"/>
  <c r="U63" i="205"/>
  <c r="V63" i="205"/>
  <c r="W63" i="205"/>
  <c r="X63" i="205"/>
  <c r="Y63" i="205"/>
  <c r="Z63" i="205"/>
  <c r="E17" i="205"/>
  <c r="F17" i="205"/>
  <c r="G17" i="205"/>
  <c r="H17" i="205"/>
  <c r="I17" i="205"/>
  <c r="J17" i="205"/>
  <c r="K17" i="205"/>
  <c r="L17" i="205"/>
  <c r="M17" i="205"/>
  <c r="N17" i="205"/>
  <c r="O17" i="205"/>
  <c r="P17" i="205"/>
  <c r="Q17" i="205"/>
  <c r="R17" i="205"/>
  <c r="S17" i="205"/>
  <c r="T17" i="205"/>
  <c r="U17" i="205"/>
  <c r="V17" i="205"/>
  <c r="W17" i="205"/>
  <c r="X17" i="205"/>
  <c r="Y17" i="205"/>
  <c r="Z17" i="205"/>
  <c r="E18" i="205"/>
  <c r="F18" i="205"/>
  <c r="G18" i="205"/>
  <c r="H18" i="205"/>
  <c r="I18" i="205"/>
  <c r="J18" i="205"/>
  <c r="K18" i="205"/>
  <c r="L18" i="205"/>
  <c r="M18" i="205"/>
  <c r="N18" i="205"/>
  <c r="O18" i="205"/>
  <c r="P18" i="205"/>
  <c r="Q18" i="205"/>
  <c r="R18" i="205"/>
  <c r="S18" i="205"/>
  <c r="T18" i="205"/>
  <c r="U18" i="205"/>
  <c r="V18" i="205"/>
  <c r="W18" i="205"/>
  <c r="X18" i="205"/>
  <c r="Y18" i="205"/>
  <c r="Z18" i="205"/>
  <c r="E19" i="205"/>
  <c r="F19" i="205"/>
  <c r="G19" i="205"/>
  <c r="H19" i="205"/>
  <c r="I19" i="205"/>
  <c r="J19" i="205"/>
  <c r="K19" i="205"/>
  <c r="L19" i="205"/>
  <c r="M19" i="205"/>
  <c r="N19" i="205"/>
  <c r="O19" i="205"/>
  <c r="P19" i="205"/>
  <c r="Q19" i="205"/>
  <c r="R19" i="205"/>
  <c r="S19" i="205"/>
  <c r="T19" i="205"/>
  <c r="U19" i="205"/>
  <c r="V19" i="205"/>
  <c r="W19" i="205"/>
  <c r="X19" i="205"/>
  <c r="Y19" i="205"/>
  <c r="Z19" i="205"/>
  <c r="E64" i="205"/>
  <c r="F64" i="205"/>
  <c r="G64" i="205"/>
  <c r="H64" i="205"/>
  <c r="I64" i="205"/>
  <c r="J64" i="205"/>
  <c r="K64" i="205"/>
  <c r="L64" i="205"/>
  <c r="M64" i="205"/>
  <c r="N64" i="205"/>
  <c r="P64" i="205"/>
  <c r="Q64" i="205"/>
  <c r="R64" i="205"/>
  <c r="S64" i="205"/>
  <c r="T64" i="205"/>
  <c r="W64" i="205"/>
  <c r="X64" i="205"/>
  <c r="Y64" i="205"/>
  <c r="Z64" i="205"/>
  <c r="E20" i="205"/>
  <c r="F20" i="205"/>
  <c r="G20" i="205"/>
  <c r="H20" i="205"/>
  <c r="I20" i="205"/>
  <c r="J20" i="205"/>
  <c r="K20" i="205"/>
  <c r="L20" i="205"/>
  <c r="M20" i="205"/>
  <c r="N20" i="205"/>
  <c r="O20" i="205"/>
  <c r="P20" i="205"/>
  <c r="Q20" i="205"/>
  <c r="R20" i="205"/>
  <c r="S20" i="205"/>
  <c r="T20" i="205"/>
  <c r="U20" i="205"/>
  <c r="V20" i="205"/>
  <c r="W20" i="205"/>
  <c r="X20" i="205"/>
  <c r="Y20" i="205"/>
  <c r="Z20" i="205"/>
  <c r="E21" i="205"/>
  <c r="F21" i="205"/>
  <c r="G21" i="205"/>
  <c r="H21" i="205"/>
  <c r="I21" i="205"/>
  <c r="J21" i="205"/>
  <c r="K21" i="205"/>
  <c r="L21" i="205"/>
  <c r="M21" i="205"/>
  <c r="N21" i="205"/>
  <c r="O21" i="205"/>
  <c r="P21" i="205"/>
  <c r="Q21" i="205"/>
  <c r="R21" i="205"/>
  <c r="S21" i="205"/>
  <c r="T21" i="205"/>
  <c r="U21" i="205"/>
  <c r="V21" i="205"/>
  <c r="W21" i="205"/>
  <c r="X21" i="205"/>
  <c r="Y21" i="205"/>
  <c r="Z21" i="205"/>
  <c r="E22" i="205"/>
  <c r="F22" i="205"/>
  <c r="G22" i="205"/>
  <c r="H22" i="205"/>
  <c r="I22" i="205"/>
  <c r="J22" i="205"/>
  <c r="K22" i="205"/>
  <c r="L22" i="205"/>
  <c r="M22" i="205"/>
  <c r="N22" i="205"/>
  <c r="O22" i="205"/>
  <c r="P22" i="205"/>
  <c r="Q22" i="205"/>
  <c r="R22" i="205"/>
  <c r="S22" i="205"/>
  <c r="T22" i="205"/>
  <c r="U22" i="205"/>
  <c r="V22" i="205"/>
  <c r="W22" i="205"/>
  <c r="X22" i="205"/>
  <c r="Y22" i="205"/>
  <c r="Z22" i="205"/>
  <c r="E23" i="205"/>
  <c r="F23" i="205"/>
  <c r="G23" i="205"/>
  <c r="H23" i="205"/>
  <c r="I23" i="205"/>
  <c r="J23" i="205"/>
  <c r="K23" i="205"/>
  <c r="L23" i="205"/>
  <c r="M23" i="205"/>
  <c r="N23" i="205"/>
  <c r="O23" i="205"/>
  <c r="P23" i="205"/>
  <c r="Q23" i="205"/>
  <c r="R23" i="205"/>
  <c r="S23" i="205"/>
  <c r="T23" i="205"/>
  <c r="U23" i="205"/>
  <c r="V23" i="205"/>
  <c r="W23" i="205"/>
  <c r="X23" i="205"/>
  <c r="Y23" i="205"/>
  <c r="Z23" i="205"/>
  <c r="E65" i="205"/>
  <c r="F65" i="205"/>
  <c r="G65" i="205"/>
  <c r="H65" i="205"/>
  <c r="I65" i="205"/>
  <c r="J65" i="205"/>
  <c r="K65" i="205"/>
  <c r="L65" i="205"/>
  <c r="M65" i="205"/>
  <c r="N65" i="205"/>
  <c r="O65" i="205"/>
  <c r="P65" i="205"/>
  <c r="Q65" i="205"/>
  <c r="R65" i="205"/>
  <c r="S65" i="205"/>
  <c r="T65" i="205"/>
  <c r="U65" i="205"/>
  <c r="V65" i="205"/>
  <c r="W65" i="205"/>
  <c r="X65" i="205"/>
  <c r="Y65" i="205"/>
  <c r="Z65" i="205"/>
  <c r="E66" i="205"/>
  <c r="F66" i="205"/>
  <c r="G66" i="205"/>
  <c r="H66" i="205"/>
  <c r="I66" i="205"/>
  <c r="J66" i="205"/>
  <c r="K66" i="205"/>
  <c r="L66" i="205"/>
  <c r="M66" i="205"/>
  <c r="N66" i="205"/>
  <c r="O66" i="205"/>
  <c r="P66" i="205"/>
  <c r="Q66" i="205"/>
  <c r="R66" i="205"/>
  <c r="S66" i="205"/>
  <c r="T66" i="205"/>
  <c r="U66" i="205"/>
  <c r="V66" i="205"/>
  <c r="W66" i="205"/>
  <c r="X66" i="205"/>
  <c r="Y66" i="205"/>
  <c r="Z66" i="205"/>
  <c r="E67" i="205"/>
  <c r="F67" i="205"/>
  <c r="G67" i="205"/>
  <c r="H67" i="205"/>
  <c r="I67" i="205"/>
  <c r="J67" i="205"/>
  <c r="K67" i="205"/>
  <c r="L67" i="205"/>
  <c r="M67" i="205"/>
  <c r="N67" i="205"/>
  <c r="O67" i="205"/>
  <c r="P67" i="205"/>
  <c r="Q67" i="205"/>
  <c r="R67" i="205"/>
  <c r="S67" i="205"/>
  <c r="T67" i="205"/>
  <c r="U67" i="205"/>
  <c r="V67" i="205"/>
  <c r="W67" i="205"/>
  <c r="X67" i="205"/>
  <c r="Y67" i="205"/>
  <c r="Z67" i="205"/>
  <c r="E24" i="205"/>
  <c r="F24" i="205"/>
  <c r="G24" i="205"/>
  <c r="H24" i="205"/>
  <c r="I24" i="205"/>
  <c r="J24" i="205"/>
  <c r="K24" i="205"/>
  <c r="L24" i="205"/>
  <c r="M24" i="205"/>
  <c r="N24" i="205"/>
  <c r="O24" i="205"/>
  <c r="P24" i="205"/>
  <c r="Q24" i="205"/>
  <c r="R24" i="205"/>
  <c r="S24" i="205"/>
  <c r="T24" i="205"/>
  <c r="U24" i="205"/>
  <c r="V24" i="205"/>
  <c r="W24" i="205"/>
  <c r="X24" i="205"/>
  <c r="Y24" i="205"/>
  <c r="Z24" i="205"/>
  <c r="E25" i="205"/>
  <c r="F25" i="205"/>
  <c r="G25" i="205"/>
  <c r="H25" i="205"/>
  <c r="I25" i="205"/>
  <c r="J25" i="205"/>
  <c r="K25" i="205"/>
  <c r="L25" i="205"/>
  <c r="M25" i="205"/>
  <c r="N25" i="205"/>
  <c r="O25" i="205"/>
  <c r="P25" i="205"/>
  <c r="Q25" i="205"/>
  <c r="R25" i="205"/>
  <c r="S25" i="205"/>
  <c r="T25" i="205"/>
  <c r="U25" i="205"/>
  <c r="V25" i="205"/>
  <c r="W25" i="205"/>
  <c r="X25" i="205"/>
  <c r="Y25" i="205"/>
  <c r="Z25" i="205"/>
  <c r="E26" i="205"/>
  <c r="F26" i="205"/>
  <c r="G26" i="205"/>
  <c r="H26" i="205"/>
  <c r="I26" i="205"/>
  <c r="J26" i="205"/>
  <c r="K26" i="205"/>
  <c r="L26" i="205"/>
  <c r="M26" i="205"/>
  <c r="N26" i="205"/>
  <c r="O26" i="205"/>
  <c r="P26" i="205"/>
  <c r="Q26" i="205"/>
  <c r="R26" i="205"/>
  <c r="S26" i="205"/>
  <c r="T26" i="205"/>
  <c r="U26" i="205"/>
  <c r="V26" i="205"/>
  <c r="W26" i="205"/>
  <c r="X26" i="205"/>
  <c r="Y26" i="205"/>
  <c r="Z26" i="205"/>
  <c r="E27" i="205"/>
  <c r="F27" i="205"/>
  <c r="G27" i="205"/>
  <c r="H27" i="205"/>
  <c r="I27" i="205"/>
  <c r="J27" i="205"/>
  <c r="K27" i="205"/>
  <c r="L27" i="205"/>
  <c r="M27" i="205"/>
  <c r="N27" i="205"/>
  <c r="O27" i="205"/>
  <c r="P27" i="205"/>
  <c r="Q27" i="205"/>
  <c r="R27" i="205"/>
  <c r="S27" i="205"/>
  <c r="T27" i="205"/>
  <c r="U27" i="205"/>
  <c r="V27" i="205"/>
  <c r="W27" i="205"/>
  <c r="X27" i="205"/>
  <c r="Y27" i="205"/>
  <c r="Z27" i="205"/>
  <c r="E28" i="205"/>
  <c r="F28" i="205"/>
  <c r="G28" i="205"/>
  <c r="H28" i="205"/>
  <c r="I28" i="205"/>
  <c r="J28" i="205"/>
  <c r="K28" i="205"/>
  <c r="L28" i="205"/>
  <c r="M28" i="205"/>
  <c r="N28" i="205"/>
  <c r="O28" i="205"/>
  <c r="P28" i="205"/>
  <c r="Q28" i="205"/>
  <c r="R28" i="205"/>
  <c r="S28" i="205"/>
  <c r="T28" i="205"/>
  <c r="U28" i="205"/>
  <c r="V28" i="205"/>
  <c r="W28" i="205"/>
  <c r="X28" i="205"/>
  <c r="Y28" i="205"/>
  <c r="Z28" i="205"/>
  <c r="E29" i="205"/>
  <c r="F29" i="205"/>
  <c r="G29" i="205"/>
  <c r="H29" i="205"/>
  <c r="I29" i="205"/>
  <c r="J29" i="205"/>
  <c r="K29" i="205"/>
  <c r="L29" i="205"/>
  <c r="M29" i="205"/>
  <c r="N29" i="205"/>
  <c r="O29" i="205"/>
  <c r="P29" i="205"/>
  <c r="Q29" i="205"/>
  <c r="R29" i="205"/>
  <c r="S29" i="205"/>
  <c r="T29" i="205"/>
  <c r="U29" i="205"/>
  <c r="V29" i="205"/>
  <c r="W29" i="205"/>
  <c r="X29" i="205"/>
  <c r="Y29" i="205"/>
  <c r="Z29" i="205"/>
  <c r="E30" i="205"/>
  <c r="F30" i="205"/>
  <c r="G30" i="205"/>
  <c r="H30" i="205"/>
  <c r="I30" i="205"/>
  <c r="J30" i="205"/>
  <c r="K30" i="205"/>
  <c r="L30" i="205"/>
  <c r="M30" i="205"/>
  <c r="N30" i="205"/>
  <c r="O30" i="205"/>
  <c r="P30" i="205"/>
  <c r="Q30" i="205"/>
  <c r="R30" i="205"/>
  <c r="S30" i="205"/>
  <c r="T30" i="205"/>
  <c r="U30" i="205"/>
  <c r="V30" i="205"/>
  <c r="W30" i="205"/>
  <c r="X30" i="205"/>
  <c r="Y30" i="205"/>
  <c r="Z30" i="205"/>
  <c r="E31" i="205"/>
  <c r="F31" i="205"/>
  <c r="G31" i="205"/>
  <c r="H31" i="205"/>
  <c r="I31" i="205"/>
  <c r="J31" i="205"/>
  <c r="K31" i="205"/>
  <c r="L31" i="205"/>
  <c r="M31" i="205"/>
  <c r="N31" i="205"/>
  <c r="P31" i="205"/>
  <c r="Q31" i="205"/>
  <c r="R31" i="205"/>
  <c r="S31" i="205"/>
  <c r="T31" i="205"/>
  <c r="W31" i="205"/>
  <c r="X31" i="205"/>
  <c r="Y31" i="205"/>
  <c r="Z31" i="205"/>
  <c r="E68" i="205"/>
  <c r="F68" i="205"/>
  <c r="G68" i="205"/>
  <c r="H68" i="205"/>
  <c r="I68" i="205"/>
  <c r="J68" i="205"/>
  <c r="K68" i="205"/>
  <c r="L68" i="205"/>
  <c r="M68" i="205"/>
  <c r="N68" i="205"/>
  <c r="O68" i="205"/>
  <c r="P68" i="205"/>
  <c r="Q68" i="205"/>
  <c r="R68" i="205"/>
  <c r="S68" i="205"/>
  <c r="T68" i="205"/>
  <c r="U68" i="205"/>
  <c r="V68" i="205"/>
  <c r="W68" i="205"/>
  <c r="X68" i="205"/>
  <c r="Y68" i="205"/>
  <c r="Z68" i="205"/>
  <c r="E32" i="205"/>
  <c r="F32" i="205"/>
  <c r="G32" i="205"/>
  <c r="H32" i="205"/>
  <c r="I32" i="205"/>
  <c r="J32" i="205"/>
  <c r="K32" i="205"/>
  <c r="L32" i="205"/>
  <c r="M32" i="205"/>
  <c r="N32" i="205"/>
  <c r="O32" i="205"/>
  <c r="P32" i="205"/>
  <c r="Q32" i="205"/>
  <c r="R32" i="205"/>
  <c r="S32" i="205"/>
  <c r="T32" i="205"/>
  <c r="U32" i="205"/>
  <c r="V32" i="205"/>
  <c r="W32" i="205"/>
  <c r="X32" i="205"/>
  <c r="Y32" i="205"/>
  <c r="Z32" i="205"/>
  <c r="E69" i="205"/>
  <c r="F69" i="205"/>
  <c r="G69" i="205"/>
  <c r="H69" i="205"/>
  <c r="I69" i="205"/>
  <c r="J69" i="205"/>
  <c r="K69" i="205"/>
  <c r="L69" i="205"/>
  <c r="M69" i="205"/>
  <c r="N69" i="205"/>
  <c r="O69" i="205"/>
  <c r="P69" i="205"/>
  <c r="Q69" i="205"/>
  <c r="R69" i="205"/>
  <c r="S69" i="205"/>
  <c r="T69" i="205"/>
  <c r="U69" i="205"/>
  <c r="V69" i="205"/>
  <c r="W69" i="205"/>
  <c r="X69" i="205"/>
  <c r="Y69" i="205"/>
  <c r="Z69" i="205"/>
  <c r="E33" i="205"/>
  <c r="F33" i="205"/>
  <c r="G33" i="205"/>
  <c r="H33" i="205"/>
  <c r="I33" i="205"/>
  <c r="J33" i="205"/>
  <c r="K33" i="205"/>
  <c r="L33" i="205"/>
  <c r="M33" i="205"/>
  <c r="N33" i="205"/>
  <c r="O33" i="205"/>
  <c r="P33" i="205"/>
  <c r="Q33" i="205"/>
  <c r="R33" i="205"/>
  <c r="S33" i="205"/>
  <c r="T33" i="205"/>
  <c r="U33" i="205"/>
  <c r="V33" i="205"/>
  <c r="W33" i="205"/>
  <c r="X33" i="205"/>
  <c r="Y33" i="205"/>
  <c r="Z33" i="205"/>
  <c r="E34" i="205"/>
  <c r="F34" i="205"/>
  <c r="G34" i="205"/>
  <c r="H34" i="205"/>
  <c r="I34" i="205"/>
  <c r="J34" i="205"/>
  <c r="K34" i="205"/>
  <c r="L34" i="205"/>
  <c r="M34" i="205"/>
  <c r="N34" i="205"/>
  <c r="O34" i="205"/>
  <c r="P34" i="205"/>
  <c r="Q34" i="205"/>
  <c r="R34" i="205"/>
  <c r="S34" i="205"/>
  <c r="T34" i="205"/>
  <c r="U34" i="205"/>
  <c r="V34" i="205"/>
  <c r="W34" i="205"/>
  <c r="X34" i="205"/>
  <c r="Y34" i="205"/>
  <c r="Z34" i="205"/>
  <c r="E70" i="205"/>
  <c r="G70" i="205"/>
  <c r="H70" i="205"/>
  <c r="I70" i="205"/>
  <c r="J70" i="205"/>
  <c r="K70" i="205"/>
  <c r="L70" i="205"/>
  <c r="M70" i="205"/>
  <c r="N70" i="205"/>
  <c r="P70" i="205"/>
  <c r="Q70" i="205"/>
  <c r="R70" i="205"/>
  <c r="S70" i="205"/>
  <c r="T70" i="205"/>
  <c r="U70" i="205"/>
  <c r="V70" i="205"/>
  <c r="W70" i="205"/>
  <c r="X70" i="205"/>
  <c r="Y70" i="205"/>
  <c r="Z70" i="205"/>
  <c r="E35" i="205"/>
  <c r="F35" i="205"/>
  <c r="G35" i="205"/>
  <c r="H35" i="205"/>
  <c r="I35" i="205"/>
  <c r="J35" i="205"/>
  <c r="K35" i="205"/>
  <c r="L35" i="205"/>
  <c r="M35" i="205"/>
  <c r="N35" i="205"/>
  <c r="O35" i="205"/>
  <c r="P35" i="205"/>
  <c r="Q35" i="205"/>
  <c r="R35" i="205"/>
  <c r="S35" i="205"/>
  <c r="T35" i="205"/>
  <c r="U35" i="205"/>
  <c r="V35" i="205"/>
  <c r="W35" i="205"/>
  <c r="X35" i="205"/>
  <c r="Y35" i="205"/>
  <c r="Z35" i="205"/>
  <c r="E82" i="205"/>
  <c r="F82" i="205"/>
  <c r="G82" i="205"/>
  <c r="H82" i="205"/>
  <c r="I82" i="205"/>
  <c r="J82" i="205"/>
  <c r="K82" i="205"/>
  <c r="L82" i="205"/>
  <c r="M82" i="205"/>
  <c r="N82" i="205"/>
  <c r="O82" i="205"/>
  <c r="P82" i="205"/>
  <c r="Q82" i="205"/>
  <c r="R82" i="205"/>
  <c r="S82" i="205"/>
  <c r="T82" i="205"/>
  <c r="U82" i="205"/>
  <c r="V82" i="205"/>
  <c r="W82" i="205"/>
  <c r="X82" i="205"/>
  <c r="Y82" i="205"/>
  <c r="Z82" i="205"/>
  <c r="E36" i="205"/>
  <c r="F36" i="205"/>
  <c r="G36" i="205"/>
  <c r="H36" i="205"/>
  <c r="I36" i="205"/>
  <c r="J36" i="205"/>
  <c r="K36" i="205"/>
  <c r="L36" i="205"/>
  <c r="M36" i="205"/>
  <c r="N36" i="205"/>
  <c r="O36" i="205"/>
  <c r="P36" i="205"/>
  <c r="Q36" i="205"/>
  <c r="R36" i="205"/>
  <c r="S36" i="205"/>
  <c r="T36" i="205"/>
  <c r="U36" i="205"/>
  <c r="V36" i="205"/>
  <c r="W36" i="205"/>
  <c r="X36" i="205"/>
  <c r="Y36" i="205"/>
  <c r="Z36" i="205"/>
  <c r="E37" i="205"/>
  <c r="F37" i="205"/>
  <c r="G37" i="205"/>
  <c r="H37" i="205"/>
  <c r="I37" i="205"/>
  <c r="J37" i="205"/>
  <c r="K37" i="205"/>
  <c r="L37" i="205"/>
  <c r="M37" i="205"/>
  <c r="N37" i="205"/>
  <c r="O37" i="205"/>
  <c r="P37" i="205"/>
  <c r="Q37" i="205"/>
  <c r="R37" i="205"/>
  <c r="S37" i="205"/>
  <c r="T37" i="205"/>
  <c r="U37" i="205"/>
  <c r="V37" i="205"/>
  <c r="W37" i="205"/>
  <c r="X37" i="205"/>
  <c r="Y37" i="205"/>
  <c r="Z37" i="205"/>
  <c r="E71" i="205"/>
  <c r="F71" i="205"/>
  <c r="G71" i="205"/>
  <c r="H71" i="205"/>
  <c r="I71" i="205"/>
  <c r="J71" i="205"/>
  <c r="K71" i="205"/>
  <c r="L71" i="205"/>
  <c r="M71" i="205"/>
  <c r="N71" i="205"/>
  <c r="O71" i="205"/>
  <c r="P71" i="205"/>
  <c r="Q71" i="205"/>
  <c r="R71" i="205"/>
  <c r="S71" i="205"/>
  <c r="T71" i="205"/>
  <c r="U71" i="205"/>
  <c r="V71" i="205"/>
  <c r="W71" i="205"/>
  <c r="X71" i="205"/>
  <c r="Y71" i="205"/>
  <c r="Z71" i="205"/>
  <c r="E72" i="205"/>
  <c r="F72" i="205"/>
  <c r="G72" i="205"/>
  <c r="H72" i="205"/>
  <c r="I72" i="205"/>
  <c r="J72" i="205"/>
  <c r="K72" i="205"/>
  <c r="L72" i="205"/>
  <c r="M72" i="205"/>
  <c r="N72" i="205"/>
  <c r="P72" i="205"/>
  <c r="Q72" i="205"/>
  <c r="R72" i="205"/>
  <c r="S72" i="205"/>
  <c r="T72" i="205"/>
  <c r="W72" i="205"/>
  <c r="X72" i="205"/>
  <c r="Y72" i="205"/>
  <c r="Z72" i="205"/>
  <c r="E73" i="205"/>
  <c r="F73" i="205"/>
  <c r="G73" i="205"/>
  <c r="H73" i="205"/>
  <c r="I73" i="205"/>
  <c r="J73" i="205"/>
  <c r="K73" i="205"/>
  <c r="L73" i="205"/>
  <c r="M73" i="205"/>
  <c r="N73" i="205"/>
  <c r="O73" i="205"/>
  <c r="P73" i="205"/>
  <c r="Q73" i="205"/>
  <c r="R73" i="205"/>
  <c r="S73" i="205"/>
  <c r="T73" i="205"/>
  <c r="U73" i="205"/>
  <c r="V73" i="205"/>
  <c r="W73" i="205"/>
  <c r="X73" i="205"/>
  <c r="Y73" i="205"/>
  <c r="Z73" i="205"/>
  <c r="E38" i="205"/>
  <c r="F38" i="205"/>
  <c r="G38" i="205"/>
  <c r="H38" i="205"/>
  <c r="I38" i="205"/>
  <c r="J38" i="205"/>
  <c r="K38" i="205"/>
  <c r="L38" i="205"/>
  <c r="M38" i="205"/>
  <c r="N38" i="205"/>
  <c r="P38" i="205"/>
  <c r="Q38" i="205"/>
  <c r="R38" i="205"/>
  <c r="S38" i="205"/>
  <c r="T38" i="205"/>
  <c r="W38" i="205"/>
  <c r="X38" i="205"/>
  <c r="Y38" i="205"/>
  <c r="Z38" i="205"/>
  <c r="E74" i="205"/>
  <c r="F74" i="205"/>
  <c r="G74" i="205"/>
  <c r="H74" i="205"/>
  <c r="I74" i="205"/>
  <c r="J74" i="205"/>
  <c r="K74" i="205"/>
  <c r="L74" i="205"/>
  <c r="M74" i="205"/>
  <c r="N74" i="205"/>
  <c r="O74" i="205"/>
  <c r="P74" i="205"/>
  <c r="Q74" i="205"/>
  <c r="R74" i="205"/>
  <c r="S74" i="205"/>
  <c r="T74" i="205"/>
  <c r="U74" i="205"/>
  <c r="V74" i="205"/>
  <c r="W74" i="205"/>
  <c r="X74" i="205"/>
  <c r="Y74" i="205"/>
  <c r="Z74" i="205"/>
  <c r="E75" i="205"/>
  <c r="F75" i="205"/>
  <c r="G75" i="205"/>
  <c r="H75" i="205"/>
  <c r="I75" i="205"/>
  <c r="J75" i="205"/>
  <c r="K75" i="205"/>
  <c r="L75" i="205"/>
  <c r="M75" i="205"/>
  <c r="N75" i="205"/>
  <c r="O75" i="205"/>
  <c r="P75" i="205"/>
  <c r="Q75" i="205"/>
  <c r="R75" i="205"/>
  <c r="S75" i="205"/>
  <c r="T75" i="205"/>
  <c r="U75" i="205"/>
  <c r="V75" i="205"/>
  <c r="W75" i="205"/>
  <c r="X75" i="205"/>
  <c r="Y75" i="205"/>
  <c r="Z75" i="205"/>
  <c r="E76" i="205"/>
  <c r="F76" i="205"/>
  <c r="G76" i="205"/>
  <c r="H76" i="205"/>
  <c r="I76" i="205"/>
  <c r="J76" i="205"/>
  <c r="K76" i="205"/>
  <c r="L76" i="205"/>
  <c r="M76" i="205"/>
  <c r="N76" i="205"/>
  <c r="O76" i="205"/>
  <c r="P76" i="205"/>
  <c r="Q76" i="205"/>
  <c r="R76" i="205"/>
  <c r="S76" i="205"/>
  <c r="T76" i="205"/>
  <c r="U76" i="205"/>
  <c r="V76" i="205"/>
  <c r="W76" i="205"/>
  <c r="X76" i="205"/>
  <c r="Y76" i="205"/>
  <c r="Z76" i="205"/>
  <c r="E39" i="205"/>
  <c r="F39" i="205"/>
  <c r="G39" i="205"/>
  <c r="H39" i="205"/>
  <c r="I39" i="205"/>
  <c r="J39" i="205"/>
  <c r="K39" i="205"/>
  <c r="L39" i="205"/>
  <c r="M39" i="205"/>
  <c r="N39" i="205"/>
  <c r="O39" i="205"/>
  <c r="P39" i="205"/>
  <c r="Q39" i="205"/>
  <c r="R39" i="205"/>
  <c r="S39" i="205"/>
  <c r="T39" i="205"/>
  <c r="U39" i="205"/>
  <c r="V39" i="205"/>
  <c r="W39" i="205"/>
  <c r="X39" i="205"/>
  <c r="Y39" i="205"/>
  <c r="Z39" i="205"/>
  <c r="E40" i="205"/>
  <c r="F40" i="205"/>
  <c r="G40" i="205"/>
  <c r="H40" i="205"/>
  <c r="I40" i="205"/>
  <c r="J40" i="205"/>
  <c r="K40" i="205"/>
  <c r="L40" i="205"/>
  <c r="M40" i="205"/>
  <c r="N40" i="205"/>
  <c r="O40" i="205"/>
  <c r="P40" i="205"/>
  <c r="Q40" i="205"/>
  <c r="R40" i="205"/>
  <c r="S40" i="205"/>
  <c r="T40" i="205"/>
  <c r="U40" i="205"/>
  <c r="V40" i="205"/>
  <c r="W40" i="205"/>
  <c r="X40" i="205"/>
  <c r="Y40" i="205"/>
  <c r="Z40" i="205"/>
  <c r="E41" i="205"/>
  <c r="G41" i="205"/>
  <c r="H41" i="205"/>
  <c r="I41" i="205"/>
  <c r="J41" i="205"/>
  <c r="K41" i="205"/>
  <c r="L41" i="205"/>
  <c r="M41" i="205"/>
  <c r="N41" i="205"/>
  <c r="P41" i="205"/>
  <c r="Q41" i="205"/>
  <c r="R41" i="205"/>
  <c r="S41" i="205"/>
  <c r="T41" i="205"/>
  <c r="U41" i="205"/>
  <c r="V41" i="205"/>
  <c r="W41" i="205"/>
  <c r="X41" i="205"/>
  <c r="Y41" i="205"/>
  <c r="Z41" i="205"/>
  <c r="E42" i="205"/>
  <c r="F42" i="205"/>
  <c r="G42" i="205"/>
  <c r="H42" i="205"/>
  <c r="I42" i="205"/>
  <c r="J42" i="205"/>
  <c r="K42" i="205"/>
  <c r="L42" i="205"/>
  <c r="M42" i="205"/>
  <c r="N42" i="205"/>
  <c r="P42" i="205"/>
  <c r="Q42" i="205"/>
  <c r="R42" i="205"/>
  <c r="S42" i="205"/>
  <c r="T42" i="205"/>
  <c r="W42" i="205"/>
  <c r="X42" i="205"/>
  <c r="Y42" i="205"/>
  <c r="Z42" i="205"/>
  <c r="E43" i="205"/>
  <c r="F43" i="205"/>
  <c r="G43" i="205"/>
  <c r="H43" i="205"/>
  <c r="I43" i="205"/>
  <c r="J43" i="205"/>
  <c r="K43" i="205"/>
  <c r="L43" i="205"/>
  <c r="M43" i="205"/>
  <c r="N43" i="205"/>
  <c r="O43" i="205"/>
  <c r="P43" i="205"/>
  <c r="Q43" i="205"/>
  <c r="R43" i="205"/>
  <c r="S43" i="205"/>
  <c r="T43" i="205"/>
  <c r="U43" i="205"/>
  <c r="V43" i="205"/>
  <c r="W43" i="205"/>
  <c r="X43" i="205"/>
  <c r="Y43" i="205"/>
  <c r="Z43" i="205"/>
  <c r="E77" i="205"/>
  <c r="F77" i="205"/>
  <c r="G77" i="205"/>
  <c r="H77" i="205"/>
  <c r="I77" i="205"/>
  <c r="J77" i="205"/>
  <c r="K77" i="205"/>
  <c r="L77" i="205"/>
  <c r="M77" i="205"/>
  <c r="N77" i="205"/>
  <c r="P77" i="205"/>
  <c r="Q77" i="205"/>
  <c r="R77" i="205"/>
  <c r="S77" i="205"/>
  <c r="T77" i="205"/>
  <c r="W77" i="205"/>
  <c r="X77" i="205"/>
  <c r="Y77" i="205"/>
  <c r="Z77" i="205"/>
  <c r="E44" i="205"/>
  <c r="F44" i="205"/>
  <c r="G44" i="205"/>
  <c r="H44" i="205"/>
  <c r="I44" i="205"/>
  <c r="J44" i="205"/>
  <c r="K44" i="205"/>
  <c r="L44" i="205"/>
  <c r="M44" i="205"/>
  <c r="N44" i="205"/>
  <c r="O44" i="205"/>
  <c r="P44" i="205"/>
  <c r="Q44" i="205"/>
  <c r="R44" i="205"/>
  <c r="S44" i="205"/>
  <c r="T44" i="205"/>
  <c r="U44" i="205"/>
  <c r="V44" i="205"/>
  <c r="W44" i="205"/>
  <c r="X44" i="205"/>
  <c r="Y44" i="205"/>
  <c r="Z44" i="205"/>
  <c r="E78" i="205"/>
  <c r="F78" i="205"/>
  <c r="G78" i="205"/>
  <c r="H78" i="205"/>
  <c r="I78" i="205"/>
  <c r="J78" i="205"/>
  <c r="K78" i="205"/>
  <c r="L78" i="205"/>
  <c r="M78" i="205"/>
  <c r="N78" i="205"/>
  <c r="O78" i="205"/>
  <c r="P78" i="205"/>
  <c r="Q78" i="205"/>
  <c r="R78" i="205"/>
  <c r="S78" i="205"/>
  <c r="T78" i="205"/>
  <c r="U78" i="205"/>
  <c r="V78" i="205"/>
  <c r="W78" i="205"/>
  <c r="X78" i="205"/>
  <c r="Y78" i="205"/>
  <c r="Z78" i="205"/>
  <c r="E79" i="205"/>
  <c r="F79" i="205"/>
  <c r="G79" i="205"/>
  <c r="H79" i="205"/>
  <c r="I79" i="205"/>
  <c r="J79" i="205"/>
  <c r="K79" i="205"/>
  <c r="L79" i="205"/>
  <c r="M79" i="205"/>
  <c r="N79" i="205"/>
  <c r="O79" i="205"/>
  <c r="P79" i="205"/>
  <c r="Q79" i="205"/>
  <c r="R79" i="205"/>
  <c r="S79" i="205"/>
  <c r="T79" i="205"/>
  <c r="U79" i="205"/>
  <c r="V79" i="205"/>
  <c r="W79" i="205"/>
  <c r="X79" i="205"/>
  <c r="Y79" i="205"/>
  <c r="Z79" i="205"/>
  <c r="E45" i="205"/>
  <c r="F45" i="205"/>
  <c r="G45" i="205"/>
  <c r="H45" i="205"/>
  <c r="I45" i="205"/>
  <c r="J45" i="205"/>
  <c r="K45" i="205"/>
  <c r="L45" i="205"/>
  <c r="M45" i="205"/>
  <c r="N45" i="205"/>
  <c r="O45" i="205"/>
  <c r="P45" i="205"/>
  <c r="Q45" i="205"/>
  <c r="R45" i="205"/>
  <c r="S45" i="205"/>
  <c r="T45" i="205"/>
  <c r="U45" i="205"/>
  <c r="V45" i="205"/>
  <c r="W45" i="205"/>
  <c r="X45" i="205"/>
  <c r="Y45" i="205"/>
  <c r="Z45" i="205"/>
  <c r="E80" i="205"/>
  <c r="F80" i="205"/>
  <c r="G80" i="205"/>
  <c r="H80" i="205"/>
  <c r="I80" i="205"/>
  <c r="J80" i="205"/>
  <c r="K80" i="205"/>
  <c r="L80" i="205"/>
  <c r="M80" i="205"/>
  <c r="N80" i="205"/>
  <c r="O80" i="205"/>
  <c r="P80" i="205"/>
  <c r="Q80" i="205"/>
  <c r="R80" i="205"/>
  <c r="S80" i="205"/>
  <c r="T80" i="205"/>
  <c r="U80" i="205"/>
  <c r="V80" i="205"/>
  <c r="W80" i="205"/>
  <c r="X80" i="205"/>
  <c r="Y80" i="205"/>
  <c r="Z80" i="205"/>
  <c r="E46" i="205"/>
  <c r="F46" i="205"/>
  <c r="G46" i="205"/>
  <c r="H46" i="205"/>
  <c r="I46" i="205"/>
  <c r="J46" i="205"/>
  <c r="K46" i="205"/>
  <c r="L46" i="205"/>
  <c r="M46" i="205"/>
  <c r="N46" i="205"/>
  <c r="O46" i="205"/>
  <c r="P46" i="205"/>
  <c r="Q46" i="205"/>
  <c r="R46" i="205"/>
  <c r="S46" i="205"/>
  <c r="T46" i="205"/>
  <c r="U46" i="205"/>
  <c r="V46" i="205"/>
  <c r="W46" i="205"/>
  <c r="X46" i="205"/>
  <c r="Y46" i="205"/>
  <c r="Z46" i="205"/>
  <c r="E47" i="205"/>
  <c r="F47" i="205"/>
  <c r="G47" i="205"/>
  <c r="H47" i="205"/>
  <c r="I47" i="205"/>
  <c r="J47" i="205"/>
  <c r="K47" i="205"/>
  <c r="L47" i="205"/>
  <c r="M47" i="205"/>
  <c r="N47" i="205"/>
  <c r="O47" i="205"/>
  <c r="P47" i="205"/>
  <c r="Q47" i="205"/>
  <c r="R47" i="205"/>
  <c r="S47" i="205"/>
  <c r="T47" i="205"/>
  <c r="U47" i="205"/>
  <c r="V47" i="205"/>
  <c r="W47" i="205"/>
  <c r="X47" i="205"/>
  <c r="Y47" i="205"/>
  <c r="Z47" i="205"/>
  <c r="E81" i="205"/>
  <c r="F81" i="205"/>
  <c r="G81" i="205"/>
  <c r="H81" i="205"/>
  <c r="I81" i="205"/>
  <c r="J81" i="205"/>
  <c r="K81" i="205"/>
  <c r="L81" i="205"/>
  <c r="M81" i="205"/>
  <c r="N81" i="205"/>
  <c r="O81" i="205"/>
  <c r="P81" i="205"/>
  <c r="Q81" i="205"/>
  <c r="R81" i="205"/>
  <c r="S81" i="205"/>
  <c r="T81" i="205"/>
  <c r="U81" i="205"/>
  <c r="V81" i="205"/>
  <c r="W81" i="205"/>
  <c r="X81" i="205"/>
  <c r="Y81" i="205"/>
  <c r="Z81" i="205"/>
  <c r="E48" i="205"/>
  <c r="F48" i="205"/>
  <c r="G48" i="205"/>
  <c r="H48" i="205"/>
  <c r="I48" i="205"/>
  <c r="J48" i="205"/>
  <c r="K48" i="205"/>
  <c r="L48" i="205"/>
  <c r="M48" i="205"/>
  <c r="N48" i="205"/>
  <c r="O48" i="205"/>
  <c r="P48" i="205"/>
  <c r="Q48" i="205"/>
  <c r="R48" i="205"/>
  <c r="S48" i="205"/>
  <c r="T48" i="205"/>
  <c r="U48" i="205"/>
  <c r="V48" i="205"/>
  <c r="W48" i="205"/>
  <c r="X48" i="205"/>
  <c r="Y48" i="205"/>
  <c r="Z48" i="205"/>
  <c r="E6" i="205"/>
  <c r="F6" i="205"/>
  <c r="G6" i="205"/>
  <c r="H6" i="205"/>
  <c r="I6" i="205"/>
  <c r="J6" i="205"/>
  <c r="K6" i="205"/>
  <c r="L6" i="205"/>
  <c r="M6" i="205"/>
  <c r="N6" i="205"/>
  <c r="O6" i="205"/>
  <c r="P6" i="205"/>
  <c r="Q6" i="205"/>
  <c r="R6" i="205"/>
  <c r="S6" i="205"/>
  <c r="T6" i="205"/>
  <c r="U6" i="205"/>
  <c r="V6" i="205"/>
  <c r="W6" i="205"/>
  <c r="X6" i="205"/>
  <c r="Y6" i="205"/>
  <c r="Z6" i="205"/>
  <c r="D50" i="205"/>
  <c r="D88" i="205"/>
  <c r="D6" i="205"/>
  <c r="A6" i="205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B10" i="12"/>
  <c r="Y8" i="12"/>
  <c r="C8" i="12"/>
  <c r="E8" i="12"/>
  <c r="F8" i="12"/>
  <c r="G8" i="12"/>
  <c r="H8" i="12"/>
  <c r="I8" i="12"/>
  <c r="J8" i="12"/>
  <c r="K8" i="12"/>
  <c r="N8" i="12"/>
  <c r="O8" i="12"/>
  <c r="P8" i="12"/>
  <c r="Q8" i="12"/>
  <c r="R8" i="12"/>
  <c r="U8" i="12"/>
  <c r="V8" i="12"/>
  <c r="X8" i="12"/>
  <c r="E15" i="202"/>
  <c r="G15" i="202"/>
  <c r="H15" i="202"/>
  <c r="I15" i="202"/>
  <c r="J15" i="202"/>
  <c r="Q15" i="202"/>
  <c r="R15" i="202"/>
  <c r="X15" i="202"/>
  <c r="Y15" i="202"/>
  <c r="Z15" i="202"/>
  <c r="E17" i="78" s="1"/>
  <c r="E15" i="201"/>
  <c r="H15" i="201"/>
  <c r="I15" i="201"/>
  <c r="J15" i="201"/>
  <c r="N15" i="201"/>
  <c r="Q15" i="201"/>
  <c r="R15" i="201"/>
  <c r="W15" i="201"/>
  <c r="X15" i="201"/>
  <c r="Y15" i="201"/>
  <c r="D15" i="201"/>
  <c r="E24" i="200"/>
  <c r="G24" i="200"/>
  <c r="H24" i="200"/>
  <c r="I24" i="200"/>
  <c r="J24" i="200"/>
  <c r="N24" i="200"/>
  <c r="Q24" i="200"/>
  <c r="R24" i="200"/>
  <c r="X24" i="200"/>
  <c r="Y24" i="200"/>
  <c r="Z24" i="200"/>
  <c r="E48" i="199"/>
  <c r="G48" i="199"/>
  <c r="H48" i="199"/>
  <c r="I48" i="199"/>
  <c r="J48" i="199"/>
  <c r="Q48" i="199"/>
  <c r="R48" i="199"/>
  <c r="X48" i="199"/>
  <c r="Y48" i="199"/>
  <c r="E17" i="198"/>
  <c r="G17" i="198"/>
  <c r="H17" i="198"/>
  <c r="I17" i="198"/>
  <c r="J17" i="198"/>
  <c r="K17" i="198"/>
  <c r="L17" i="198"/>
  <c r="M17" i="198"/>
  <c r="N17" i="198"/>
  <c r="P17" i="198"/>
  <c r="Q17" i="198"/>
  <c r="R17" i="198"/>
  <c r="S17" i="198"/>
  <c r="T17" i="198"/>
  <c r="X17" i="198"/>
  <c r="Y17" i="198"/>
  <c r="Z17" i="198"/>
  <c r="E13" i="74" s="1"/>
  <c r="D17" i="198"/>
  <c r="E28" i="197"/>
  <c r="G28" i="197"/>
  <c r="H28" i="197"/>
  <c r="I28" i="197"/>
  <c r="J28" i="197"/>
  <c r="K28" i="197"/>
  <c r="L28" i="197"/>
  <c r="M28" i="197"/>
  <c r="P28" i="197"/>
  <c r="Q28" i="197"/>
  <c r="R28" i="197"/>
  <c r="S28" i="197"/>
  <c r="T28" i="197"/>
  <c r="X28" i="197"/>
  <c r="Y28" i="197"/>
  <c r="Z28" i="197"/>
  <c r="D28" i="197"/>
  <c r="E65" i="195"/>
  <c r="G65" i="195"/>
  <c r="H65" i="195"/>
  <c r="I65" i="195"/>
  <c r="J65" i="195"/>
  <c r="Q65" i="195"/>
  <c r="R65" i="195"/>
  <c r="X65" i="195"/>
  <c r="Y65" i="195"/>
  <c r="Z65" i="195"/>
  <c r="E14" i="69" s="1"/>
  <c r="G106" i="194"/>
  <c r="H106" i="194"/>
  <c r="I106" i="194"/>
  <c r="J106" i="194"/>
  <c r="X106" i="194"/>
  <c r="Y106" i="194"/>
  <c r="U105" i="194"/>
  <c r="O105" i="194"/>
  <c r="F105" i="194"/>
  <c r="U104" i="194"/>
  <c r="O104" i="194"/>
  <c r="F104" i="194"/>
  <c r="U103" i="194"/>
  <c r="V103" i="194" s="1"/>
  <c r="O103" i="194"/>
  <c r="F103" i="194"/>
  <c r="U102" i="194"/>
  <c r="V102" i="194" s="1"/>
  <c r="O102" i="194"/>
  <c r="F102" i="194"/>
  <c r="U101" i="194"/>
  <c r="V101" i="194" s="1"/>
  <c r="O101" i="194"/>
  <c r="F101" i="194"/>
  <c r="V100" i="194"/>
  <c r="U100" i="194"/>
  <c r="O100" i="194"/>
  <c r="F100" i="194"/>
  <c r="U99" i="194"/>
  <c r="O99" i="194"/>
  <c r="F99" i="194"/>
  <c r="E87" i="193"/>
  <c r="H87" i="193"/>
  <c r="I87" i="193"/>
  <c r="J87" i="193"/>
  <c r="R87" i="193"/>
  <c r="W87" i="193"/>
  <c r="X87" i="193"/>
  <c r="Y87" i="193"/>
  <c r="Z87" i="193"/>
  <c r="N87" i="205" l="1"/>
  <c r="N49" i="205"/>
  <c r="N90" i="205"/>
  <c r="L7" i="97"/>
  <c r="V104" i="194"/>
  <c r="U104" i="222"/>
  <c r="U88" i="206"/>
  <c r="F104" i="222"/>
  <c r="F88" i="206"/>
  <c r="O104" i="222"/>
  <c r="O88" i="206"/>
  <c r="V105" i="194"/>
  <c r="U105" i="222"/>
  <c r="U116" i="206"/>
  <c r="O105" i="222"/>
  <c r="O116" i="206"/>
  <c r="F105" i="222"/>
  <c r="F116" i="206"/>
  <c r="F117" i="206" s="1"/>
  <c r="O99" i="222"/>
  <c r="O86" i="206"/>
  <c r="V99" i="194"/>
  <c r="U99" i="222"/>
  <c r="U86" i="206"/>
  <c r="L91" i="205"/>
  <c r="P91" i="205" s="1"/>
  <c r="V104" i="222" l="1"/>
  <c r="V88" i="206"/>
  <c r="V105" i="222"/>
  <c r="V116" i="206"/>
  <c r="V99" i="222"/>
  <c r="V86" i="206"/>
  <c r="M91" i="205"/>
  <c r="U91" i="205"/>
  <c r="W10" i="204" l="1"/>
  <c r="W8" i="204"/>
  <c r="D14" i="38" l="1"/>
  <c r="D13" i="38"/>
  <c r="G13" i="44" l="1"/>
  <c r="G16" i="44" s="1"/>
  <c r="N7" i="204"/>
  <c r="N11" i="202"/>
  <c r="N12" i="214" s="1"/>
  <c r="Z6" i="201"/>
  <c r="Z15" i="201" s="1"/>
  <c r="N48" i="199"/>
  <c r="N62" i="195"/>
  <c r="N62" i="223" l="1"/>
  <c r="N9" i="207"/>
  <c r="N11" i="207" s="1"/>
  <c r="N30" i="223"/>
  <c r="N18" i="207"/>
  <c r="N23" i="207" s="1"/>
  <c r="L8" i="97" s="1"/>
  <c r="L20" i="97" s="1"/>
  <c r="N39" i="223"/>
  <c r="N35" i="207"/>
  <c r="N63" i="223"/>
  <c r="N45" i="207"/>
  <c r="AK74" i="180"/>
  <c r="Q69" i="194" l="1"/>
  <c r="N121" i="194"/>
  <c r="N93" i="194"/>
  <c r="N88" i="194"/>
  <c r="N86" i="194"/>
  <c r="N82" i="194"/>
  <c r="N65" i="194"/>
  <c r="N60" i="194"/>
  <c r="N42" i="194"/>
  <c r="N85" i="193" l="1"/>
  <c r="N78" i="193"/>
  <c r="N72" i="193"/>
  <c r="N70" i="193"/>
  <c r="N60" i="193"/>
  <c r="N38" i="193"/>
  <c r="N33" i="193" l="1"/>
  <c r="N12" i="193"/>
  <c r="D6" i="200" l="1"/>
  <c r="AF41" i="192" l="1"/>
  <c r="Y41" i="192"/>
  <c r="AA41" i="192" s="1"/>
  <c r="AC41" i="192" s="1"/>
  <c r="L41" i="192"/>
  <c r="N41" i="192" s="1"/>
  <c r="J41" i="192"/>
  <c r="I41" i="192"/>
  <c r="F41" i="192"/>
  <c r="K41" i="192" s="1"/>
  <c r="N64" i="195"/>
  <c r="N64" i="223" l="1"/>
  <c r="N46" i="207"/>
  <c r="O41" i="192"/>
  <c r="AB41" i="192"/>
  <c r="AI41" i="192" s="1"/>
  <c r="H41" i="192"/>
  <c r="S86" i="193"/>
  <c r="K86" i="193"/>
  <c r="L86" i="193" s="1"/>
  <c r="F86" i="193"/>
  <c r="P86" i="193" l="1"/>
  <c r="N43" i="193"/>
  <c r="N28" i="193"/>
  <c r="S85" i="193"/>
  <c r="K85" i="193"/>
  <c r="L85" i="193" s="1"/>
  <c r="F85" i="193"/>
  <c r="D12" i="193"/>
  <c r="S84" i="193"/>
  <c r="K84" i="193"/>
  <c r="L84" i="193" s="1"/>
  <c r="F84" i="193"/>
  <c r="M86" i="193" l="1"/>
  <c r="O86" i="193" s="1"/>
  <c r="P85" i="193"/>
  <c r="P84" i="193"/>
  <c r="T86" i="193" l="1"/>
  <c r="U86" i="193" s="1"/>
  <c r="V86" i="193" s="1"/>
  <c r="M85" i="193"/>
  <c r="O85" i="193" s="1"/>
  <c r="M84" i="193"/>
  <c r="O84" i="193" s="1"/>
  <c r="N73" i="194"/>
  <c r="S73" i="194"/>
  <c r="K73" i="194"/>
  <c r="L73" i="194" s="1"/>
  <c r="F73" i="194"/>
  <c r="D76" i="194"/>
  <c r="D80" i="194"/>
  <c r="T85" i="193" l="1"/>
  <c r="U85" i="193" s="1"/>
  <c r="V85" i="193" s="1"/>
  <c r="T84" i="193"/>
  <c r="U84" i="193" s="1"/>
  <c r="V84" i="193" s="1"/>
  <c r="P73" i="194"/>
  <c r="M73" i="194" l="1"/>
  <c r="O73" i="194" s="1"/>
  <c r="T73" i="194" l="1"/>
  <c r="U73" i="194" s="1"/>
  <c r="V73" i="194" s="1"/>
  <c r="V89" i="194" l="1"/>
  <c r="S89" i="194"/>
  <c r="L89" i="194"/>
  <c r="P89" i="194" s="1"/>
  <c r="F89" i="194"/>
  <c r="S96" i="194"/>
  <c r="K96" i="194"/>
  <c r="L96" i="194" s="1"/>
  <c r="F96" i="194"/>
  <c r="U95" i="194"/>
  <c r="V95" i="194" s="1"/>
  <c r="K95" i="194"/>
  <c r="L95" i="194" s="1"/>
  <c r="F95" i="194"/>
  <c r="S94" i="194"/>
  <c r="K94" i="194"/>
  <c r="L94" i="194" s="1"/>
  <c r="P94" i="194" s="1"/>
  <c r="F94" i="194"/>
  <c r="N76" i="193"/>
  <c r="S92" i="194"/>
  <c r="L92" i="194"/>
  <c r="P92" i="194" s="1"/>
  <c r="F92" i="194"/>
  <c r="S90" i="194"/>
  <c r="L90" i="194"/>
  <c r="P90" i="194" s="1"/>
  <c r="F90" i="194"/>
  <c r="N69" i="193"/>
  <c r="M89" i="194" l="1"/>
  <c r="T89" i="194" s="1"/>
  <c r="P96" i="194"/>
  <c r="P95" i="194"/>
  <c r="M95" i="194" s="1"/>
  <c r="O95" i="194" s="1"/>
  <c r="M94" i="194"/>
  <c r="O94" i="194" s="1"/>
  <c r="M92" i="194"/>
  <c r="O92" i="194" s="1"/>
  <c r="M90" i="194"/>
  <c r="T90" i="194" s="1"/>
  <c r="U90" i="194" s="1"/>
  <c r="V90" i="194" s="1"/>
  <c r="T94" i="194" l="1"/>
  <c r="U94" i="194" s="1"/>
  <c r="V94" i="194" s="1"/>
  <c r="O89" i="194"/>
  <c r="O90" i="194"/>
  <c r="M96" i="194"/>
  <c r="O96" i="194" s="1"/>
  <c r="T92" i="194"/>
  <c r="U92" i="194" s="1"/>
  <c r="V92" i="194" s="1"/>
  <c r="T96" i="194" l="1"/>
  <c r="U96" i="194" s="1"/>
  <c r="V96" i="194" s="1"/>
  <c r="S22" i="195" l="1"/>
  <c r="K22" i="195"/>
  <c r="F22" i="195"/>
  <c r="N46" i="193"/>
  <c r="N8" i="193"/>
  <c r="D6" i="193"/>
  <c r="N6" i="193"/>
  <c r="L22" i="195" l="1"/>
  <c r="K22" i="223"/>
  <c r="K15" i="207"/>
  <c r="F22" i="223"/>
  <c r="F15" i="207"/>
  <c r="S22" i="223"/>
  <c r="S15" i="207"/>
  <c r="P22" i="195" l="1"/>
  <c r="L22" i="223"/>
  <c r="L15" i="207"/>
  <c r="P22" i="223" l="1"/>
  <c r="P15" i="207"/>
  <c r="M22" i="195"/>
  <c r="D7" i="197"/>
  <c r="O22" i="195" l="1"/>
  <c r="M22" i="223"/>
  <c r="M15" i="207"/>
  <c r="T22" i="195"/>
  <c r="D62" i="194"/>
  <c r="U22" i="195" l="1"/>
  <c r="T22" i="223"/>
  <c r="T15" i="207"/>
  <c r="O22" i="223"/>
  <c r="O15" i="207"/>
  <c r="S83" i="193"/>
  <c r="K83" i="193"/>
  <c r="L83" i="193" s="1"/>
  <c r="P83" i="193" s="1"/>
  <c r="F83" i="193"/>
  <c r="V22" i="195" l="1"/>
  <c r="U22" i="223"/>
  <c r="U15" i="207"/>
  <c r="M83" i="193"/>
  <c r="O83" i="193" s="1"/>
  <c r="D22" i="193"/>
  <c r="BC18" i="191"/>
  <c r="BC17" i="191"/>
  <c r="BC15" i="191"/>
  <c r="BC13" i="191"/>
  <c r="BC12" i="191"/>
  <c r="BC11" i="191"/>
  <c r="BC10" i="191"/>
  <c r="BC7" i="191"/>
  <c r="V22" i="223" l="1"/>
  <c r="V15" i="207"/>
  <c r="T83" i="193"/>
  <c r="U83" i="193" s="1"/>
  <c r="V83" i="193" s="1"/>
  <c r="I5" i="44" l="1"/>
  <c r="D49" i="194"/>
  <c r="N49" i="194"/>
  <c r="N106" i="194" s="1"/>
  <c r="Z120" i="194" l="1"/>
  <c r="K5" i="44" s="1"/>
  <c r="Z114" i="194"/>
  <c r="S82" i="193" l="1"/>
  <c r="K82" i="193"/>
  <c r="L82" i="193" s="1"/>
  <c r="F82" i="193"/>
  <c r="Z115" i="194"/>
  <c r="D5" i="44" s="1"/>
  <c r="P82" i="193" l="1"/>
  <c r="M82" i="193" l="1"/>
  <c r="O82" i="193" s="1"/>
  <c r="C11" i="44"/>
  <c r="D6" i="44"/>
  <c r="E6" i="44"/>
  <c r="H13" i="44"/>
  <c r="B12" i="44"/>
  <c r="F12" i="44"/>
  <c r="L11" i="44"/>
  <c r="K10" i="44"/>
  <c r="C10" i="44"/>
  <c r="D8" i="44"/>
  <c r="T82" i="193" l="1"/>
  <c r="U82" i="193" s="1"/>
  <c r="V82" i="193" s="1"/>
  <c r="J4" i="44"/>
  <c r="S24" i="195"/>
  <c r="S25" i="195"/>
  <c r="S26" i="195"/>
  <c r="S27" i="195"/>
  <c r="S25" i="223" l="1"/>
  <c r="S29" i="207"/>
  <c r="S27" i="223"/>
  <c r="S30" i="207"/>
  <c r="S26" i="223"/>
  <c r="S49" i="207"/>
  <c r="S24" i="223"/>
  <c r="S17" i="207"/>
  <c r="K7" i="196"/>
  <c r="K8" i="196"/>
  <c r="K6" i="196"/>
  <c r="A7" i="202" l="1"/>
  <c r="A8" i="202" s="1"/>
  <c r="A9" i="202" s="1"/>
  <c r="A10" i="202" s="1"/>
  <c r="A11" i="202" s="1"/>
  <c r="A12" i="202" s="1"/>
  <c r="A13" i="202" s="1"/>
  <c r="A14" i="202" s="1"/>
  <c r="A15" i="202" s="1"/>
  <c r="A7" i="198"/>
  <c r="A8" i="198" s="1"/>
  <c r="A9" i="198" s="1"/>
  <c r="A10" i="198" s="1"/>
  <c r="A11" i="198" s="1"/>
  <c r="A12" i="198" s="1"/>
  <c r="A13" i="198" s="1"/>
  <c r="A14" i="198" s="1"/>
  <c r="Y16" i="12" l="1"/>
  <c r="F9" i="78"/>
  <c r="A15" i="198"/>
  <c r="A16" i="198" s="1"/>
  <c r="A17" i="198" s="1"/>
  <c r="Y12" i="12" s="1"/>
  <c r="AH25" i="191" l="1"/>
  <c r="D6" i="204" l="1"/>
  <c r="F6" i="204" s="1"/>
  <c r="Z15" i="204"/>
  <c r="X18" i="12" s="1"/>
  <c r="Q15" i="44" s="1"/>
  <c r="Y15" i="204"/>
  <c r="W18" i="12" s="1"/>
  <c r="X15" i="204"/>
  <c r="V18" i="12" s="1"/>
  <c r="R15" i="204"/>
  <c r="P18" i="12" s="1"/>
  <c r="Q15" i="204"/>
  <c r="O18" i="12" s="1"/>
  <c r="J15" i="204"/>
  <c r="H18" i="12" s="1"/>
  <c r="I15" i="204"/>
  <c r="G18" i="12" s="1"/>
  <c r="H15" i="204"/>
  <c r="F18" i="12" s="1"/>
  <c r="S14" i="204"/>
  <c r="N14" i="204"/>
  <c r="K14" i="204"/>
  <c r="L14" i="204" s="1"/>
  <c r="F14" i="204"/>
  <c r="F11" i="216" s="1"/>
  <c r="F12" i="216" s="1"/>
  <c r="F20" i="216" s="1"/>
  <c r="W15" i="204"/>
  <c r="S13" i="204"/>
  <c r="K13" i="204"/>
  <c r="L13" i="204" s="1"/>
  <c r="F13" i="204"/>
  <c r="S12" i="204"/>
  <c r="K12" i="204"/>
  <c r="L12" i="204" s="1"/>
  <c r="F12" i="204"/>
  <c r="S11" i="204"/>
  <c r="K11" i="204"/>
  <c r="L11" i="204" s="1"/>
  <c r="P11" i="204" s="1"/>
  <c r="M11" i="204" s="1"/>
  <c r="F11" i="204"/>
  <c r="S10" i="204"/>
  <c r="K10" i="204"/>
  <c r="L10" i="204" s="1"/>
  <c r="F10" i="204"/>
  <c r="S9" i="204"/>
  <c r="K9" i="204"/>
  <c r="L9" i="204" s="1"/>
  <c r="F9" i="204"/>
  <c r="S8" i="204"/>
  <c r="K8" i="204"/>
  <c r="L8" i="204" s="1"/>
  <c r="F8" i="204"/>
  <c r="S7" i="204"/>
  <c r="K7" i="204"/>
  <c r="L7" i="204" s="1"/>
  <c r="F7" i="204"/>
  <c r="A7" i="204"/>
  <c r="A8" i="204" s="1"/>
  <c r="A9" i="204" s="1"/>
  <c r="A10" i="204" s="1"/>
  <c r="A11" i="204" s="1"/>
  <c r="A12" i="204" s="1"/>
  <c r="A13" i="204" s="1"/>
  <c r="A14" i="204" s="1"/>
  <c r="S6" i="204"/>
  <c r="K6" i="204"/>
  <c r="G15" i="204"/>
  <c r="E18" i="12" s="1"/>
  <c r="D15" i="204"/>
  <c r="B18" i="12" s="1"/>
  <c r="U5" i="204"/>
  <c r="O5" i="204"/>
  <c r="U18" i="12" l="1"/>
  <c r="E11" i="81"/>
  <c r="A15" i="204"/>
  <c r="Y18" i="12" s="1"/>
  <c r="S15" i="204"/>
  <c r="Q18" i="12" s="1"/>
  <c r="E15" i="204"/>
  <c r="C18" i="12" s="1"/>
  <c r="P7" i="204"/>
  <c r="P13" i="204"/>
  <c r="M13" i="204" s="1"/>
  <c r="K15" i="204"/>
  <c r="P10" i="204"/>
  <c r="M10" i="204" s="1"/>
  <c r="P12" i="204"/>
  <c r="M12" i="204" s="1"/>
  <c r="P8" i="204"/>
  <c r="M8" i="204" s="1"/>
  <c r="P14" i="204"/>
  <c r="O11" i="204"/>
  <c r="P9" i="204"/>
  <c r="M9" i="204" s="1"/>
  <c r="F15" i="204"/>
  <c r="D18" i="12" s="1"/>
  <c r="L6" i="204"/>
  <c r="N15" i="204"/>
  <c r="L18" i="12" s="1"/>
  <c r="L16" i="204" l="1"/>
  <c r="P16" i="204" s="1"/>
  <c r="I18" i="12"/>
  <c r="M7" i="204"/>
  <c r="O7" i="204" s="1"/>
  <c r="T11" i="204"/>
  <c r="U11" i="204" s="1"/>
  <c r="V11" i="204" s="1"/>
  <c r="O9" i="204"/>
  <c r="O13" i="216" s="1"/>
  <c r="O15" i="216" s="1"/>
  <c r="T7" i="204"/>
  <c r="U7" i="204" s="1"/>
  <c r="V7" i="204" s="1"/>
  <c r="V8" i="216" s="1"/>
  <c r="O14" i="204"/>
  <c r="O11" i="216" s="1"/>
  <c r="O12" i="216" s="1"/>
  <c r="T14" i="204"/>
  <c r="O13" i="204"/>
  <c r="O12" i="204"/>
  <c r="O10" i="204"/>
  <c r="L15" i="204"/>
  <c r="J18" i="12" s="1"/>
  <c r="P6" i="204"/>
  <c r="O8" i="204"/>
  <c r="T8" i="204"/>
  <c r="U8" i="204" s="1"/>
  <c r="V8" i="204" s="1"/>
  <c r="U14" i="204" l="1"/>
  <c r="T11" i="216"/>
  <c r="T12" i="216" s="1"/>
  <c r="T20" i="216" s="1"/>
  <c r="M21" i="216" s="1"/>
  <c r="O20" i="216"/>
  <c r="T12" i="204"/>
  <c r="U12" i="204" s="1"/>
  <c r="V12" i="204" s="1"/>
  <c r="M6" i="204"/>
  <c r="T6" i="204" s="1"/>
  <c r="P15" i="204"/>
  <c r="N18" i="12" s="1"/>
  <c r="T13" i="204"/>
  <c r="U13" i="204" s="1"/>
  <c r="V13" i="204" s="1"/>
  <c r="T10" i="204"/>
  <c r="U10" i="204" s="1"/>
  <c r="V10" i="204" s="1"/>
  <c r="T9" i="204"/>
  <c r="U9" i="204" s="1"/>
  <c r="V14" i="204" l="1"/>
  <c r="V11" i="216" s="1"/>
  <c r="V12" i="216" s="1"/>
  <c r="U11" i="216"/>
  <c r="U12" i="216" s="1"/>
  <c r="V9" i="204"/>
  <c r="V13" i="216" s="1"/>
  <c r="V15" i="216" s="1"/>
  <c r="U13" i="216"/>
  <c r="U15" i="216" s="1"/>
  <c r="T15" i="204"/>
  <c r="U6" i="204"/>
  <c r="M15" i="204"/>
  <c r="K18" i="12" s="1"/>
  <c r="O6" i="204"/>
  <c r="O15" i="204" s="1"/>
  <c r="M18" i="12" s="1"/>
  <c r="U20" i="216" l="1"/>
  <c r="V20" i="216"/>
  <c r="R18" i="12"/>
  <c r="M16" i="204"/>
  <c r="V6" i="204"/>
  <c r="V15" i="204" s="1"/>
  <c r="U15" i="204"/>
  <c r="S18" i="12" l="1"/>
  <c r="F5" i="81"/>
  <c r="T18" i="12"/>
  <c r="E10" i="81"/>
  <c r="S21" i="203"/>
  <c r="K21" i="203"/>
  <c r="L21" i="203" s="1"/>
  <c r="P21" i="203" s="1"/>
  <c r="F21" i="203"/>
  <c r="M21" i="203" l="1"/>
  <c r="T21" i="203" s="1"/>
  <c r="U21" i="203" s="1"/>
  <c r="V21" i="203" s="1"/>
  <c r="O21" i="203"/>
  <c r="D6" i="203" l="1"/>
  <c r="F6" i="203" s="1"/>
  <c r="Z23" i="203"/>
  <c r="X17" i="12" s="1"/>
  <c r="Q14" i="44" s="1"/>
  <c r="Y23" i="203"/>
  <c r="W17" i="12" s="1"/>
  <c r="X23" i="203"/>
  <c r="V17" i="12" s="1"/>
  <c r="W23" i="203"/>
  <c r="U17" i="12" s="1"/>
  <c r="R23" i="203"/>
  <c r="P17" i="12" s="1"/>
  <c r="Q23" i="203"/>
  <c r="O17" i="12" s="1"/>
  <c r="J23" i="203"/>
  <c r="H17" i="12" s="1"/>
  <c r="I23" i="203"/>
  <c r="G17" i="12" s="1"/>
  <c r="H23" i="203"/>
  <c r="F17" i="12" s="1"/>
  <c r="E23" i="203"/>
  <c r="C17" i="12" s="1"/>
  <c r="S22" i="203"/>
  <c r="K22" i="203"/>
  <c r="L22" i="203" s="1"/>
  <c r="F22" i="203"/>
  <c r="S20" i="203"/>
  <c r="K20" i="203"/>
  <c r="L20" i="203" s="1"/>
  <c r="F20" i="203"/>
  <c r="S19" i="203"/>
  <c r="K19" i="203"/>
  <c r="L19" i="203" s="1"/>
  <c r="F19" i="203"/>
  <c r="S18" i="203"/>
  <c r="K18" i="203"/>
  <c r="L18" i="203" s="1"/>
  <c r="F18" i="203"/>
  <c r="S17" i="203"/>
  <c r="K17" i="203"/>
  <c r="L17" i="203" s="1"/>
  <c r="F17" i="203"/>
  <c r="S16" i="203"/>
  <c r="K16" i="203"/>
  <c r="L16" i="203" s="1"/>
  <c r="P16" i="203" s="1"/>
  <c r="F16" i="203"/>
  <c r="S15" i="203"/>
  <c r="K15" i="203"/>
  <c r="L15" i="203" s="1"/>
  <c r="P15" i="203" s="1"/>
  <c r="M15" i="203" s="1"/>
  <c r="F15" i="203"/>
  <c r="S14" i="203"/>
  <c r="K14" i="203"/>
  <c r="L14" i="203" s="1"/>
  <c r="F14" i="203"/>
  <c r="S13" i="203"/>
  <c r="K13" i="203"/>
  <c r="L13" i="203" s="1"/>
  <c r="F13" i="203"/>
  <c r="S12" i="203"/>
  <c r="K12" i="203"/>
  <c r="L12" i="203" s="1"/>
  <c r="P12" i="203" s="1"/>
  <c r="D12" i="203"/>
  <c r="S11" i="203"/>
  <c r="K11" i="203"/>
  <c r="L11" i="203" s="1"/>
  <c r="F11" i="203"/>
  <c r="S10" i="203"/>
  <c r="K10" i="203"/>
  <c r="L10" i="203" s="1"/>
  <c r="F10" i="203"/>
  <c r="S9" i="203"/>
  <c r="K9" i="203"/>
  <c r="L9" i="203" s="1"/>
  <c r="F9" i="203"/>
  <c r="S8" i="203"/>
  <c r="K8" i="203"/>
  <c r="L8" i="203" s="1"/>
  <c r="F8" i="203"/>
  <c r="S7" i="203"/>
  <c r="K7" i="203"/>
  <c r="L7" i="203" s="1"/>
  <c r="P7" i="203" s="1"/>
  <c r="F7" i="203"/>
  <c r="S6" i="203"/>
  <c r="K6" i="203"/>
  <c r="A6" i="203"/>
  <c r="A7" i="203" s="1"/>
  <c r="A8" i="203" s="1"/>
  <c r="A9" i="203" s="1"/>
  <c r="A10" i="203" s="1"/>
  <c r="A11" i="203" s="1"/>
  <c r="A12" i="203" s="1"/>
  <c r="A13" i="203" s="1"/>
  <c r="A14" i="203" s="1"/>
  <c r="A15" i="203" s="1"/>
  <c r="A16" i="203" s="1"/>
  <c r="A17" i="203" s="1"/>
  <c r="T5" i="203"/>
  <c r="U5" i="203" s="1"/>
  <c r="O5" i="203"/>
  <c r="D23" i="203" l="1"/>
  <c r="B17" i="12" s="1"/>
  <c r="A18" i="203"/>
  <c r="A19" i="203" s="1"/>
  <c r="A20" i="203" s="1"/>
  <c r="A21" i="203" s="1"/>
  <c r="A22" i="203" s="1"/>
  <c r="P10" i="203"/>
  <c r="M10" i="203" s="1"/>
  <c r="O10" i="203" s="1"/>
  <c r="S23" i="203"/>
  <c r="Q17" i="12" s="1"/>
  <c r="K23" i="203"/>
  <c r="O15" i="203"/>
  <c r="G23" i="203"/>
  <c r="E17" i="12" s="1"/>
  <c r="P13" i="203"/>
  <c r="P9" i="203"/>
  <c r="P22" i="203"/>
  <c r="P14" i="203"/>
  <c r="M16" i="203"/>
  <c r="T16" i="203" s="1"/>
  <c r="U16" i="203" s="1"/>
  <c r="V16" i="203" s="1"/>
  <c r="P19" i="203"/>
  <c r="M7" i="203"/>
  <c r="O7" i="203" s="1"/>
  <c r="P18" i="203"/>
  <c r="P8" i="203"/>
  <c r="M12" i="203"/>
  <c r="T12" i="203" s="1"/>
  <c r="U12" i="203" s="1"/>
  <c r="V12" i="203" s="1"/>
  <c r="P20" i="203"/>
  <c r="N23" i="203"/>
  <c r="L17" i="12" s="1"/>
  <c r="T10" i="203"/>
  <c r="U10" i="203" s="1"/>
  <c r="V10" i="203" s="1"/>
  <c r="T15" i="203"/>
  <c r="U15" i="203" s="1"/>
  <c r="V15" i="203" s="1"/>
  <c r="P11" i="203"/>
  <c r="P17" i="203"/>
  <c r="L6" i="203"/>
  <c r="F12" i="203"/>
  <c r="F23" i="203" s="1"/>
  <c r="D17" i="12" s="1"/>
  <c r="O12" i="203"/>
  <c r="L24" i="203" l="1"/>
  <c r="P24" i="203" s="1"/>
  <c r="I17" i="12"/>
  <c r="A23" i="203"/>
  <c r="Y17" i="12" s="1"/>
  <c r="M22" i="203"/>
  <c r="O22" i="203" s="1"/>
  <c r="M18" i="203"/>
  <c r="O18" i="203" s="1"/>
  <c r="T18" i="203"/>
  <c r="U18" i="203" s="1"/>
  <c r="V18" i="203" s="1"/>
  <c r="L23" i="203"/>
  <c r="J17" i="12" s="1"/>
  <c r="P6" i="203"/>
  <c r="M20" i="203"/>
  <c r="O20" i="203" s="1"/>
  <c r="M9" i="203"/>
  <c r="O9" i="203" s="1"/>
  <c r="M17" i="203"/>
  <c r="O17" i="203" s="1"/>
  <c r="O16" i="203"/>
  <c r="M19" i="203"/>
  <c r="O19" i="203" s="1"/>
  <c r="M11" i="203"/>
  <c r="O11" i="203" s="1"/>
  <c r="M8" i="203"/>
  <c r="O8" i="203" s="1"/>
  <c r="T7" i="203"/>
  <c r="U7" i="203" s="1"/>
  <c r="V7" i="203" s="1"/>
  <c r="M14" i="203"/>
  <c r="O14" i="203" s="1"/>
  <c r="M13" i="203"/>
  <c r="O13" i="203" s="1"/>
  <c r="T17" i="203" l="1"/>
  <c r="U17" i="203" s="1"/>
  <c r="V17" i="203" s="1"/>
  <c r="T8" i="203"/>
  <c r="U8" i="203" s="1"/>
  <c r="V8" i="203" s="1"/>
  <c r="T22" i="203"/>
  <c r="U22" i="203" s="1"/>
  <c r="V22" i="203" s="1"/>
  <c r="T20" i="203"/>
  <c r="U20" i="203" s="1"/>
  <c r="V20" i="203" s="1"/>
  <c r="T19" i="203"/>
  <c r="U19" i="203" s="1"/>
  <c r="V19" i="203" s="1"/>
  <c r="P23" i="203"/>
  <c r="N17" i="12" s="1"/>
  <c r="M6" i="203"/>
  <c r="T6" i="203" s="1"/>
  <c r="T14" i="203"/>
  <c r="U14" i="203" s="1"/>
  <c r="V14" i="203" s="1"/>
  <c r="T11" i="203"/>
  <c r="U11" i="203" s="1"/>
  <c r="V11" i="203" s="1"/>
  <c r="T9" i="203"/>
  <c r="U9" i="203" s="1"/>
  <c r="V9" i="203" s="1"/>
  <c r="T13" i="203"/>
  <c r="U13" i="203" s="1"/>
  <c r="V13" i="203" s="1"/>
  <c r="M23" i="203" l="1"/>
  <c r="K17" i="12" s="1"/>
  <c r="O6" i="203"/>
  <c r="O23" i="203" s="1"/>
  <c r="M17" i="12" s="1"/>
  <c r="T23" i="203"/>
  <c r="U6" i="203"/>
  <c r="R17" i="12" l="1"/>
  <c r="M24" i="203"/>
  <c r="V6" i="203"/>
  <c r="V23" i="203" s="1"/>
  <c r="T17" i="12" s="1"/>
  <c r="U23" i="203"/>
  <c r="S17" i="12" s="1"/>
  <c r="W16" i="12" l="1"/>
  <c r="V16" i="12"/>
  <c r="P16" i="12"/>
  <c r="O16" i="12"/>
  <c r="C16" i="12"/>
  <c r="K14" i="202"/>
  <c r="F14" i="202"/>
  <c r="F14" i="214" s="1"/>
  <c r="X16" i="12"/>
  <c r="Q13" i="44" s="1"/>
  <c r="H16" i="12"/>
  <c r="S13" i="202"/>
  <c r="S17" i="214" s="1"/>
  <c r="K13" i="202"/>
  <c r="K17" i="214" s="1"/>
  <c r="F13" i="202"/>
  <c r="F17" i="214" s="1"/>
  <c r="S12" i="202"/>
  <c r="S13" i="214" s="1"/>
  <c r="K12" i="202"/>
  <c r="F12" i="202"/>
  <c r="F13" i="214" s="1"/>
  <c r="S11" i="202"/>
  <c r="S12" i="214" s="1"/>
  <c r="K11" i="202"/>
  <c r="F11" i="202"/>
  <c r="F12" i="214" s="1"/>
  <c r="S10" i="202"/>
  <c r="S8" i="214" s="1"/>
  <c r="S9" i="214" s="1"/>
  <c r="K10" i="202"/>
  <c r="D10" i="202"/>
  <c r="S9" i="202"/>
  <c r="S11" i="214" s="1"/>
  <c r="N9" i="202"/>
  <c r="N11" i="214" s="1"/>
  <c r="N15" i="214" s="1"/>
  <c r="K9" i="202"/>
  <c r="D9" i="202"/>
  <c r="D11" i="214" s="1"/>
  <c r="S8" i="202"/>
  <c r="S16" i="214" s="1"/>
  <c r="S18" i="214" s="1"/>
  <c r="K8" i="202"/>
  <c r="F8" i="202"/>
  <c r="F16" i="214" s="1"/>
  <c r="F18" i="214" s="1"/>
  <c r="S7" i="202"/>
  <c r="S6" i="214" s="1"/>
  <c r="S7" i="214" s="1"/>
  <c r="N7" i="202"/>
  <c r="K7" i="202"/>
  <c r="F7" i="202"/>
  <c r="F6" i="214" s="1"/>
  <c r="F7" i="214" s="1"/>
  <c r="S6" i="202"/>
  <c r="S10" i="214" s="1"/>
  <c r="K6" i="202"/>
  <c r="K10" i="214" s="1"/>
  <c r="F6" i="202"/>
  <c r="F10" i="214" s="1"/>
  <c r="T5" i="202"/>
  <c r="U5" i="202" s="1"/>
  <c r="F10" i="202" l="1"/>
  <c r="F8" i="214" s="1"/>
  <c r="F9" i="214" s="1"/>
  <c r="D8" i="214"/>
  <c r="D9" i="214" s="1"/>
  <c r="B10" i="97"/>
  <c r="D19" i="214"/>
  <c r="F9" i="202"/>
  <c r="F11" i="214" s="1"/>
  <c r="F15" i="214" s="1"/>
  <c r="L11" i="202"/>
  <c r="L12" i="214" s="1"/>
  <c r="K12" i="214"/>
  <c r="L8" i="202"/>
  <c r="L16" i="214" s="1"/>
  <c r="K16" i="214"/>
  <c r="K18" i="214" s="1"/>
  <c r="L9" i="202"/>
  <c r="K11" i="214"/>
  <c r="L10" i="202"/>
  <c r="L8" i="214" s="1"/>
  <c r="L9" i="214" s="1"/>
  <c r="K8" i="214"/>
  <c r="K9" i="214" s="1"/>
  <c r="S15" i="214"/>
  <c r="L10" i="97"/>
  <c r="L7" i="202"/>
  <c r="L6" i="214" s="1"/>
  <c r="L7" i="214" s="1"/>
  <c r="K6" i="214"/>
  <c r="K7" i="214" s="1"/>
  <c r="N15" i="202"/>
  <c r="N6" i="214"/>
  <c r="N7" i="214" s="1"/>
  <c r="L6" i="97" s="1"/>
  <c r="L12" i="202"/>
  <c r="L13" i="214" s="1"/>
  <c r="K13" i="214"/>
  <c r="L14" i="202"/>
  <c r="K14" i="214"/>
  <c r="K15" i="214" s="1"/>
  <c r="L6" i="202"/>
  <c r="L10" i="214" s="1"/>
  <c r="K15" i="202"/>
  <c r="I16" i="12" s="1"/>
  <c r="S15" i="202"/>
  <c r="Q16" i="12" s="1"/>
  <c r="D15" i="202"/>
  <c r="B16" i="12" s="1"/>
  <c r="E16" i="12"/>
  <c r="F16" i="12"/>
  <c r="G16" i="12"/>
  <c r="P10" i="202"/>
  <c r="P8" i="214" s="1"/>
  <c r="P9" i="214" s="1"/>
  <c r="P8" i="202"/>
  <c r="P16" i="214" s="1"/>
  <c r="L13" i="202"/>
  <c r="L17" i="214" s="1"/>
  <c r="F19" i="214" l="1"/>
  <c r="F15" i="202"/>
  <c r="D16" i="12" s="1"/>
  <c r="P6" i="202"/>
  <c r="P10" i="214" s="1"/>
  <c r="P12" i="202"/>
  <c r="P13" i="214" s="1"/>
  <c r="P9" i="202"/>
  <c r="L11" i="214"/>
  <c r="S19" i="214"/>
  <c r="P11" i="202"/>
  <c r="P12" i="214" s="1"/>
  <c r="L18" i="214"/>
  <c r="P7" i="202"/>
  <c r="P6" i="214" s="1"/>
  <c r="P7" i="214" s="1"/>
  <c r="N19" i="214"/>
  <c r="K19" i="214"/>
  <c r="L20" i="214" s="1"/>
  <c r="P20" i="214" s="1"/>
  <c r="P14" i="202"/>
  <c r="L14" i="214"/>
  <c r="L15" i="202"/>
  <c r="L16" i="202"/>
  <c r="P16" i="202" s="1"/>
  <c r="M8" i="202"/>
  <c r="M10" i="202"/>
  <c r="P13" i="202"/>
  <c r="P17" i="214" s="1"/>
  <c r="P18" i="214" s="1"/>
  <c r="M11" i="202"/>
  <c r="T11" i="202"/>
  <c r="M12" i="202" l="1"/>
  <c r="M6" i="202"/>
  <c r="M10" i="214" s="1"/>
  <c r="O10" i="202"/>
  <c r="O8" i="214" s="1"/>
  <c r="O9" i="214" s="1"/>
  <c r="M8" i="214"/>
  <c r="M9" i="214" s="1"/>
  <c r="P11" i="214"/>
  <c r="M9" i="202"/>
  <c r="T9" i="202" s="1"/>
  <c r="O8" i="202"/>
  <c r="O16" i="214" s="1"/>
  <c r="M16" i="214"/>
  <c r="U11" i="202"/>
  <c r="T12" i="214"/>
  <c r="M7" i="202"/>
  <c r="O12" i="202"/>
  <c r="O13" i="214" s="1"/>
  <c r="M13" i="214"/>
  <c r="O11" i="202"/>
  <c r="O12" i="214" s="1"/>
  <c r="M12" i="214"/>
  <c r="L15" i="214"/>
  <c r="L19" i="214" s="1"/>
  <c r="P15" i="202"/>
  <c r="M14" i="202"/>
  <c r="P14" i="214"/>
  <c r="P15" i="214" s="1"/>
  <c r="T14" i="202"/>
  <c r="T6" i="202"/>
  <c r="T10" i="214" s="1"/>
  <c r="L16" i="12"/>
  <c r="J16" i="12"/>
  <c r="T8" i="202"/>
  <c r="M13" i="202"/>
  <c r="O6" i="202"/>
  <c r="O10" i="214" s="1"/>
  <c r="T10" i="202"/>
  <c r="T7" i="202"/>
  <c r="T12" i="202"/>
  <c r="W11" i="202" l="1"/>
  <c r="W12" i="214" s="1"/>
  <c r="U12" i="214"/>
  <c r="U9" i="202"/>
  <c r="T11" i="214"/>
  <c r="U7" i="202"/>
  <c r="T6" i="214"/>
  <c r="T7" i="214" s="1"/>
  <c r="U10" i="202"/>
  <c r="T8" i="214"/>
  <c r="T9" i="214" s="1"/>
  <c r="O9" i="202"/>
  <c r="O11" i="214" s="1"/>
  <c r="M11" i="214"/>
  <c r="U6" i="202"/>
  <c r="U10" i="214" s="1"/>
  <c r="O13" i="202"/>
  <c r="O17" i="214" s="1"/>
  <c r="O18" i="214" s="1"/>
  <c r="M17" i="214"/>
  <c r="M18" i="214" s="1"/>
  <c r="U12" i="202"/>
  <c r="T13" i="214"/>
  <c r="U8" i="202"/>
  <c r="T16" i="214"/>
  <c r="O7" i="202"/>
  <c r="O6" i="214" s="1"/>
  <c r="O7" i="214" s="1"/>
  <c r="M6" i="214"/>
  <c r="M7" i="214" s="1"/>
  <c r="T14" i="214"/>
  <c r="U14" i="202"/>
  <c r="P19" i="214"/>
  <c r="M14" i="214"/>
  <c r="O14" i="202"/>
  <c r="O14" i="214" s="1"/>
  <c r="O15" i="214" s="1"/>
  <c r="M15" i="202"/>
  <c r="K16" i="12" s="1"/>
  <c r="N16" i="12"/>
  <c r="W6" i="202"/>
  <c r="W10" i="214" s="1"/>
  <c r="W15" i="214" s="1"/>
  <c r="T13" i="202"/>
  <c r="T17" i="214" s="1"/>
  <c r="T15" i="214" l="1"/>
  <c r="V12" i="202"/>
  <c r="V13" i="214" s="1"/>
  <c r="U13" i="214"/>
  <c r="W7" i="202"/>
  <c r="W6" i="214" s="1"/>
  <c r="W7" i="214" s="1"/>
  <c r="U6" i="214"/>
  <c r="U7" i="214" s="1"/>
  <c r="V9" i="202"/>
  <c r="V11" i="214" s="1"/>
  <c r="U11" i="214"/>
  <c r="O15" i="202"/>
  <c r="M16" i="12" s="1"/>
  <c r="T18" i="214"/>
  <c r="M15" i="214"/>
  <c r="U16" i="214"/>
  <c r="U8" i="214"/>
  <c r="U9" i="214" s="1"/>
  <c r="O19" i="214"/>
  <c r="U14" i="214"/>
  <c r="V14" i="202"/>
  <c r="V14" i="214" s="1"/>
  <c r="M19" i="214"/>
  <c r="T15" i="202"/>
  <c r="U13" i="202"/>
  <c r="V15" i="214" l="1"/>
  <c r="V8" i="214"/>
  <c r="V9" i="214" s="1"/>
  <c r="W10" i="202"/>
  <c r="W8" i="214" s="1"/>
  <c r="W9" i="214" s="1"/>
  <c r="V16" i="214"/>
  <c r="V18" i="214" s="1"/>
  <c r="W8" i="202"/>
  <c r="W16" i="214" s="1"/>
  <c r="W18" i="214" s="1"/>
  <c r="T19" i="214"/>
  <c r="U20" i="214" s="1"/>
  <c r="U15" i="202"/>
  <c r="F7" i="78" s="1"/>
  <c r="U17" i="214"/>
  <c r="U18" i="214" s="1"/>
  <c r="U15" i="214"/>
  <c r="V15" i="202"/>
  <c r="W13" i="202"/>
  <c r="W17" i="214" s="1"/>
  <c r="M20" i="214" l="1"/>
  <c r="U19" i="214"/>
  <c r="W19" i="214"/>
  <c r="S16" i="12"/>
  <c r="V19" i="214"/>
  <c r="T16" i="12"/>
  <c r="E15" i="78"/>
  <c r="W15" i="202"/>
  <c r="R16" i="12"/>
  <c r="M16" i="202"/>
  <c r="U16" i="202"/>
  <c r="S14" i="201"/>
  <c r="K14" i="201"/>
  <c r="L14" i="201" s="1"/>
  <c r="F14" i="201"/>
  <c r="K13" i="201"/>
  <c r="L13" i="201" s="1"/>
  <c r="P13" i="201" s="1"/>
  <c r="F13" i="201"/>
  <c r="S12" i="201"/>
  <c r="K12" i="201"/>
  <c r="L12" i="201" s="1"/>
  <c r="F12" i="201"/>
  <c r="S11" i="201"/>
  <c r="K11" i="201"/>
  <c r="L11" i="201" s="1"/>
  <c r="F11" i="201"/>
  <c r="S10" i="201"/>
  <c r="K10" i="201"/>
  <c r="L10" i="201" s="1"/>
  <c r="G10" i="201"/>
  <c r="G15" i="201" s="1"/>
  <c r="F10" i="201"/>
  <c r="S9" i="201"/>
  <c r="K9" i="201"/>
  <c r="L9" i="201" s="1"/>
  <c r="F9" i="201"/>
  <c r="S8" i="201"/>
  <c r="K8" i="201"/>
  <c r="L8" i="201" s="1"/>
  <c r="P8" i="201" s="1"/>
  <c r="F8" i="201"/>
  <c r="S7" i="201"/>
  <c r="K7" i="201"/>
  <c r="F7" i="201"/>
  <c r="S6" i="201"/>
  <c r="K6" i="201"/>
  <c r="F6" i="201"/>
  <c r="A6" i="201"/>
  <c r="A7" i="201" s="1"/>
  <c r="A8" i="201" s="1"/>
  <c r="A9" i="201" s="1"/>
  <c r="A10" i="201" s="1"/>
  <c r="A11" i="201" s="1"/>
  <c r="A12" i="201" s="1"/>
  <c r="A13" i="201" s="1"/>
  <c r="A14" i="201" s="1"/>
  <c r="A15" i="201" s="1"/>
  <c r="U16" i="12" l="1"/>
  <c r="E16" i="78"/>
  <c r="F15" i="201"/>
  <c r="L6" i="201"/>
  <c r="K15" i="201"/>
  <c r="I15" i="12" s="1"/>
  <c r="S15" i="201"/>
  <c r="P15" i="12"/>
  <c r="U15" i="12"/>
  <c r="F15" i="12"/>
  <c r="X15" i="12"/>
  <c r="Q12" i="44" s="1"/>
  <c r="O15" i="12"/>
  <c r="B15" i="12"/>
  <c r="P10" i="201"/>
  <c r="M10" i="201" s="1"/>
  <c r="O10" i="201" s="1"/>
  <c r="C15" i="12"/>
  <c r="V15" i="12"/>
  <c r="W15" i="12"/>
  <c r="H15" i="12"/>
  <c r="G15" i="12"/>
  <c r="Y15" i="12"/>
  <c r="D15" i="12"/>
  <c r="M8" i="201"/>
  <c r="O8" i="201" s="1"/>
  <c r="M13" i="201"/>
  <c r="O13" i="201" s="1"/>
  <c r="T13" i="201"/>
  <c r="U13" i="201" s="1"/>
  <c r="V13" i="201" s="1"/>
  <c r="P11" i="201"/>
  <c r="P12" i="201"/>
  <c r="P14" i="201"/>
  <c r="P9" i="201"/>
  <c r="P6" i="201"/>
  <c r="L7" i="201"/>
  <c r="L15" i="201" l="1"/>
  <c r="T10" i="201"/>
  <c r="U10" i="201" s="1"/>
  <c r="V10" i="201" s="1"/>
  <c r="Q15" i="12"/>
  <c r="L15" i="12"/>
  <c r="T8" i="201"/>
  <c r="U8" i="201" s="1"/>
  <c r="V8" i="201" s="1"/>
  <c r="M14" i="201"/>
  <c r="O14" i="201" s="1"/>
  <c r="M6" i="201"/>
  <c r="M9" i="201"/>
  <c r="O9" i="201" s="1"/>
  <c r="J15" i="12"/>
  <c r="M12" i="201"/>
  <c r="O12" i="201" s="1"/>
  <c r="P7" i="201"/>
  <c r="P15" i="201" s="1"/>
  <c r="M11" i="201"/>
  <c r="O11" i="201" s="1"/>
  <c r="T6" i="201" l="1"/>
  <c r="M15" i="201"/>
  <c r="T14" i="201"/>
  <c r="U14" i="201" s="1"/>
  <c r="V14" i="201" s="1"/>
  <c r="E15" i="12"/>
  <c r="P16" i="201"/>
  <c r="T9" i="201"/>
  <c r="U9" i="201" s="1"/>
  <c r="V9" i="201" s="1"/>
  <c r="O6" i="201"/>
  <c r="O15" i="201" s="1"/>
  <c r="U6" i="201"/>
  <c r="M7" i="201"/>
  <c r="O7" i="201" s="1"/>
  <c r="T12" i="201"/>
  <c r="U12" i="201" s="1"/>
  <c r="V12" i="201" s="1"/>
  <c r="T11" i="201"/>
  <c r="U11" i="201" s="1"/>
  <c r="V11" i="201" s="1"/>
  <c r="N15" i="12" l="1"/>
  <c r="T7" i="201"/>
  <c r="T15" i="201" s="1"/>
  <c r="V6" i="201"/>
  <c r="K15" i="12" l="1"/>
  <c r="M15" i="12"/>
  <c r="U7" i="201"/>
  <c r="U15" i="201" s="1"/>
  <c r="R15" i="12" l="1"/>
  <c r="U16" i="201"/>
  <c r="M16" i="201"/>
  <c r="V7" i="201"/>
  <c r="V15" i="201" s="1"/>
  <c r="S15" i="12" l="1"/>
  <c r="T15" i="12"/>
  <c r="V14" i="12"/>
  <c r="S23" i="200"/>
  <c r="K23" i="200"/>
  <c r="L23" i="200" s="1"/>
  <c r="F23" i="200"/>
  <c r="L14" i="12"/>
  <c r="H14" i="12"/>
  <c r="C14" i="12"/>
  <c r="S22" i="200"/>
  <c r="K22" i="200"/>
  <c r="L22" i="200" s="1"/>
  <c r="F22" i="200"/>
  <c r="S21" i="200"/>
  <c r="K21" i="200"/>
  <c r="L21" i="200" s="1"/>
  <c r="F21" i="200"/>
  <c r="S20" i="200"/>
  <c r="K20" i="200"/>
  <c r="L20" i="200" s="1"/>
  <c r="F20" i="200"/>
  <c r="S19" i="200"/>
  <c r="K19" i="200"/>
  <c r="L19" i="200" s="1"/>
  <c r="P19" i="200" s="1"/>
  <c r="F19" i="200"/>
  <c r="S18" i="200"/>
  <c r="K18" i="200"/>
  <c r="L18" i="200" s="1"/>
  <c r="F18" i="200"/>
  <c r="S17" i="200"/>
  <c r="K17" i="200"/>
  <c r="L17" i="200" s="1"/>
  <c r="F17" i="200"/>
  <c r="S16" i="200"/>
  <c r="K16" i="200"/>
  <c r="L16" i="200" s="1"/>
  <c r="F16" i="200"/>
  <c r="S15" i="200"/>
  <c r="K15" i="200"/>
  <c r="L15" i="200" s="1"/>
  <c r="F15" i="200"/>
  <c r="S14" i="200"/>
  <c r="K14" i="200"/>
  <c r="L14" i="200" s="1"/>
  <c r="P14" i="200" s="1"/>
  <c r="F14" i="200"/>
  <c r="S13" i="200"/>
  <c r="K13" i="200"/>
  <c r="L13" i="200" s="1"/>
  <c r="F13" i="200"/>
  <c r="S12" i="200"/>
  <c r="K12" i="200"/>
  <c r="L12" i="200" s="1"/>
  <c r="P12" i="200" s="1"/>
  <c r="F12" i="200"/>
  <c r="S11" i="200"/>
  <c r="K11" i="200"/>
  <c r="L11" i="200" s="1"/>
  <c r="F11" i="200"/>
  <c r="S10" i="200"/>
  <c r="K10" i="200"/>
  <c r="L10" i="200" s="1"/>
  <c r="P10" i="200" s="1"/>
  <c r="D10" i="200"/>
  <c r="S9" i="200"/>
  <c r="K9" i="200"/>
  <c r="L9" i="200" s="1"/>
  <c r="F9" i="200"/>
  <c r="S8" i="200"/>
  <c r="K8" i="200"/>
  <c r="L8" i="200" s="1"/>
  <c r="F8" i="200"/>
  <c r="S7" i="200"/>
  <c r="K7" i="200"/>
  <c r="L7" i="200" s="1"/>
  <c r="F7" i="200"/>
  <c r="S6" i="200"/>
  <c r="K6" i="200"/>
  <c r="F6" i="200"/>
  <c r="A6" i="200"/>
  <c r="A7" i="200" s="1"/>
  <c r="A8" i="200" s="1"/>
  <c r="A9" i="200" s="1"/>
  <c r="A10" i="200" s="1"/>
  <c r="A11" i="200" s="1"/>
  <c r="A12" i="200" s="1"/>
  <c r="A13" i="200" s="1"/>
  <c r="A14" i="200" s="1"/>
  <c r="A15" i="200" s="1"/>
  <c r="A16" i="200" s="1"/>
  <c r="A17" i="200" s="1"/>
  <c r="A18" i="200" s="1"/>
  <c r="S47" i="199"/>
  <c r="K47" i="199"/>
  <c r="L47" i="199" s="1"/>
  <c r="F47" i="199"/>
  <c r="S46" i="199"/>
  <c r="K46" i="199"/>
  <c r="L46" i="199" s="1"/>
  <c r="F46" i="199"/>
  <c r="S45" i="199"/>
  <c r="K45" i="199"/>
  <c r="L45" i="199" s="1"/>
  <c r="F45" i="199"/>
  <c r="S44" i="199"/>
  <c r="K44" i="199"/>
  <c r="L44" i="199" s="1"/>
  <c r="P44" i="199" s="1"/>
  <c r="F44" i="199"/>
  <c r="S43" i="199"/>
  <c r="K43" i="199"/>
  <c r="L43" i="199" s="1"/>
  <c r="P43" i="199" s="1"/>
  <c r="F43" i="199"/>
  <c r="S42" i="199"/>
  <c r="K42" i="199"/>
  <c r="L42" i="199" s="1"/>
  <c r="P42" i="199" s="1"/>
  <c r="D42" i="199"/>
  <c r="F42" i="199" s="1"/>
  <c r="S41" i="199"/>
  <c r="K41" i="199"/>
  <c r="L41" i="199" s="1"/>
  <c r="P41" i="199" s="1"/>
  <c r="F41" i="199"/>
  <c r="S40" i="199"/>
  <c r="K40" i="199"/>
  <c r="L40" i="199" s="1"/>
  <c r="F40" i="199"/>
  <c r="S39" i="199"/>
  <c r="K39" i="199"/>
  <c r="L39" i="199" s="1"/>
  <c r="F39" i="199"/>
  <c r="S38" i="199"/>
  <c r="K38" i="199"/>
  <c r="L38" i="199" s="1"/>
  <c r="F38" i="199"/>
  <c r="S37" i="199"/>
  <c r="K37" i="199"/>
  <c r="L37" i="199" s="1"/>
  <c r="F37" i="199"/>
  <c r="S36" i="199"/>
  <c r="K36" i="199"/>
  <c r="L36" i="199" s="1"/>
  <c r="P36" i="199" s="1"/>
  <c r="D36" i="199"/>
  <c r="F36" i="199" s="1"/>
  <c r="S35" i="199"/>
  <c r="K35" i="199"/>
  <c r="L35" i="199" s="1"/>
  <c r="F35" i="199"/>
  <c r="S34" i="199"/>
  <c r="K34" i="199"/>
  <c r="L34" i="199" s="1"/>
  <c r="D34" i="199"/>
  <c r="F34" i="199" s="1"/>
  <c r="S33" i="199"/>
  <c r="K33" i="199"/>
  <c r="L33" i="199" s="1"/>
  <c r="P33" i="199" s="1"/>
  <c r="F33" i="199"/>
  <c r="S32" i="199"/>
  <c r="K32" i="199"/>
  <c r="L32" i="199" s="1"/>
  <c r="P32" i="199" s="1"/>
  <c r="D32" i="199"/>
  <c r="F32" i="199" s="1"/>
  <c r="S31" i="199"/>
  <c r="K31" i="199"/>
  <c r="L31" i="199" s="1"/>
  <c r="F31" i="199"/>
  <c r="S30" i="199"/>
  <c r="K30" i="199"/>
  <c r="L30" i="199" s="1"/>
  <c r="F30" i="199"/>
  <c r="S29" i="199"/>
  <c r="K29" i="199"/>
  <c r="L29" i="199" s="1"/>
  <c r="P29" i="199" s="1"/>
  <c r="F29" i="199"/>
  <c r="S28" i="199"/>
  <c r="K28" i="199"/>
  <c r="L28" i="199" s="1"/>
  <c r="P28" i="199" s="1"/>
  <c r="M28" i="199" s="1"/>
  <c r="F28" i="199"/>
  <c r="S27" i="199"/>
  <c r="K27" i="199"/>
  <c r="L27" i="199" s="1"/>
  <c r="P27" i="199" s="1"/>
  <c r="F27" i="199"/>
  <c r="S26" i="199"/>
  <c r="K26" i="199"/>
  <c r="L26" i="199" s="1"/>
  <c r="P26" i="199" s="1"/>
  <c r="D26" i="199"/>
  <c r="F26" i="199" s="1"/>
  <c r="S25" i="199"/>
  <c r="K25" i="199"/>
  <c r="L25" i="199" s="1"/>
  <c r="F25" i="199"/>
  <c r="S24" i="199"/>
  <c r="K24" i="199"/>
  <c r="L24" i="199" s="1"/>
  <c r="P24" i="199" s="1"/>
  <c r="M24" i="199" s="1"/>
  <c r="F24" i="199"/>
  <c r="S23" i="199"/>
  <c r="K23" i="199"/>
  <c r="L23" i="199" s="1"/>
  <c r="P23" i="199" s="1"/>
  <c r="F23" i="199"/>
  <c r="S22" i="199"/>
  <c r="K22" i="199"/>
  <c r="L22" i="199" s="1"/>
  <c r="P22" i="199" s="1"/>
  <c r="F22" i="199"/>
  <c r="S21" i="199"/>
  <c r="K21" i="199"/>
  <c r="L21" i="199" s="1"/>
  <c r="P21" i="199" s="1"/>
  <c r="F21" i="199"/>
  <c r="S20" i="199"/>
  <c r="K20" i="199"/>
  <c r="L20" i="199" s="1"/>
  <c r="P20" i="199" s="1"/>
  <c r="D20" i="199"/>
  <c r="F20" i="199" s="1"/>
  <c r="S19" i="199"/>
  <c r="K19" i="199"/>
  <c r="L19" i="199" s="1"/>
  <c r="P19" i="199" s="1"/>
  <c r="F19" i="199"/>
  <c r="S18" i="199"/>
  <c r="K18" i="199"/>
  <c r="L18" i="199" s="1"/>
  <c r="P18" i="199" s="1"/>
  <c r="D18" i="199"/>
  <c r="S17" i="199"/>
  <c r="K17" i="199"/>
  <c r="L17" i="199" s="1"/>
  <c r="F17" i="199"/>
  <c r="V16" i="199"/>
  <c r="S16" i="199"/>
  <c r="K16" i="199"/>
  <c r="L16" i="199" s="1"/>
  <c r="D16" i="199"/>
  <c r="F16" i="199" s="1"/>
  <c r="S15" i="199"/>
  <c r="K15" i="199"/>
  <c r="L15" i="199" s="1"/>
  <c r="P15" i="199" s="1"/>
  <c r="F15" i="199"/>
  <c r="S14" i="199"/>
  <c r="K14" i="199"/>
  <c r="L14" i="199" s="1"/>
  <c r="P14" i="199" s="1"/>
  <c r="F14" i="199"/>
  <c r="S13" i="199"/>
  <c r="K13" i="199"/>
  <c r="L13" i="199" s="1"/>
  <c r="P13" i="199" s="1"/>
  <c r="F13" i="199"/>
  <c r="S12" i="199"/>
  <c r="K12" i="199"/>
  <c r="L12" i="199" s="1"/>
  <c r="P12" i="199" s="1"/>
  <c r="D12" i="199"/>
  <c r="S11" i="199"/>
  <c r="K11" i="199"/>
  <c r="L11" i="199" s="1"/>
  <c r="P11" i="199" s="1"/>
  <c r="D11" i="199"/>
  <c r="F11" i="199" s="1"/>
  <c r="S10" i="199"/>
  <c r="K10" i="199"/>
  <c r="L10" i="199" s="1"/>
  <c r="F10" i="199"/>
  <c r="S9" i="199"/>
  <c r="K9" i="199"/>
  <c r="L9" i="199" s="1"/>
  <c r="F9" i="199"/>
  <c r="S8" i="199"/>
  <c r="K8" i="199"/>
  <c r="L8" i="199" s="1"/>
  <c r="P8" i="199" s="1"/>
  <c r="D8" i="199"/>
  <c r="A8" i="199"/>
  <c r="A9" i="199" s="1"/>
  <c r="A10" i="199" s="1"/>
  <c r="A11" i="199" s="1"/>
  <c r="A12" i="199" s="1"/>
  <c r="A13" i="199" s="1"/>
  <c r="A14" i="199" s="1"/>
  <c r="A15" i="199" s="1"/>
  <c r="A16" i="199" s="1"/>
  <c r="A17" i="199" s="1"/>
  <c r="A18" i="199" s="1"/>
  <c r="A19" i="199" s="1"/>
  <c r="A20" i="199" s="1"/>
  <c r="A21" i="199" s="1"/>
  <c r="A22" i="199" s="1"/>
  <c r="A23" i="199" s="1"/>
  <c r="A24" i="199" s="1"/>
  <c r="A25" i="199" s="1"/>
  <c r="A26" i="199" s="1"/>
  <c r="A27" i="199" s="1"/>
  <c r="A28" i="199" s="1"/>
  <c r="A29" i="199" s="1"/>
  <c r="A30" i="199" s="1"/>
  <c r="A31" i="199" s="1"/>
  <c r="A32" i="199" s="1"/>
  <c r="A33" i="199" s="1"/>
  <c r="A34" i="199" s="1"/>
  <c r="A35" i="199" s="1"/>
  <c r="A36" i="199" s="1"/>
  <c r="A37" i="199" s="1"/>
  <c r="A38" i="199" s="1"/>
  <c r="A39" i="199" s="1"/>
  <c r="A40" i="199" s="1"/>
  <c r="A41" i="199" s="1"/>
  <c r="A42" i="199" s="1"/>
  <c r="S7" i="199"/>
  <c r="K7" i="199"/>
  <c r="F7" i="199"/>
  <c r="F43" i="224" l="1"/>
  <c r="F48" i="224" s="1"/>
  <c r="F11" i="211"/>
  <c r="F32" i="211" s="1"/>
  <c r="F57" i="211" s="1"/>
  <c r="L6" i="200"/>
  <c r="L24" i="200" s="1"/>
  <c r="K24" i="200"/>
  <c r="F10" i="200"/>
  <c r="F24" i="200" s="1"/>
  <c r="D14" i="12" s="1"/>
  <c r="D24" i="200"/>
  <c r="S24" i="200"/>
  <c r="Q14" i="12" s="1"/>
  <c r="F8" i="199"/>
  <c r="D48" i="199"/>
  <c r="K48" i="199"/>
  <c r="S48" i="199"/>
  <c r="A19" i="200"/>
  <c r="A20" i="200" s="1"/>
  <c r="A21" i="200" s="1"/>
  <c r="A22" i="200" s="1"/>
  <c r="A23" i="200" s="1"/>
  <c r="A24" i="200" s="1"/>
  <c r="Y14" i="12" s="1"/>
  <c r="M44" i="199"/>
  <c r="O44" i="199" s="1"/>
  <c r="M33" i="199"/>
  <c r="T33" i="199" s="1"/>
  <c r="U33" i="199" s="1"/>
  <c r="O24" i="199"/>
  <c r="C13" i="12"/>
  <c r="E13" i="12"/>
  <c r="V13" i="12"/>
  <c r="F13" i="12"/>
  <c r="W13" i="12"/>
  <c r="G13" i="12"/>
  <c r="M18" i="199"/>
  <c r="T18" i="199" s="1"/>
  <c r="U18" i="199" s="1"/>
  <c r="O13" i="12"/>
  <c r="P13" i="12"/>
  <c r="G14" i="12"/>
  <c r="P13" i="200"/>
  <c r="M13" i="200" s="1"/>
  <c r="O13" i="200" s="1"/>
  <c r="P23" i="200"/>
  <c r="O14" i="12"/>
  <c r="P20" i="200"/>
  <c r="M20" i="200" s="1"/>
  <c r="O20" i="200" s="1"/>
  <c r="P14" i="12"/>
  <c r="E14" i="12"/>
  <c r="W14" i="12"/>
  <c r="X14" i="12"/>
  <c r="Q11" i="44" s="1"/>
  <c r="M8" i="199"/>
  <c r="O8" i="199" s="1"/>
  <c r="M21" i="199"/>
  <c r="O21" i="199" s="1"/>
  <c r="M26" i="199"/>
  <c r="T26" i="199" s="1"/>
  <c r="U26" i="199" s="1"/>
  <c r="M41" i="199"/>
  <c r="T41" i="199" s="1"/>
  <c r="U41" i="199" s="1"/>
  <c r="V41" i="199" s="1"/>
  <c r="M14" i="199"/>
  <c r="T14" i="199" s="1"/>
  <c r="U14" i="199" s="1"/>
  <c r="M29" i="199"/>
  <c r="O29" i="199" s="1"/>
  <c r="M23" i="199"/>
  <c r="M15" i="199"/>
  <c r="O15" i="199" s="1"/>
  <c r="M19" i="199"/>
  <c r="O19" i="199" s="1"/>
  <c r="A43" i="199"/>
  <c r="M36" i="199"/>
  <c r="O36" i="199" s="1"/>
  <c r="P6" i="200"/>
  <c r="P22" i="200"/>
  <c r="P17" i="200"/>
  <c r="P11" i="200"/>
  <c r="P7" i="200"/>
  <c r="P15" i="200"/>
  <c r="P18" i="200"/>
  <c r="M10" i="200"/>
  <c r="O10" i="200" s="1"/>
  <c r="O10" i="212" s="1"/>
  <c r="O24" i="212" s="1"/>
  <c r="M14" i="200"/>
  <c r="T14" i="200" s="1"/>
  <c r="U14" i="200" s="1"/>
  <c r="W14" i="200" s="1"/>
  <c r="P16" i="200"/>
  <c r="F14" i="12"/>
  <c r="P9" i="200"/>
  <c r="M12" i="200"/>
  <c r="O12" i="200" s="1"/>
  <c r="M19" i="200"/>
  <c r="T19" i="200" s="1"/>
  <c r="U19" i="200" s="1"/>
  <c r="W19" i="200" s="1"/>
  <c r="P21" i="200"/>
  <c r="P8" i="200"/>
  <c r="B14" i="12"/>
  <c r="J14" i="12"/>
  <c r="H13" i="12"/>
  <c r="M20" i="199"/>
  <c r="T20" i="199" s="1"/>
  <c r="U20" i="199" s="1"/>
  <c r="W20" i="199" s="1"/>
  <c r="M22" i="199"/>
  <c r="T22" i="199" s="1"/>
  <c r="U22" i="199" s="1"/>
  <c r="W22" i="199" s="1"/>
  <c r="P37" i="199"/>
  <c r="P46" i="199"/>
  <c r="O33" i="199"/>
  <c r="M42" i="199"/>
  <c r="T42" i="199" s="1"/>
  <c r="U42" i="199" s="1"/>
  <c r="V42" i="199" s="1"/>
  <c r="P35" i="199"/>
  <c r="P17" i="199"/>
  <c r="P40" i="199"/>
  <c r="P10" i="199"/>
  <c r="M12" i="199"/>
  <c r="T12" i="199" s="1"/>
  <c r="U12" i="199" s="1"/>
  <c r="M27" i="199"/>
  <c r="O27" i="199" s="1"/>
  <c r="P38" i="199"/>
  <c r="P47" i="199"/>
  <c r="M11" i="199"/>
  <c r="O11" i="199" s="1"/>
  <c r="P31" i="199"/>
  <c r="P16" i="199"/>
  <c r="O28" i="199"/>
  <c r="T28" i="199"/>
  <c r="U28" i="199" s="1"/>
  <c r="W28" i="199" s="1"/>
  <c r="P30" i="199"/>
  <c r="M32" i="199"/>
  <c r="O32" i="199" s="1"/>
  <c r="M43" i="199"/>
  <c r="O43" i="199" s="1"/>
  <c r="T23" i="199"/>
  <c r="U23" i="199" s="1"/>
  <c r="W23" i="199" s="1"/>
  <c r="O23" i="199"/>
  <c r="P25" i="199"/>
  <c r="P34" i="199"/>
  <c r="P45" i="199"/>
  <c r="P9" i="199"/>
  <c r="M13" i="199"/>
  <c r="T13" i="199" s="1"/>
  <c r="U13" i="199" s="1"/>
  <c r="V13" i="199" s="1"/>
  <c r="P39" i="199"/>
  <c r="L13" i="12"/>
  <c r="L7" i="199"/>
  <c r="L48" i="199" s="1"/>
  <c r="F12" i="199"/>
  <c r="B13" i="12"/>
  <c r="T15" i="199"/>
  <c r="U15" i="199" s="1"/>
  <c r="W15" i="199" s="1"/>
  <c r="T8" i="199"/>
  <c r="U8" i="199" s="1"/>
  <c r="V8" i="199" s="1"/>
  <c r="F18" i="199"/>
  <c r="V8" i="224" l="1"/>
  <c r="V13" i="211"/>
  <c r="O44" i="224"/>
  <c r="O29" i="211"/>
  <c r="O43" i="224"/>
  <c r="O11" i="211"/>
  <c r="O36" i="224"/>
  <c r="O44" i="211"/>
  <c r="O45" i="211" s="1"/>
  <c r="V33" i="199"/>
  <c r="U33" i="224"/>
  <c r="U55" i="211"/>
  <c r="O33" i="224"/>
  <c r="O55" i="211"/>
  <c r="O29" i="224"/>
  <c r="O9" i="211"/>
  <c r="W26" i="199"/>
  <c r="U26" i="224"/>
  <c r="U53" i="211"/>
  <c r="V18" i="199"/>
  <c r="U18" i="224"/>
  <c r="U20" i="211"/>
  <c r="V14" i="199"/>
  <c r="U14" i="224"/>
  <c r="U18" i="211"/>
  <c r="U12" i="224"/>
  <c r="U16" i="211"/>
  <c r="P24" i="200"/>
  <c r="F48" i="199"/>
  <c r="O14" i="200"/>
  <c r="T36" i="199"/>
  <c r="U36" i="199" s="1"/>
  <c r="O41" i="199"/>
  <c r="A44" i="199"/>
  <c r="A45" i="199" s="1"/>
  <c r="A46" i="199" s="1"/>
  <c r="A47" i="199" s="1"/>
  <c r="A48" i="199" s="1"/>
  <c r="Y13" i="12" s="1"/>
  <c r="O26" i="199"/>
  <c r="T44" i="199"/>
  <c r="U44" i="199" s="1"/>
  <c r="T24" i="199"/>
  <c r="U24" i="199" s="1"/>
  <c r="W24" i="199" s="1"/>
  <c r="O18" i="199"/>
  <c r="T21" i="199"/>
  <c r="U21" i="199" s="1"/>
  <c r="W21" i="199" s="1"/>
  <c r="O14" i="199"/>
  <c r="T29" i="199"/>
  <c r="U29" i="199" s="1"/>
  <c r="Q13" i="12"/>
  <c r="T43" i="199"/>
  <c r="U43" i="199" s="1"/>
  <c r="T20" i="200"/>
  <c r="U20" i="200" s="1"/>
  <c r="W20" i="200" s="1"/>
  <c r="T12" i="200"/>
  <c r="U12" i="200" s="1"/>
  <c r="W12" i="200" s="1"/>
  <c r="M23" i="200"/>
  <c r="T23" i="200" s="1"/>
  <c r="U23" i="200" s="1"/>
  <c r="V23" i="200" s="1"/>
  <c r="V24" i="200" s="1"/>
  <c r="T13" i="200"/>
  <c r="U13" i="200" s="1"/>
  <c r="W13" i="200" s="1"/>
  <c r="I13" i="12"/>
  <c r="O42" i="199"/>
  <c r="D13" i="12"/>
  <c r="T19" i="199"/>
  <c r="U19" i="199" s="1"/>
  <c r="W19" i="199" s="1"/>
  <c r="M18" i="200"/>
  <c r="O18" i="200" s="1"/>
  <c r="M17" i="200"/>
  <c r="O17" i="200" s="1"/>
  <c r="M21" i="200"/>
  <c r="O21" i="200" s="1"/>
  <c r="T10" i="200"/>
  <c r="U10" i="200" s="1"/>
  <c r="M16" i="200"/>
  <c r="O16" i="200" s="1"/>
  <c r="M15" i="200"/>
  <c r="O15" i="200" s="1"/>
  <c r="O19" i="200"/>
  <c r="M7" i="200"/>
  <c r="O7" i="200" s="1"/>
  <c r="M22" i="200"/>
  <c r="O22" i="200" s="1"/>
  <c r="M9" i="200"/>
  <c r="O9" i="200" s="1"/>
  <c r="M11" i="200"/>
  <c r="O11" i="200" s="1"/>
  <c r="M6" i="200"/>
  <c r="M8" i="200"/>
  <c r="O8" i="200" s="1"/>
  <c r="T11" i="199"/>
  <c r="U11" i="199" s="1"/>
  <c r="Z11" i="199" s="1"/>
  <c r="Z48" i="199" s="1"/>
  <c r="T32" i="199"/>
  <c r="U32" i="199" s="1"/>
  <c r="V32" i="199" s="1"/>
  <c r="O20" i="199"/>
  <c r="O22" i="199"/>
  <c r="O13" i="199"/>
  <c r="T27" i="199"/>
  <c r="U27" i="199" s="1"/>
  <c r="W27" i="199" s="1"/>
  <c r="M39" i="199"/>
  <c r="O39" i="199" s="1"/>
  <c r="M31" i="199"/>
  <c r="O31" i="199" s="1"/>
  <c r="M34" i="199"/>
  <c r="O34" i="199" s="1"/>
  <c r="M30" i="199"/>
  <c r="O30" i="199" s="1"/>
  <c r="M10" i="199"/>
  <c r="O10" i="199" s="1"/>
  <c r="M35" i="199"/>
  <c r="O35" i="199" s="1"/>
  <c r="M46" i="199"/>
  <c r="O46" i="199" s="1"/>
  <c r="O12" i="199"/>
  <c r="M40" i="199"/>
  <c r="O40" i="199" s="1"/>
  <c r="M9" i="199"/>
  <c r="O9" i="199" s="1"/>
  <c r="M25" i="199"/>
  <c r="O25" i="199" s="1"/>
  <c r="M47" i="199"/>
  <c r="O47" i="199" s="1"/>
  <c r="P7" i="199"/>
  <c r="P48" i="199" s="1"/>
  <c r="M37" i="199"/>
  <c r="O37" i="199" s="1"/>
  <c r="M16" i="199"/>
  <c r="O16" i="199" s="1"/>
  <c r="M45" i="199"/>
  <c r="O45" i="199" s="1"/>
  <c r="M38" i="199"/>
  <c r="O38" i="199" s="1"/>
  <c r="M17" i="199"/>
  <c r="O17" i="199" s="1"/>
  <c r="T17" i="199"/>
  <c r="U17" i="199" s="1"/>
  <c r="W17" i="199" s="1"/>
  <c r="W10" i="200" l="1"/>
  <c r="W10" i="212" s="1"/>
  <c r="W24" i="212" s="1"/>
  <c r="U10" i="212"/>
  <c r="U24" i="212" s="1"/>
  <c r="O46" i="224"/>
  <c r="O12" i="211"/>
  <c r="O45" i="224"/>
  <c r="O30" i="211"/>
  <c r="V44" i="199"/>
  <c r="U44" i="224"/>
  <c r="U29" i="211"/>
  <c r="U43" i="224"/>
  <c r="U11" i="211"/>
  <c r="W36" i="199"/>
  <c r="U36" i="224"/>
  <c r="U44" i="211"/>
  <c r="U45" i="211" s="1"/>
  <c r="O34" i="224"/>
  <c r="O41" i="211"/>
  <c r="O43" i="211" s="1"/>
  <c r="U56" i="211"/>
  <c r="V33" i="224"/>
  <c r="V55" i="211"/>
  <c r="V56" i="211" s="1"/>
  <c r="W29" i="199"/>
  <c r="U29" i="224"/>
  <c r="U9" i="211"/>
  <c r="O26" i="224"/>
  <c r="O53" i="211"/>
  <c r="O56" i="211" s="1"/>
  <c r="W26" i="224"/>
  <c r="W53" i="211"/>
  <c r="W56" i="211" s="1"/>
  <c r="O18" i="224"/>
  <c r="O20" i="211"/>
  <c r="V18" i="224"/>
  <c r="V20" i="211"/>
  <c r="O16" i="224"/>
  <c r="O46" i="211"/>
  <c r="O47" i="211" s="1"/>
  <c r="O14" i="224"/>
  <c r="O18" i="211"/>
  <c r="V14" i="224"/>
  <c r="V18" i="211"/>
  <c r="V12" i="224"/>
  <c r="V16" i="211"/>
  <c r="O12" i="224"/>
  <c r="O16" i="211"/>
  <c r="O32" i="211" s="1"/>
  <c r="W12" i="199"/>
  <c r="T6" i="200"/>
  <c r="M24" i="200"/>
  <c r="T11" i="200"/>
  <c r="U11" i="200" s="1"/>
  <c r="W11" i="200" s="1"/>
  <c r="T46" i="199"/>
  <c r="U46" i="199" s="1"/>
  <c r="T18" i="200"/>
  <c r="U18" i="200" s="1"/>
  <c r="W18" i="200" s="1"/>
  <c r="T9" i="200"/>
  <c r="U9" i="200" s="1"/>
  <c r="W9" i="200" s="1"/>
  <c r="T21" i="200"/>
  <c r="U21" i="200" s="1"/>
  <c r="W21" i="200" s="1"/>
  <c r="T15" i="200"/>
  <c r="U15" i="200" s="1"/>
  <c r="W15" i="200" s="1"/>
  <c r="L25" i="200"/>
  <c r="P25" i="200" s="1"/>
  <c r="I14" i="12"/>
  <c r="O23" i="200"/>
  <c r="L49" i="199"/>
  <c r="P49" i="199" s="1"/>
  <c r="X13" i="12"/>
  <c r="Q10" i="44" s="1"/>
  <c r="N10" i="44"/>
  <c r="U6" i="200"/>
  <c r="T7" i="200"/>
  <c r="U7" i="200" s="1"/>
  <c r="W7" i="200" s="1"/>
  <c r="T8" i="200"/>
  <c r="U8" i="200" s="1"/>
  <c r="W8" i="200" s="1"/>
  <c r="T22" i="200"/>
  <c r="U22" i="200" s="1"/>
  <c r="W22" i="200" s="1"/>
  <c r="T16" i="200"/>
  <c r="U16" i="200" s="1"/>
  <c r="W16" i="200" s="1"/>
  <c r="T17" i="200"/>
  <c r="U17" i="200" s="1"/>
  <c r="W17" i="200" s="1"/>
  <c r="N14" i="12"/>
  <c r="O6" i="200"/>
  <c r="T10" i="199"/>
  <c r="U10" i="199" s="1"/>
  <c r="W10" i="199" s="1"/>
  <c r="J13" i="12"/>
  <c r="T31" i="199"/>
  <c r="U31" i="199" s="1"/>
  <c r="W31" i="199" s="1"/>
  <c r="T25" i="199"/>
  <c r="U25" i="199" s="1"/>
  <c r="W25" i="199" s="1"/>
  <c r="T30" i="199"/>
  <c r="U30" i="199" s="1"/>
  <c r="V30" i="199" s="1"/>
  <c r="T37" i="199"/>
  <c r="U37" i="199" s="1"/>
  <c r="W37" i="199" s="1"/>
  <c r="T35" i="199"/>
  <c r="U35" i="199" s="1"/>
  <c r="W35" i="199" s="1"/>
  <c r="T16" i="199"/>
  <c r="U16" i="199" s="1"/>
  <c r="T40" i="199"/>
  <c r="U40" i="199" s="1"/>
  <c r="W40" i="199" s="1"/>
  <c r="T38" i="199"/>
  <c r="U38" i="199" s="1"/>
  <c r="V38" i="199" s="1"/>
  <c r="T47" i="199"/>
  <c r="U47" i="199" s="1"/>
  <c r="V47" i="199" s="1"/>
  <c r="T39" i="199"/>
  <c r="U39" i="199" s="1"/>
  <c r="W39" i="199" s="1"/>
  <c r="V43" i="199"/>
  <c r="T45" i="199"/>
  <c r="M48" i="199"/>
  <c r="T9" i="199"/>
  <c r="U9" i="199" s="1"/>
  <c r="W9" i="199" s="1"/>
  <c r="T34" i="199"/>
  <c r="U34" i="199" s="1"/>
  <c r="V47" i="224" l="1"/>
  <c r="V31" i="211"/>
  <c r="V46" i="199"/>
  <c r="U46" i="224"/>
  <c r="U12" i="211"/>
  <c r="V44" i="224"/>
  <c r="V29" i="211"/>
  <c r="V43" i="224"/>
  <c r="V11" i="211"/>
  <c r="W36" i="224"/>
  <c r="W44" i="211"/>
  <c r="W45" i="211" s="1"/>
  <c r="U34" i="224"/>
  <c r="U41" i="211"/>
  <c r="U43" i="211" s="1"/>
  <c r="W29" i="224"/>
  <c r="W9" i="211"/>
  <c r="W16" i="199"/>
  <c r="U16" i="224"/>
  <c r="U46" i="211"/>
  <c r="U47" i="211" s="1"/>
  <c r="W12" i="224"/>
  <c r="W16" i="211"/>
  <c r="W32" i="211" s="1"/>
  <c r="U24" i="200"/>
  <c r="F7" i="75" s="1"/>
  <c r="O24" i="200"/>
  <c r="M14" i="12" s="1"/>
  <c r="T24" i="200"/>
  <c r="K14" i="12"/>
  <c r="W6" i="200"/>
  <c r="T14" i="12"/>
  <c r="O7" i="199"/>
  <c r="N13" i="12"/>
  <c r="T7" i="199"/>
  <c r="U45" i="199"/>
  <c r="S14" i="12" l="1"/>
  <c r="V46" i="224"/>
  <c r="V12" i="211"/>
  <c r="U45" i="224"/>
  <c r="U30" i="211"/>
  <c r="U32" i="211" s="1"/>
  <c r="V34" i="224"/>
  <c r="V41" i="211"/>
  <c r="V43" i="211" s="1"/>
  <c r="W16" i="224"/>
  <c r="W46" i="211"/>
  <c r="W47" i="211" s="1"/>
  <c r="O7" i="224"/>
  <c r="O48" i="224" s="1"/>
  <c r="O33" i="211"/>
  <c r="O34" i="211" s="1"/>
  <c r="T48" i="199"/>
  <c r="T7" i="224"/>
  <c r="T48" i="224" s="1"/>
  <c r="T33" i="211"/>
  <c r="T34" i="211" s="1"/>
  <c r="W24" i="200"/>
  <c r="O48" i="199"/>
  <c r="M13" i="12" s="1"/>
  <c r="T25" i="200"/>
  <c r="U25" i="200"/>
  <c r="R14" i="12"/>
  <c r="T49" i="199"/>
  <c r="U49" i="199" s="1"/>
  <c r="K13" i="12"/>
  <c r="U7" i="199"/>
  <c r="V45" i="199"/>
  <c r="U14" i="12" l="1"/>
  <c r="E15" i="75"/>
  <c r="V45" i="224"/>
  <c r="V48" i="224" s="1"/>
  <c r="V30" i="211"/>
  <c r="V32" i="211" s="1"/>
  <c r="V57" i="211" s="1"/>
  <c r="U48" i="199"/>
  <c r="F7" i="73" s="1"/>
  <c r="U7" i="224"/>
  <c r="U48" i="224" s="1"/>
  <c r="U33" i="211"/>
  <c r="U34" i="211" s="1"/>
  <c r="M9" i="97"/>
  <c r="O57" i="211"/>
  <c r="R9" i="97"/>
  <c r="T57" i="211"/>
  <c r="V48" i="199"/>
  <c r="W7" i="199"/>
  <c r="R13" i="12"/>
  <c r="S13" i="12" l="1"/>
  <c r="T13" i="12"/>
  <c r="E15" i="73"/>
  <c r="S9" i="97"/>
  <c r="U57" i="211"/>
  <c r="W7" i="224"/>
  <c r="W48" i="224" s="1"/>
  <c r="W33" i="211"/>
  <c r="W34" i="211" s="1"/>
  <c r="W48" i="199"/>
  <c r="V12" i="12"/>
  <c r="S16" i="198"/>
  <c r="K16" i="198"/>
  <c r="L16" i="198" s="1"/>
  <c r="F16" i="198"/>
  <c r="S15" i="198"/>
  <c r="K15" i="198"/>
  <c r="F15" i="198"/>
  <c r="W12" i="12"/>
  <c r="O12" i="12"/>
  <c r="S14" i="198"/>
  <c r="K14" i="198"/>
  <c r="L14" i="198" s="1"/>
  <c r="F14" i="198"/>
  <c r="V13" i="198"/>
  <c r="S13" i="198"/>
  <c r="K13" i="198"/>
  <c r="L13" i="198" s="1"/>
  <c r="E13" i="198"/>
  <c r="C12" i="12" s="1"/>
  <c r="W12" i="198"/>
  <c r="W7" i="210" s="1"/>
  <c r="S12" i="198"/>
  <c r="K12" i="198"/>
  <c r="L12" i="198" s="1"/>
  <c r="F12" i="198"/>
  <c r="S11" i="198"/>
  <c r="K11" i="198"/>
  <c r="L11" i="198" s="1"/>
  <c r="F11" i="198"/>
  <c r="S10" i="198"/>
  <c r="K10" i="198"/>
  <c r="L10" i="198" s="1"/>
  <c r="F10" i="198"/>
  <c r="S9" i="198"/>
  <c r="K9" i="198"/>
  <c r="L9" i="198" s="1"/>
  <c r="P9" i="198" s="1"/>
  <c r="F9" i="198"/>
  <c r="S8" i="198"/>
  <c r="K8" i="198"/>
  <c r="L8" i="198" s="1"/>
  <c r="P8" i="198" s="1"/>
  <c r="D8" i="198"/>
  <c r="F8" i="198" s="1"/>
  <c r="S7" i="198"/>
  <c r="K7" i="198"/>
  <c r="D7" i="198"/>
  <c r="F7" i="198" s="1"/>
  <c r="S6" i="198"/>
  <c r="K6" i="198"/>
  <c r="L6" i="198" s="1"/>
  <c r="D6" i="198"/>
  <c r="T5" i="198"/>
  <c r="U5" i="198" s="1"/>
  <c r="U13" i="12" l="1"/>
  <c r="E16" i="73"/>
  <c r="U9" i="97"/>
  <c r="W57" i="211"/>
  <c r="F13" i="198"/>
  <c r="P12" i="12"/>
  <c r="Q12" i="12"/>
  <c r="B12" i="12"/>
  <c r="G12" i="12"/>
  <c r="E12" i="12"/>
  <c r="W13" i="198"/>
  <c r="W15" i="210" s="1"/>
  <c r="H12" i="12"/>
  <c r="L12" i="12"/>
  <c r="P12" i="198"/>
  <c r="M12" i="198" s="1"/>
  <c r="O12" i="198" s="1"/>
  <c r="P6" i="198"/>
  <c r="P10" i="198"/>
  <c r="M8" i="198"/>
  <c r="O8" i="198" s="1"/>
  <c r="M9" i="198"/>
  <c r="O9" i="198" s="1"/>
  <c r="F6" i="198"/>
  <c r="P13" i="198"/>
  <c r="P11" i="198"/>
  <c r="P14" i="198"/>
  <c r="P16" i="198"/>
  <c r="F12" i="12"/>
  <c r="L7" i="198"/>
  <c r="L15" i="198"/>
  <c r="F15" i="210" l="1"/>
  <c r="F16" i="210" s="1"/>
  <c r="F19" i="210" s="1"/>
  <c r="F17" i="198"/>
  <c r="D12" i="12" s="1"/>
  <c r="M11" i="198"/>
  <c r="O11" i="198" s="1"/>
  <c r="O14" i="210" s="1"/>
  <c r="T11" i="198"/>
  <c r="U11" i="198" s="1"/>
  <c r="M16" i="198"/>
  <c r="O16" i="198" s="1"/>
  <c r="T16" i="198"/>
  <c r="U16" i="198" s="1"/>
  <c r="M6" i="198"/>
  <c r="T6" i="198" s="1"/>
  <c r="M13" i="198"/>
  <c r="O13" i="198" s="1"/>
  <c r="O15" i="210" s="1"/>
  <c r="T8" i="198"/>
  <c r="U8" i="198" s="1"/>
  <c r="W8" i="198" s="1"/>
  <c r="J12" i="12"/>
  <c r="P15" i="198"/>
  <c r="M14" i="198"/>
  <c r="O14" i="198" s="1"/>
  <c r="P7" i="198"/>
  <c r="T9" i="198"/>
  <c r="U9" i="198" s="1"/>
  <c r="W9" i="198" s="1"/>
  <c r="M10" i="198"/>
  <c r="O10" i="198" s="1"/>
  <c r="W11" i="198" l="1"/>
  <c r="W14" i="210" s="1"/>
  <c r="U14" i="210"/>
  <c r="L18" i="198"/>
  <c r="P18" i="198" s="1"/>
  <c r="I12" i="12"/>
  <c r="T10" i="198"/>
  <c r="U10" i="198" s="1"/>
  <c r="W10" i="198" s="1"/>
  <c r="T13" i="198"/>
  <c r="M15" i="198"/>
  <c r="T15" i="198" s="1"/>
  <c r="N12" i="12"/>
  <c r="U6" i="198"/>
  <c r="Z16" i="198"/>
  <c r="T14" i="198"/>
  <c r="W14" i="198" s="1"/>
  <c r="W8" i="210" s="1"/>
  <c r="O6" i="198"/>
  <c r="M7" i="198"/>
  <c r="O7" i="198" s="1"/>
  <c r="O10" i="210" s="1"/>
  <c r="U17" i="210" l="1"/>
  <c r="U18" i="210" s="1"/>
  <c r="O17" i="210"/>
  <c r="O18" i="210" s="1"/>
  <c r="O17" i="198"/>
  <c r="L9" i="44"/>
  <c r="T7" i="198"/>
  <c r="U7" i="198" s="1"/>
  <c r="U15" i="198"/>
  <c r="U9" i="210" s="1"/>
  <c r="W16" i="198"/>
  <c r="W6" i="198"/>
  <c r="O15" i="198"/>
  <c r="O9" i="210" s="1"/>
  <c r="O16" i="210" s="1"/>
  <c r="O19" i="210" l="1"/>
  <c r="W7" i="198"/>
  <c r="W10" i="210" s="1"/>
  <c r="W16" i="210" s="1"/>
  <c r="U10" i="210"/>
  <c r="U16" i="210" s="1"/>
  <c r="U17" i="198"/>
  <c r="F5" i="74" s="1"/>
  <c r="U19" i="210"/>
  <c r="W17" i="210"/>
  <c r="W18" i="210" s="1"/>
  <c r="X12" i="12"/>
  <c r="Q9" i="44" s="1"/>
  <c r="V15" i="198"/>
  <c r="M12" i="12"/>
  <c r="V16" i="198"/>
  <c r="V9" i="210" l="1"/>
  <c r="V16" i="210" s="1"/>
  <c r="V19" i="210" s="1"/>
  <c r="V17" i="198"/>
  <c r="T12" i="12" s="1"/>
  <c r="S12" i="12"/>
  <c r="W17" i="198"/>
  <c r="W19" i="210"/>
  <c r="T18" i="198"/>
  <c r="K12" i="12"/>
  <c r="U18" i="198"/>
  <c r="R12" i="12"/>
  <c r="S27" i="197"/>
  <c r="N27" i="197"/>
  <c r="K27" i="197"/>
  <c r="L27" i="197" s="1"/>
  <c r="P27" i="197" s="1"/>
  <c r="F27" i="197"/>
  <c r="S26" i="197"/>
  <c r="N26" i="197"/>
  <c r="N26" i="209" s="1"/>
  <c r="K26" i="197"/>
  <c r="L26" i="197" s="1"/>
  <c r="P26" i="197" s="1"/>
  <c r="F26" i="197"/>
  <c r="F26" i="209" s="1"/>
  <c r="S25" i="197"/>
  <c r="K25" i="197"/>
  <c r="L25" i="197" s="1"/>
  <c r="F25" i="197"/>
  <c r="S24" i="197"/>
  <c r="K24" i="197"/>
  <c r="L24" i="197" s="1"/>
  <c r="P24" i="197" s="1"/>
  <c r="S23" i="197"/>
  <c r="K23" i="197"/>
  <c r="L23" i="197" s="1"/>
  <c r="P23" i="197" s="1"/>
  <c r="S22" i="197"/>
  <c r="K22" i="197"/>
  <c r="L22" i="197" s="1"/>
  <c r="P22" i="197" s="1"/>
  <c r="F22" i="197"/>
  <c r="N22" i="197" s="1"/>
  <c r="S21" i="197"/>
  <c r="K21" i="197"/>
  <c r="L21" i="197" s="1"/>
  <c r="P21" i="197" s="1"/>
  <c r="F21" i="197"/>
  <c r="S20" i="197"/>
  <c r="K20" i="197"/>
  <c r="L20" i="197" s="1"/>
  <c r="P20" i="197" s="1"/>
  <c r="F20" i="197"/>
  <c r="N20" i="197" s="1"/>
  <c r="S19" i="197"/>
  <c r="K19" i="197"/>
  <c r="L19" i="197" s="1"/>
  <c r="P19" i="197" s="1"/>
  <c r="D19" i="197"/>
  <c r="F19" i="197" s="1"/>
  <c r="S18" i="197"/>
  <c r="K18" i="197"/>
  <c r="L18" i="197" s="1"/>
  <c r="P18" i="197" s="1"/>
  <c r="E18" i="197"/>
  <c r="D18" i="197"/>
  <c r="F18" i="197" s="1"/>
  <c r="N18" i="197" s="1"/>
  <c r="S17" i="197"/>
  <c r="K17" i="197"/>
  <c r="L17" i="197" s="1"/>
  <c r="P17" i="197" s="1"/>
  <c r="F17" i="197"/>
  <c r="N17" i="197" s="1"/>
  <c r="S16" i="197"/>
  <c r="K16" i="197"/>
  <c r="L16" i="197" s="1"/>
  <c r="P16" i="197" s="1"/>
  <c r="F16" i="197"/>
  <c r="N16" i="197" s="1"/>
  <c r="S15" i="197"/>
  <c r="K15" i="197"/>
  <c r="L15" i="197" s="1"/>
  <c r="P15" i="197" s="1"/>
  <c r="F15" i="197"/>
  <c r="N15" i="197" s="1"/>
  <c r="S14" i="197"/>
  <c r="K14" i="197"/>
  <c r="L14" i="197" s="1"/>
  <c r="P14" i="197" s="1"/>
  <c r="F14" i="197"/>
  <c r="N14" i="197" s="1"/>
  <c r="S13" i="197"/>
  <c r="K13" i="197"/>
  <c r="L13" i="197" s="1"/>
  <c r="P13" i="197" s="1"/>
  <c r="F13" i="197"/>
  <c r="N13" i="197" s="1"/>
  <c r="S12" i="197"/>
  <c r="K12" i="197"/>
  <c r="L12" i="197" s="1"/>
  <c r="P12" i="197" s="1"/>
  <c r="S11" i="197"/>
  <c r="K11" i="197"/>
  <c r="L11" i="197" s="1"/>
  <c r="P11" i="197" s="1"/>
  <c r="F11" i="197"/>
  <c r="N11" i="197" s="1"/>
  <c r="S10" i="197"/>
  <c r="K10" i="197"/>
  <c r="L10" i="197" s="1"/>
  <c r="P10" i="197" s="1"/>
  <c r="S9" i="197"/>
  <c r="K9" i="197"/>
  <c r="L9" i="197" s="1"/>
  <c r="P9" i="197" s="1"/>
  <c r="E9" i="197"/>
  <c r="S8" i="197"/>
  <c r="K8" i="197"/>
  <c r="L8" i="197" s="1"/>
  <c r="P8" i="197" s="1"/>
  <c r="F8" i="197"/>
  <c r="N8" i="197" s="1"/>
  <c r="S7" i="197"/>
  <c r="K7" i="197"/>
  <c r="L7" i="197" s="1"/>
  <c r="P7" i="197" s="1"/>
  <c r="S6" i="197"/>
  <c r="K6" i="197"/>
  <c r="L6" i="197" s="1"/>
  <c r="F6" i="197"/>
  <c r="N6" i="197" s="1"/>
  <c r="A6" i="197"/>
  <c r="A7" i="197" s="1"/>
  <c r="A8" i="197" s="1"/>
  <c r="A9" i="197" s="1"/>
  <c r="A10" i="197" s="1"/>
  <c r="A11" i="197" s="1"/>
  <c r="A12" i="197" s="1"/>
  <c r="A13" i="197" s="1"/>
  <c r="A14" i="197" s="1"/>
  <c r="A15" i="197" s="1"/>
  <c r="A16" i="197" s="1"/>
  <c r="A17" i="197" s="1"/>
  <c r="A18" i="197" s="1"/>
  <c r="A19" i="197" s="1"/>
  <c r="A20" i="197" s="1"/>
  <c r="A21" i="197" s="1"/>
  <c r="A22" i="197" s="1"/>
  <c r="A23" i="197" s="1"/>
  <c r="F25" i="209" l="1"/>
  <c r="F28" i="209" s="1"/>
  <c r="F28" i="197"/>
  <c r="E12" i="74"/>
  <c r="U12" i="12"/>
  <c r="M24" i="197"/>
  <c r="M27" i="197"/>
  <c r="O27" i="197" s="1"/>
  <c r="M16" i="197"/>
  <c r="M21" i="197"/>
  <c r="E11" i="12"/>
  <c r="M7" i="197"/>
  <c r="W11" i="12"/>
  <c r="X11" i="12"/>
  <c r="Q8" i="44" s="1"/>
  <c r="M14" i="197"/>
  <c r="O14" i="197" s="1"/>
  <c r="M12" i="197"/>
  <c r="T12" i="197" s="1"/>
  <c r="M19" i="197"/>
  <c r="O19" i="197" s="1"/>
  <c r="C11" i="12"/>
  <c r="M23" i="197"/>
  <c r="T23" i="197" s="1"/>
  <c r="U23" i="197" s="1"/>
  <c r="O11" i="12"/>
  <c r="P11" i="12"/>
  <c r="A24" i="197"/>
  <c r="A25" i="197" s="1"/>
  <c r="A26" i="197" s="1"/>
  <c r="A27" i="197" s="1"/>
  <c r="V11" i="12"/>
  <c r="F11" i="12"/>
  <c r="G11" i="12"/>
  <c r="H11" i="12"/>
  <c r="O16" i="197"/>
  <c r="M10" i="197"/>
  <c r="T10" i="197" s="1"/>
  <c r="M26" i="197"/>
  <c r="T26" i="197" s="1"/>
  <c r="U26" i="197" s="1"/>
  <c r="U26" i="209" s="1"/>
  <c r="M8" i="197"/>
  <c r="O8" i="197" s="1"/>
  <c r="P25" i="197"/>
  <c r="M22" i="197"/>
  <c r="O22" i="197" s="1"/>
  <c r="T21" i="197"/>
  <c r="U21" i="197" s="1"/>
  <c r="W21" i="197" s="1"/>
  <c r="O21" i="197"/>
  <c r="O24" i="197"/>
  <c r="O24" i="209" s="1"/>
  <c r="P6" i="197"/>
  <c r="O7" i="197"/>
  <c r="M11" i="197"/>
  <c r="T11" i="197" s="1"/>
  <c r="U11" i="197" s="1"/>
  <c r="W11" i="197" s="1"/>
  <c r="M13" i="197"/>
  <c r="O13" i="197" s="1"/>
  <c r="M18" i="197"/>
  <c r="T18" i="197" s="1"/>
  <c r="U18" i="197" s="1"/>
  <c r="W18" i="197" s="1"/>
  <c r="M15" i="197"/>
  <c r="O15" i="197" s="1"/>
  <c r="M9" i="197"/>
  <c r="T9" i="197" s="1"/>
  <c r="M17" i="197"/>
  <c r="T17" i="197" s="1"/>
  <c r="U17" i="197" s="1"/>
  <c r="W17" i="197" s="1"/>
  <c r="M20" i="197"/>
  <c r="O20" i="197" s="1"/>
  <c r="T24" i="197"/>
  <c r="F23" i="197"/>
  <c r="F24" i="197"/>
  <c r="F7" i="197"/>
  <c r="F12" i="197"/>
  <c r="N12" i="197" s="1"/>
  <c r="T16" i="197"/>
  <c r="U16" i="197" s="1"/>
  <c r="W16" i="197" s="1"/>
  <c r="N25" i="197"/>
  <c r="T27" i="197"/>
  <c r="U27" i="197" s="1"/>
  <c r="T7" i="197"/>
  <c r="U7" i="197" s="1"/>
  <c r="W7" i="197" s="1"/>
  <c r="F9" i="197"/>
  <c r="N9" i="197" s="1"/>
  <c r="F10" i="197"/>
  <c r="N10" i="197" s="1"/>
  <c r="N25" i="209" l="1"/>
  <c r="N28" i="209" s="1"/>
  <c r="U29" i="209" s="1"/>
  <c r="N28" i="197"/>
  <c r="W23" i="197"/>
  <c r="U23" i="209"/>
  <c r="O11" i="197"/>
  <c r="Q11" i="12"/>
  <c r="O18" i="197"/>
  <c r="J11" i="12"/>
  <c r="T14" i="197"/>
  <c r="U14" i="197" s="1"/>
  <c r="W14" i="197" s="1"/>
  <c r="A28" i="197"/>
  <c r="Y11" i="12" s="1"/>
  <c r="T19" i="197"/>
  <c r="U19" i="197" s="1"/>
  <c r="W19" i="197" s="1"/>
  <c r="O26" i="197"/>
  <c r="O26" i="209" s="1"/>
  <c r="O23" i="197"/>
  <c r="O12" i="197"/>
  <c r="T8" i="197"/>
  <c r="U8" i="197" s="1"/>
  <c r="W8" i="197" s="1"/>
  <c r="O17" i="197"/>
  <c r="O9" i="197"/>
  <c r="O10" i="197"/>
  <c r="T13" i="197"/>
  <c r="U13" i="197" s="1"/>
  <c r="W13" i="197" s="1"/>
  <c r="T15" i="197"/>
  <c r="U15" i="197" s="1"/>
  <c r="W15" i="197" s="1"/>
  <c r="D11" i="12"/>
  <c r="W26" i="197"/>
  <c r="M25" i="197"/>
  <c r="M6" i="197"/>
  <c r="T6" i="197" s="1"/>
  <c r="U12" i="197"/>
  <c r="W12" i="197" s="1"/>
  <c r="W27" i="197"/>
  <c r="V27" i="197" s="1"/>
  <c r="U24" i="197"/>
  <c r="U24" i="209" s="1"/>
  <c r="U9" i="197"/>
  <c r="W9" i="197" s="1"/>
  <c r="T20" i="197"/>
  <c r="U20" i="197" s="1"/>
  <c r="W20" i="197" s="1"/>
  <c r="U10" i="197"/>
  <c r="W10" i="197" s="1"/>
  <c r="B11" i="12"/>
  <c r="T22" i="197"/>
  <c r="U22" i="197" s="1"/>
  <c r="W22" i="197" s="1"/>
  <c r="V26" i="197" l="1"/>
  <c r="V26" i="209" s="1"/>
  <c r="W26" i="209"/>
  <c r="O23" i="209"/>
  <c r="W23" i="209"/>
  <c r="L29" i="197"/>
  <c r="P29" i="197" s="1"/>
  <c r="I11" i="12"/>
  <c r="L11" i="12"/>
  <c r="U6" i="197"/>
  <c r="O25" i="197"/>
  <c r="O25" i="209" s="1"/>
  <c r="O6" i="197"/>
  <c r="W24" i="197"/>
  <c r="N11" i="12"/>
  <c r="T25" i="197"/>
  <c r="O28" i="197" l="1"/>
  <c r="M11" i="12" s="1"/>
  <c r="O28" i="209"/>
  <c r="V24" i="197"/>
  <c r="W24" i="209"/>
  <c r="U25" i="197"/>
  <c r="W6" i="197"/>
  <c r="U25" i="209" l="1"/>
  <c r="U28" i="209" s="1"/>
  <c r="U28" i="197"/>
  <c r="F5" i="72" s="1"/>
  <c r="V24" i="209"/>
  <c r="T29" i="197"/>
  <c r="K11" i="12"/>
  <c r="U29" i="197"/>
  <c r="R11" i="12"/>
  <c r="W25" i="197"/>
  <c r="S11" i="12" l="1"/>
  <c r="W25" i="209"/>
  <c r="W28" i="209" s="1"/>
  <c r="W28" i="197"/>
  <c r="E12" i="72" s="1"/>
  <c r="V25" i="197"/>
  <c r="V25" i="209" l="1"/>
  <c r="V28" i="209" s="1"/>
  <c r="V28" i="197"/>
  <c r="T11" i="12" s="1"/>
  <c r="U11" i="12"/>
  <c r="Z9" i="196"/>
  <c r="Q7" i="44" s="1"/>
  <c r="Y9" i="196"/>
  <c r="X9" i="196"/>
  <c r="V9" i="196"/>
  <c r="R9" i="196"/>
  <c r="Q9" i="196"/>
  <c r="N9" i="196"/>
  <c r="K9" i="196"/>
  <c r="J9" i="196"/>
  <c r="I9" i="196"/>
  <c r="H9" i="196"/>
  <c r="G9" i="196"/>
  <c r="E9" i="196"/>
  <c r="S8" i="196"/>
  <c r="L8" i="196"/>
  <c r="F8" i="196"/>
  <c r="S7" i="196"/>
  <c r="L7" i="196"/>
  <c r="P7" i="196" s="1"/>
  <c r="D7" i="196"/>
  <c r="F7" i="196" s="1"/>
  <c r="A7" i="196"/>
  <c r="A8" i="196" s="1"/>
  <c r="A9" i="196" s="1"/>
  <c r="Y10" i="12" s="1"/>
  <c r="S6" i="196"/>
  <c r="L6" i="196"/>
  <c r="D6" i="196"/>
  <c r="F6" i="196" s="1"/>
  <c r="L10" i="196" l="1"/>
  <c r="S9" i="196"/>
  <c r="M7" i="196"/>
  <c r="T7" i="196" s="1"/>
  <c r="U7" i="196" s="1"/>
  <c r="W7" i="196" s="1"/>
  <c r="F9" i="196"/>
  <c r="L9" i="196"/>
  <c r="O7" i="196"/>
  <c r="P8" i="196"/>
  <c r="P6" i="196"/>
  <c r="D9" i="196"/>
  <c r="P10" i="196" l="1"/>
  <c r="M6" i="196"/>
  <c r="P9" i="196"/>
  <c r="M8" i="196"/>
  <c r="O8" i="196" s="1"/>
  <c r="T8" i="196" l="1"/>
  <c r="U8" i="196" s="1"/>
  <c r="W8" i="196" s="1"/>
  <c r="M9" i="196"/>
  <c r="O6" i="196"/>
  <c r="O9" i="196" s="1"/>
  <c r="T6" i="196"/>
  <c r="T9" i="196" l="1"/>
  <c r="U6" i="196"/>
  <c r="U10" i="196" l="1"/>
  <c r="M10" i="196"/>
  <c r="U9" i="196"/>
  <c r="W6" i="196"/>
  <c r="W9" i="196" s="1"/>
  <c r="S64" i="195" l="1"/>
  <c r="K64" i="195"/>
  <c r="F64" i="195"/>
  <c r="S63" i="195"/>
  <c r="K63" i="195"/>
  <c r="D63" i="195"/>
  <c r="S62" i="195"/>
  <c r="K62" i="195"/>
  <c r="F62" i="195"/>
  <c r="S61" i="195"/>
  <c r="K61" i="195"/>
  <c r="F61" i="195"/>
  <c r="S60" i="195"/>
  <c r="K60" i="195"/>
  <c r="F60" i="195"/>
  <c r="X9" i="12"/>
  <c r="Q6" i="44" s="1"/>
  <c r="G9" i="12"/>
  <c r="V59" i="195"/>
  <c r="S59" i="195"/>
  <c r="K59" i="195"/>
  <c r="F59" i="195"/>
  <c r="V58" i="195"/>
  <c r="S58" i="195"/>
  <c r="K58" i="195"/>
  <c r="F58" i="195"/>
  <c r="V57" i="195"/>
  <c r="S57" i="195"/>
  <c r="K57" i="195"/>
  <c r="F57" i="195"/>
  <c r="V56" i="195"/>
  <c r="S56" i="195"/>
  <c r="K56" i="195"/>
  <c r="F56" i="195"/>
  <c r="V55" i="195"/>
  <c r="S55" i="195"/>
  <c r="K55" i="195"/>
  <c r="F55" i="195"/>
  <c r="S54" i="195"/>
  <c r="K54" i="195"/>
  <c r="F54" i="195"/>
  <c r="S53" i="195"/>
  <c r="K53" i="195"/>
  <c r="F53" i="195"/>
  <c r="V52" i="195"/>
  <c r="S52" i="195"/>
  <c r="K52" i="195"/>
  <c r="F52" i="195"/>
  <c r="S51" i="195"/>
  <c r="K51" i="195"/>
  <c r="F51" i="195"/>
  <c r="S50" i="195"/>
  <c r="K50" i="195"/>
  <c r="F50" i="195"/>
  <c r="S49" i="195"/>
  <c r="K49" i="195"/>
  <c r="F49" i="195"/>
  <c r="S48" i="195"/>
  <c r="K48" i="195"/>
  <c r="F48" i="195"/>
  <c r="S47" i="195"/>
  <c r="K47" i="195"/>
  <c r="F47" i="195"/>
  <c r="S46" i="195"/>
  <c r="K46" i="195"/>
  <c r="F46" i="195"/>
  <c r="S45" i="195"/>
  <c r="K45" i="195"/>
  <c r="F45" i="195"/>
  <c r="S44" i="195"/>
  <c r="K44" i="195"/>
  <c r="F44" i="195"/>
  <c r="S43" i="195"/>
  <c r="K43" i="195"/>
  <c r="F43" i="195"/>
  <c r="S42" i="195"/>
  <c r="K42" i="195"/>
  <c r="D42" i="195"/>
  <c r="S41" i="195"/>
  <c r="K41" i="195"/>
  <c r="F41" i="195"/>
  <c r="S40" i="195"/>
  <c r="K40" i="195"/>
  <c r="F40" i="195"/>
  <c r="S39" i="195"/>
  <c r="K39" i="195"/>
  <c r="D39" i="195"/>
  <c r="S38" i="195"/>
  <c r="K38" i="195"/>
  <c r="D38" i="195"/>
  <c r="S37" i="195"/>
  <c r="K37" i="195"/>
  <c r="F37" i="195"/>
  <c r="S36" i="195"/>
  <c r="K36" i="195"/>
  <c r="F36" i="195"/>
  <c r="S35" i="195"/>
  <c r="K35" i="195"/>
  <c r="F35" i="195"/>
  <c r="S34" i="195"/>
  <c r="K34" i="195"/>
  <c r="F34" i="195"/>
  <c r="S33" i="195"/>
  <c r="K33" i="195"/>
  <c r="F33" i="195"/>
  <c r="S32" i="195"/>
  <c r="K32" i="195"/>
  <c r="F32" i="195"/>
  <c r="S31" i="195"/>
  <c r="K31" i="195"/>
  <c r="F31" i="195"/>
  <c r="S30" i="195"/>
  <c r="K30" i="195"/>
  <c r="F30" i="195"/>
  <c r="S29" i="195"/>
  <c r="K29" i="195"/>
  <c r="F29" i="195"/>
  <c r="S28" i="195"/>
  <c r="K28" i="195"/>
  <c r="F28" i="195"/>
  <c r="K27" i="195"/>
  <c r="F27" i="195"/>
  <c r="K26" i="195"/>
  <c r="F26" i="195"/>
  <c r="K25" i="195"/>
  <c r="F25" i="195"/>
  <c r="K24" i="195"/>
  <c r="F24" i="195"/>
  <c r="S23" i="195"/>
  <c r="K23" i="195"/>
  <c r="D23" i="195"/>
  <c r="S21" i="195"/>
  <c r="K21" i="195"/>
  <c r="F21" i="195"/>
  <c r="S20" i="195"/>
  <c r="K20" i="195"/>
  <c r="F20" i="195"/>
  <c r="S19" i="195"/>
  <c r="K19" i="195"/>
  <c r="F19" i="195"/>
  <c r="S18" i="195"/>
  <c r="K18" i="195"/>
  <c r="F18" i="195"/>
  <c r="S17" i="195"/>
  <c r="K17" i="195"/>
  <c r="F17" i="195"/>
  <c r="S16" i="195"/>
  <c r="K16" i="195"/>
  <c r="F16" i="195"/>
  <c r="S15" i="195"/>
  <c r="K15" i="195"/>
  <c r="D15" i="195"/>
  <c r="S14" i="195"/>
  <c r="K14" i="195"/>
  <c r="D14" i="195"/>
  <c r="S13" i="195"/>
  <c r="K13" i="195"/>
  <c r="F13" i="195"/>
  <c r="S12" i="195"/>
  <c r="K12" i="195"/>
  <c r="F12" i="195"/>
  <c r="S11" i="195"/>
  <c r="K11" i="195"/>
  <c r="F11" i="195"/>
  <c r="S10" i="195"/>
  <c r="K10" i="195"/>
  <c r="D10" i="195"/>
  <c r="S9" i="195"/>
  <c r="K9" i="195"/>
  <c r="D9" i="195"/>
  <c r="S8" i="195"/>
  <c r="K8" i="195"/>
  <c r="D8" i="195"/>
  <c r="S7" i="195"/>
  <c r="K7" i="195"/>
  <c r="D7" i="195"/>
  <c r="A7" i="195"/>
  <c r="A8" i="195" s="1"/>
  <c r="A9" i="195" s="1"/>
  <c r="A10" i="195" s="1"/>
  <c r="A11" i="195" s="1"/>
  <c r="A12" i="195" s="1"/>
  <c r="A13" i="195" s="1"/>
  <c r="A14" i="195" s="1"/>
  <c r="A15" i="195" s="1"/>
  <c r="A16" i="195" s="1"/>
  <c r="A17" i="195" s="1"/>
  <c r="A18" i="195" s="1"/>
  <c r="S6" i="195"/>
  <c r="K6" i="195"/>
  <c r="F6" i="195"/>
  <c r="L27" i="195" l="1"/>
  <c r="K27" i="223"/>
  <c r="K30" i="207"/>
  <c r="L30" i="195"/>
  <c r="K30" i="223"/>
  <c r="K18" i="207"/>
  <c r="F33" i="223"/>
  <c r="F10" i="207"/>
  <c r="S35" i="223"/>
  <c r="S62" i="207"/>
  <c r="L38" i="195"/>
  <c r="K38" i="223"/>
  <c r="K57" i="207"/>
  <c r="K58" i="207" s="1"/>
  <c r="I16" i="97" s="1"/>
  <c r="F41" i="223"/>
  <c r="F37" i="207"/>
  <c r="S43" i="223"/>
  <c r="S63" i="207"/>
  <c r="L46" i="195"/>
  <c r="K46" i="223"/>
  <c r="K40" i="207"/>
  <c r="N49" i="195"/>
  <c r="F49" i="223"/>
  <c r="F42" i="207"/>
  <c r="S51" i="223"/>
  <c r="S6" i="207"/>
  <c r="S7" i="207" s="1"/>
  <c r="Q6" i="97" s="1"/>
  <c r="F54" i="223"/>
  <c r="F55" i="207"/>
  <c r="F56" i="207" s="1"/>
  <c r="D13" i="97" s="1"/>
  <c r="L56" i="195"/>
  <c r="K56" i="223"/>
  <c r="K43" i="207"/>
  <c r="L58" i="195"/>
  <c r="K58" i="223"/>
  <c r="K52" i="207"/>
  <c r="L62" i="195"/>
  <c r="K62" i="223"/>
  <c r="K9" i="207"/>
  <c r="F20" i="223"/>
  <c r="F20" i="207"/>
  <c r="D65" i="195"/>
  <c r="D7" i="223"/>
  <c r="D22" i="207"/>
  <c r="L20" i="195"/>
  <c r="K20" i="223"/>
  <c r="K20" i="207"/>
  <c r="F36" i="223"/>
  <c r="F66" i="207"/>
  <c r="F44" i="223"/>
  <c r="F39" i="207"/>
  <c r="S46" i="223"/>
  <c r="S40" i="207"/>
  <c r="L49" i="195"/>
  <c r="K49" i="223"/>
  <c r="K42" i="207"/>
  <c r="F52" i="223"/>
  <c r="F74" i="207"/>
  <c r="L54" i="195"/>
  <c r="K54" i="223"/>
  <c r="K55" i="207"/>
  <c r="K56" i="207" s="1"/>
  <c r="I13" i="97" s="1"/>
  <c r="S56" i="223"/>
  <c r="S43" i="207"/>
  <c r="S58" i="223"/>
  <c r="S52" i="207"/>
  <c r="F60" i="223"/>
  <c r="F68" i="207"/>
  <c r="S62" i="223"/>
  <c r="S9" i="207"/>
  <c r="L17" i="195"/>
  <c r="K17" i="223"/>
  <c r="K26" i="207"/>
  <c r="S17" i="223"/>
  <c r="S26" i="207"/>
  <c r="L33" i="195"/>
  <c r="K33" i="223"/>
  <c r="K10" i="207"/>
  <c r="K7" i="223"/>
  <c r="K22" i="207"/>
  <c r="F10" i="195"/>
  <c r="D10" i="223"/>
  <c r="D71" i="207"/>
  <c r="L15" i="195"/>
  <c r="K15" i="223"/>
  <c r="K19" i="207"/>
  <c r="S20" i="223"/>
  <c r="S20" i="207"/>
  <c r="L24" i="195"/>
  <c r="K24" i="223"/>
  <c r="K17" i="207"/>
  <c r="L28" i="195"/>
  <c r="K28" i="223"/>
  <c r="K31" i="207"/>
  <c r="F31" i="223"/>
  <c r="F61" i="207"/>
  <c r="S33" i="223"/>
  <c r="S10" i="207"/>
  <c r="L36" i="195"/>
  <c r="K36" i="223"/>
  <c r="K66" i="207"/>
  <c r="F39" i="195"/>
  <c r="D39" i="223"/>
  <c r="D35" i="207"/>
  <c r="S41" i="223"/>
  <c r="S37" i="207"/>
  <c r="L44" i="195"/>
  <c r="K44" i="223"/>
  <c r="K39" i="207"/>
  <c r="F47" i="223"/>
  <c r="F41" i="207"/>
  <c r="S49" i="223"/>
  <c r="S42" i="207"/>
  <c r="L52" i="195"/>
  <c r="K52" i="223"/>
  <c r="K74" i="207"/>
  <c r="S54" i="223"/>
  <c r="S55" i="207"/>
  <c r="S56" i="207" s="1"/>
  <c r="Q13" i="97" s="1"/>
  <c r="V56" i="223"/>
  <c r="V43" i="207"/>
  <c r="V58" i="223"/>
  <c r="V52" i="207"/>
  <c r="V54" i="207" s="1"/>
  <c r="L60" i="195"/>
  <c r="K60" i="223"/>
  <c r="K68" i="207"/>
  <c r="F63" i="195"/>
  <c r="D63" i="223"/>
  <c r="D45" i="207"/>
  <c r="L12" i="195"/>
  <c r="K12" i="223"/>
  <c r="K25" i="207"/>
  <c r="L41" i="195"/>
  <c r="K41" i="223"/>
  <c r="K37" i="207"/>
  <c r="S12" i="223"/>
  <c r="S25" i="207"/>
  <c r="F18" i="223"/>
  <c r="F27" i="207"/>
  <c r="S7" i="223"/>
  <c r="S22" i="207"/>
  <c r="L10" i="195"/>
  <c r="K10" i="223"/>
  <c r="K71" i="207"/>
  <c r="F13" i="223"/>
  <c r="F47" i="207"/>
  <c r="S15" i="223"/>
  <c r="S19" i="207"/>
  <c r="L18" i="195"/>
  <c r="K18" i="223"/>
  <c r="K27" i="207"/>
  <c r="F21" i="223"/>
  <c r="F60" i="207"/>
  <c r="F25" i="223"/>
  <c r="F29" i="207"/>
  <c r="S28" i="223"/>
  <c r="S31" i="207"/>
  <c r="L31" i="195"/>
  <c r="K31" i="223"/>
  <c r="K61" i="207"/>
  <c r="F34" i="223"/>
  <c r="F33" i="207"/>
  <c r="S36" i="223"/>
  <c r="S66" i="207"/>
  <c r="L39" i="195"/>
  <c r="K39" i="223"/>
  <c r="K35" i="207"/>
  <c r="F42" i="195"/>
  <c r="D42" i="223"/>
  <c r="D38" i="207"/>
  <c r="S44" i="223"/>
  <c r="S39" i="207"/>
  <c r="L47" i="195"/>
  <c r="K47" i="223"/>
  <c r="K41" i="207"/>
  <c r="F50" i="223"/>
  <c r="F73" i="207"/>
  <c r="S52" i="223"/>
  <c r="S74" i="207"/>
  <c r="F55" i="223"/>
  <c r="F67" i="207"/>
  <c r="F57" i="223"/>
  <c r="F75" i="207"/>
  <c r="F59" i="223"/>
  <c r="F44" i="207"/>
  <c r="S60" i="223"/>
  <c r="S68" i="207"/>
  <c r="L63" i="195"/>
  <c r="K63" i="223"/>
  <c r="K45" i="207"/>
  <c r="S14" i="223"/>
  <c r="S14" i="207"/>
  <c r="F24" i="223"/>
  <c r="F17" i="207"/>
  <c r="F16" i="223"/>
  <c r="F65" i="207"/>
  <c r="F69" i="207" s="1"/>
  <c r="D15" i="97" s="1"/>
  <c r="S18" i="223"/>
  <c r="S27" i="207"/>
  <c r="L21" i="195"/>
  <c r="K21" i="223"/>
  <c r="K60" i="207"/>
  <c r="L25" i="195"/>
  <c r="K25" i="223"/>
  <c r="K29" i="207"/>
  <c r="F29" i="223"/>
  <c r="F32" i="207"/>
  <c r="S31" i="223"/>
  <c r="S61" i="207"/>
  <c r="L34" i="195"/>
  <c r="K34" i="223"/>
  <c r="K33" i="207"/>
  <c r="F37" i="223"/>
  <c r="F34" i="207"/>
  <c r="S39" i="223"/>
  <c r="S35" i="207"/>
  <c r="L42" i="195"/>
  <c r="K42" i="223"/>
  <c r="K38" i="207"/>
  <c r="F45" i="223"/>
  <c r="F72" i="207"/>
  <c r="S47" i="223"/>
  <c r="S41" i="207"/>
  <c r="L50" i="195"/>
  <c r="K50" i="223"/>
  <c r="K73" i="207"/>
  <c r="V52" i="223"/>
  <c r="V74" i="207"/>
  <c r="L55" i="195"/>
  <c r="K55" i="223"/>
  <c r="K67" i="207"/>
  <c r="L57" i="195"/>
  <c r="K57" i="223"/>
  <c r="K75" i="207"/>
  <c r="L59" i="195"/>
  <c r="K59" i="223"/>
  <c r="K44" i="207"/>
  <c r="F61" i="223"/>
  <c r="F21" i="207"/>
  <c r="S63" i="223"/>
  <c r="S45" i="207"/>
  <c r="S23" i="223"/>
  <c r="S16" i="207"/>
  <c r="S9" i="223"/>
  <c r="S70" i="207"/>
  <c r="F28" i="223"/>
  <c r="F31" i="207"/>
  <c r="S10" i="223"/>
  <c r="S71" i="207"/>
  <c r="L8" i="195"/>
  <c r="K8" i="223"/>
  <c r="K59" i="207"/>
  <c r="L16" i="195"/>
  <c r="K16" i="223"/>
  <c r="K65" i="207"/>
  <c r="K69" i="207" s="1"/>
  <c r="I15" i="97" s="1"/>
  <c r="F26" i="223"/>
  <c r="F49" i="207"/>
  <c r="L29" i="195"/>
  <c r="K29" i="223"/>
  <c r="K32" i="207"/>
  <c r="F32" i="223"/>
  <c r="F50" i="207"/>
  <c r="S34" i="223"/>
  <c r="S33" i="207"/>
  <c r="L37" i="195"/>
  <c r="K37" i="223"/>
  <c r="K34" i="207"/>
  <c r="F40" i="223"/>
  <c r="F36" i="207"/>
  <c r="S42" i="223"/>
  <c r="S38" i="207"/>
  <c r="L45" i="195"/>
  <c r="K45" i="223"/>
  <c r="K72" i="207"/>
  <c r="F48" i="223"/>
  <c r="F51" i="207"/>
  <c r="S50" i="223"/>
  <c r="S73" i="207"/>
  <c r="F53" i="223"/>
  <c r="F8" i="207"/>
  <c r="S55" i="223"/>
  <c r="S67" i="207"/>
  <c r="S57" i="223"/>
  <c r="S75" i="207"/>
  <c r="S59" i="223"/>
  <c r="S44" i="207"/>
  <c r="L61" i="195"/>
  <c r="K61" i="223"/>
  <c r="K21" i="207"/>
  <c r="F64" i="223"/>
  <c r="F46" i="207"/>
  <c r="F12" i="223"/>
  <c r="F25" i="207"/>
  <c r="F15" i="195"/>
  <c r="D15" i="223"/>
  <c r="D19" i="207"/>
  <c r="S38" i="223"/>
  <c r="S57" i="207"/>
  <c r="S58" i="207" s="1"/>
  <c r="Q16" i="97" s="1"/>
  <c r="F8" i="195"/>
  <c r="D8" i="223"/>
  <c r="D59" i="207"/>
  <c r="B14" i="97" s="1"/>
  <c r="F6" i="223"/>
  <c r="F12" i="207"/>
  <c r="F13" i="207" s="1"/>
  <c r="S13" i="223"/>
  <c r="S47" i="207"/>
  <c r="S21" i="223"/>
  <c r="S60" i="207"/>
  <c r="S8" i="223"/>
  <c r="S59" i="207"/>
  <c r="S64" i="207" s="1"/>
  <c r="Q14" i="97" s="1"/>
  <c r="L11" i="195"/>
  <c r="K11" i="223"/>
  <c r="K24" i="207"/>
  <c r="F14" i="195"/>
  <c r="D14" i="223"/>
  <c r="D14" i="207"/>
  <c r="S16" i="223"/>
  <c r="S65" i="207"/>
  <c r="S69" i="207" s="1"/>
  <c r="Q15" i="97" s="1"/>
  <c r="L19" i="195"/>
  <c r="K19" i="223"/>
  <c r="K28" i="207"/>
  <c r="F23" i="195"/>
  <c r="D23" i="223"/>
  <c r="D16" i="207"/>
  <c r="L26" i="195"/>
  <c r="K26" i="223"/>
  <c r="K49" i="207"/>
  <c r="S29" i="223"/>
  <c r="S32" i="207"/>
  <c r="L32" i="195"/>
  <c r="K32" i="223"/>
  <c r="K50" i="207"/>
  <c r="F35" i="223"/>
  <c r="F62" i="207"/>
  <c r="S37" i="223"/>
  <c r="S34" i="207"/>
  <c r="L40" i="195"/>
  <c r="K40" i="223"/>
  <c r="K36" i="207"/>
  <c r="F43" i="223"/>
  <c r="F63" i="207"/>
  <c r="S45" i="223"/>
  <c r="S72" i="207"/>
  <c r="L48" i="195"/>
  <c r="K48" i="223"/>
  <c r="K51" i="207"/>
  <c r="F51" i="223"/>
  <c r="F6" i="207"/>
  <c r="F7" i="207" s="1"/>
  <c r="D6" i="97" s="1"/>
  <c r="L53" i="195"/>
  <c r="K53" i="223"/>
  <c r="K8" i="207"/>
  <c r="K11" i="207" s="1"/>
  <c r="I10" i="97" s="1"/>
  <c r="V55" i="223"/>
  <c r="V67" i="207"/>
  <c r="V57" i="223"/>
  <c r="V75" i="207"/>
  <c r="V59" i="223"/>
  <c r="V44" i="207"/>
  <c r="S61" i="223"/>
  <c r="S21" i="207"/>
  <c r="L64" i="195"/>
  <c r="K64" i="223"/>
  <c r="K46" i="207"/>
  <c r="L9" i="195"/>
  <c r="K9" i="223"/>
  <c r="K70" i="207"/>
  <c r="K76" i="207" s="1"/>
  <c r="S30" i="223"/>
  <c r="S18" i="207"/>
  <c r="L13" i="195"/>
  <c r="K13" i="223"/>
  <c r="K47" i="207"/>
  <c r="F11" i="223"/>
  <c r="F24" i="207"/>
  <c r="F19" i="223"/>
  <c r="F28" i="207"/>
  <c r="K6" i="223"/>
  <c r="K12" i="207"/>
  <c r="K13" i="207" s="1"/>
  <c r="I7" i="97" s="1"/>
  <c r="S6" i="223"/>
  <c r="S12" i="207"/>
  <c r="S13" i="207" s="1"/>
  <c r="Q7" i="97" s="1"/>
  <c r="F9" i="195"/>
  <c r="D9" i="223"/>
  <c r="D70" i="207"/>
  <c r="S11" i="223"/>
  <c r="S24" i="207"/>
  <c r="L14" i="195"/>
  <c r="K14" i="223"/>
  <c r="K14" i="207"/>
  <c r="K23" i="207" s="1"/>
  <c r="I8" i="97" s="1"/>
  <c r="F17" i="223"/>
  <c r="F26" i="207"/>
  <c r="S19" i="223"/>
  <c r="S28" i="207"/>
  <c r="L23" i="195"/>
  <c r="K23" i="223"/>
  <c r="K16" i="207"/>
  <c r="F27" i="223"/>
  <c r="F30" i="207"/>
  <c r="F30" i="223"/>
  <c r="F18" i="207"/>
  <c r="S32" i="223"/>
  <c r="S50" i="207"/>
  <c r="L35" i="195"/>
  <c r="K35" i="223"/>
  <c r="K62" i="207"/>
  <c r="F38" i="195"/>
  <c r="D38" i="223"/>
  <c r="D57" i="207"/>
  <c r="B16" i="97" s="1"/>
  <c r="S40" i="223"/>
  <c r="S36" i="207"/>
  <c r="L43" i="195"/>
  <c r="K43" i="223"/>
  <c r="K63" i="207"/>
  <c r="F46" i="223"/>
  <c r="F40" i="207"/>
  <c r="S48" i="223"/>
  <c r="S51" i="207"/>
  <c r="L51" i="195"/>
  <c r="K51" i="223"/>
  <c r="K6" i="207"/>
  <c r="K7" i="207" s="1"/>
  <c r="I6" i="97" s="1"/>
  <c r="S53" i="223"/>
  <c r="S8" i="207"/>
  <c r="S11" i="207" s="1"/>
  <c r="Q10" i="97" s="1"/>
  <c r="F56" i="223"/>
  <c r="F43" i="207"/>
  <c r="F58" i="223"/>
  <c r="F52" i="207"/>
  <c r="F62" i="223"/>
  <c r="F9" i="207"/>
  <c r="S64" i="223"/>
  <c r="S46" i="207"/>
  <c r="L6" i="195"/>
  <c r="K65" i="195"/>
  <c r="S65" i="195"/>
  <c r="W9" i="12"/>
  <c r="O9" i="12"/>
  <c r="H9" i="12"/>
  <c r="P9" i="12"/>
  <c r="V9" i="12"/>
  <c r="A19" i="195"/>
  <c r="A20" i="195" s="1"/>
  <c r="C9" i="12"/>
  <c r="P54" i="195"/>
  <c r="P28" i="195"/>
  <c r="F9" i="12"/>
  <c r="P58" i="195"/>
  <c r="P13" i="195"/>
  <c r="P20" i="195"/>
  <c r="P36" i="195"/>
  <c r="P60" i="195"/>
  <c r="P24" i="195"/>
  <c r="P44" i="195"/>
  <c r="P55" i="195"/>
  <c r="P63" i="195"/>
  <c r="P12" i="195"/>
  <c r="P32" i="195"/>
  <c r="P39" i="195"/>
  <c r="P16" i="195"/>
  <c r="P17" i="195"/>
  <c r="P35" i="195"/>
  <c r="P52" i="195"/>
  <c r="P57" i="195"/>
  <c r="P61" i="195"/>
  <c r="F7" i="195"/>
  <c r="L7" i="195"/>
  <c r="P45" i="195"/>
  <c r="P48" i="195"/>
  <c r="P50" i="195"/>
  <c r="P64" i="195"/>
  <c r="P31" i="195"/>
  <c r="P43" i="195"/>
  <c r="P59" i="195"/>
  <c r="P6" i="195"/>
  <c r="P27" i="195"/>
  <c r="P33" i="195"/>
  <c r="P40" i="195"/>
  <c r="E9" i="12"/>
  <c r="P27" i="223" l="1"/>
  <c r="P30" i="207"/>
  <c r="P39" i="223"/>
  <c r="P35" i="207"/>
  <c r="P51" i="195"/>
  <c r="L51" i="223"/>
  <c r="L6" i="207"/>
  <c r="L7" i="207" s="1"/>
  <c r="J6" i="97" s="1"/>
  <c r="S54" i="207"/>
  <c r="Q12" i="97" s="1"/>
  <c r="P23" i="195"/>
  <c r="L23" i="223"/>
  <c r="L16" i="207"/>
  <c r="S48" i="207"/>
  <c r="Q11" i="97" s="1"/>
  <c r="K65" i="223"/>
  <c r="L66" i="223" s="1"/>
  <c r="K54" i="207"/>
  <c r="I12" i="97" s="1"/>
  <c r="P19" i="195"/>
  <c r="L19" i="223"/>
  <c r="L28" i="207"/>
  <c r="P11" i="195"/>
  <c r="L11" i="223"/>
  <c r="L24" i="207"/>
  <c r="F15" i="223"/>
  <c r="F19" i="207"/>
  <c r="P47" i="195"/>
  <c r="L47" i="223"/>
  <c r="L41" i="207"/>
  <c r="L39" i="223"/>
  <c r="L35" i="207"/>
  <c r="P18" i="195"/>
  <c r="L18" i="223"/>
  <c r="L27" i="207"/>
  <c r="P41" i="195"/>
  <c r="L41" i="223"/>
  <c r="L37" i="207"/>
  <c r="L28" i="223"/>
  <c r="L31" i="207"/>
  <c r="P15" i="195"/>
  <c r="L15" i="223"/>
  <c r="L19" i="207"/>
  <c r="L33" i="223"/>
  <c r="L10" i="207"/>
  <c r="L54" i="223"/>
  <c r="L55" i="207"/>
  <c r="L56" i="207" s="1"/>
  <c r="J13" i="97" s="1"/>
  <c r="D65" i="223"/>
  <c r="L16" i="223"/>
  <c r="L65" i="207"/>
  <c r="S76" i="207"/>
  <c r="L55" i="223"/>
  <c r="L67" i="207"/>
  <c r="L63" i="223"/>
  <c r="L45" i="207"/>
  <c r="L60" i="223"/>
  <c r="L68" i="207"/>
  <c r="L44" i="223"/>
  <c r="L39" i="207"/>
  <c r="L36" i="223"/>
  <c r="L66" i="207"/>
  <c r="L58" i="223"/>
  <c r="L52" i="207"/>
  <c r="P64" i="223"/>
  <c r="P46" i="207"/>
  <c r="P32" i="223"/>
  <c r="P50" i="207"/>
  <c r="P50" i="223"/>
  <c r="P73" i="207"/>
  <c r="P12" i="223"/>
  <c r="P25" i="207"/>
  <c r="P28" i="223"/>
  <c r="P31" i="207"/>
  <c r="B18" i="97"/>
  <c r="D77" i="207"/>
  <c r="P53" i="195"/>
  <c r="L53" i="223"/>
  <c r="L8" i="207"/>
  <c r="P26" i="195"/>
  <c r="L26" i="223"/>
  <c r="L49" i="207"/>
  <c r="K64" i="207"/>
  <c r="I14" i="97" s="1"/>
  <c r="L52" i="223"/>
  <c r="L74" i="207"/>
  <c r="P61" i="223"/>
  <c r="P21" i="207"/>
  <c r="P60" i="223"/>
  <c r="P68" i="207"/>
  <c r="P6" i="223"/>
  <c r="P12" i="207"/>
  <c r="P13" i="207" s="1"/>
  <c r="N7" i="97" s="1"/>
  <c r="P57" i="223"/>
  <c r="P75" i="207"/>
  <c r="P20" i="223"/>
  <c r="P20" i="207"/>
  <c r="P48" i="223"/>
  <c r="P51" i="207"/>
  <c r="P52" i="223"/>
  <c r="P74" i="207"/>
  <c r="P63" i="223"/>
  <c r="P45" i="207"/>
  <c r="M54" i="195"/>
  <c r="P54" i="223"/>
  <c r="P55" i="207"/>
  <c r="P56" i="207" s="1"/>
  <c r="N13" i="97" s="1"/>
  <c r="L6" i="223"/>
  <c r="L12" i="207"/>
  <c r="L13" i="207" s="1"/>
  <c r="J7" i="97" s="1"/>
  <c r="B8" i="97"/>
  <c r="F8" i="223"/>
  <c r="F59" i="207"/>
  <c r="F64" i="207" s="1"/>
  <c r="D14" i="97" s="1"/>
  <c r="L59" i="223"/>
  <c r="L44" i="207"/>
  <c r="P25" i="195"/>
  <c r="L25" i="223"/>
  <c r="L29" i="207"/>
  <c r="L12" i="223"/>
  <c r="L25" i="207"/>
  <c r="L24" i="223"/>
  <c r="L17" i="207"/>
  <c r="F10" i="223"/>
  <c r="F71" i="207"/>
  <c r="N65" i="195"/>
  <c r="L9" i="12" s="1"/>
  <c r="N49" i="223"/>
  <c r="N65" i="223" s="1"/>
  <c r="N42" i="207"/>
  <c r="N48" i="207" s="1"/>
  <c r="P59" i="223"/>
  <c r="P44" i="207"/>
  <c r="P45" i="223"/>
  <c r="P72" i="207"/>
  <c r="P35" i="223"/>
  <c r="P62" i="207"/>
  <c r="P55" i="223"/>
  <c r="P67" i="207"/>
  <c r="F38" i="223"/>
  <c r="F57" i="207"/>
  <c r="F58" i="207" s="1"/>
  <c r="D16" i="97" s="1"/>
  <c r="F9" i="223"/>
  <c r="F70" i="207"/>
  <c r="P9" i="195"/>
  <c r="L9" i="223"/>
  <c r="L70" i="207"/>
  <c r="P29" i="195"/>
  <c r="L29" i="223"/>
  <c r="L32" i="207"/>
  <c r="P8" i="195"/>
  <c r="L8" i="223"/>
  <c r="L59" i="207"/>
  <c r="P34" i="195"/>
  <c r="L34" i="223"/>
  <c r="L33" i="207"/>
  <c r="B11" i="97"/>
  <c r="P56" i="195"/>
  <c r="L56" i="223"/>
  <c r="L43" i="207"/>
  <c r="P30" i="195"/>
  <c r="L30" i="223"/>
  <c r="L18" i="207"/>
  <c r="P44" i="223"/>
  <c r="P39" i="207"/>
  <c r="L32" i="223"/>
  <c r="L50" i="207"/>
  <c r="F23" i="223"/>
  <c r="F16" i="207"/>
  <c r="F14" i="223"/>
  <c r="F14" i="207"/>
  <c r="P37" i="195"/>
  <c r="L37" i="223"/>
  <c r="L34" i="207"/>
  <c r="F54" i="207"/>
  <c r="D12" i="97" s="1"/>
  <c r="P42" i="195"/>
  <c r="L42" i="223"/>
  <c r="L38" i="207"/>
  <c r="S23" i="207"/>
  <c r="Q8" i="97" s="1"/>
  <c r="F42" i="223"/>
  <c r="F38" i="207"/>
  <c r="L17" i="223"/>
  <c r="L26" i="207"/>
  <c r="P49" i="195"/>
  <c r="L49" i="223"/>
  <c r="L42" i="207"/>
  <c r="P38" i="195"/>
  <c r="L38" i="223"/>
  <c r="L57" i="207"/>
  <c r="L58" i="207" s="1"/>
  <c r="J16" i="97" s="1"/>
  <c r="P43" i="223"/>
  <c r="P63" i="207"/>
  <c r="P36" i="223"/>
  <c r="P66" i="207"/>
  <c r="P40" i="223"/>
  <c r="P36" i="207"/>
  <c r="P7" i="195"/>
  <c r="L7" i="223"/>
  <c r="L22" i="207"/>
  <c r="P16" i="223"/>
  <c r="P65" i="207"/>
  <c r="S65" i="223"/>
  <c r="L40" i="223"/>
  <c r="L36" i="207"/>
  <c r="K48" i="207"/>
  <c r="I11" i="97" s="1"/>
  <c r="F11" i="207"/>
  <c r="D10" i="97" s="1"/>
  <c r="L45" i="223"/>
  <c r="L72" i="207"/>
  <c r="L57" i="223"/>
  <c r="L75" i="207"/>
  <c r="L50" i="223"/>
  <c r="L73" i="207"/>
  <c r="P21" i="195"/>
  <c r="L21" i="223"/>
  <c r="L60" i="207"/>
  <c r="F63" i="223"/>
  <c r="F45" i="207"/>
  <c r="F39" i="223"/>
  <c r="F35" i="207"/>
  <c r="F48" i="207" s="1"/>
  <c r="L20" i="223"/>
  <c r="L20" i="207"/>
  <c r="P62" i="195"/>
  <c r="L62" i="223"/>
  <c r="L9" i="207"/>
  <c r="P46" i="195"/>
  <c r="L46" i="223"/>
  <c r="L40" i="207"/>
  <c r="P17" i="223"/>
  <c r="P26" i="207"/>
  <c r="P13" i="223"/>
  <c r="P47" i="207"/>
  <c r="P33" i="223"/>
  <c r="P10" i="207"/>
  <c r="P31" i="223"/>
  <c r="P61" i="207"/>
  <c r="F65" i="195"/>
  <c r="F7" i="223"/>
  <c r="F22" i="207"/>
  <c r="P24" i="223"/>
  <c r="P17" i="207"/>
  <c r="M58" i="195"/>
  <c r="P58" i="223"/>
  <c r="P52" i="207"/>
  <c r="L43" i="223"/>
  <c r="L63" i="207"/>
  <c r="L35" i="223"/>
  <c r="L62" i="207"/>
  <c r="P14" i="195"/>
  <c r="L14" i="223"/>
  <c r="L14" i="207"/>
  <c r="L13" i="223"/>
  <c r="L47" i="207"/>
  <c r="L64" i="223"/>
  <c r="L46" i="207"/>
  <c r="L48" i="223"/>
  <c r="L51" i="207"/>
  <c r="L61" i="223"/>
  <c r="L21" i="207"/>
  <c r="L31" i="223"/>
  <c r="L61" i="207"/>
  <c r="P10" i="195"/>
  <c r="L10" i="223"/>
  <c r="L71" i="207"/>
  <c r="L27" i="223"/>
  <c r="L30" i="207"/>
  <c r="L65" i="195"/>
  <c r="Q9" i="12"/>
  <c r="D9" i="12"/>
  <c r="A21" i="195"/>
  <c r="A22" i="195" s="1"/>
  <c r="A23" i="195" s="1"/>
  <c r="A24" i="195" s="1"/>
  <c r="A25" i="195" s="1"/>
  <c r="A26" i="195" s="1"/>
  <c r="A27" i="195" s="1"/>
  <c r="A28" i="195" s="1"/>
  <c r="A29" i="195" s="1"/>
  <c r="A30" i="195" s="1"/>
  <c r="A31" i="195" s="1"/>
  <c r="A32" i="195" s="1"/>
  <c r="A33" i="195" s="1"/>
  <c r="A34" i="195" s="1"/>
  <c r="A35" i="195" s="1"/>
  <c r="A36" i="195" s="1"/>
  <c r="A37" i="195" s="1"/>
  <c r="A38" i="195" s="1"/>
  <c r="A39" i="195" s="1"/>
  <c r="A40" i="195" s="1"/>
  <c r="A41" i="195" s="1"/>
  <c r="A42" i="195" s="1"/>
  <c r="A43" i="195" s="1"/>
  <c r="A44" i="195" s="1"/>
  <c r="A45" i="195" s="1"/>
  <c r="A46" i="195" s="1"/>
  <c r="A47" i="195" s="1"/>
  <c r="A48" i="195" s="1"/>
  <c r="A49" i="195" s="1"/>
  <c r="A50" i="195" s="1"/>
  <c r="A51" i="195" s="1"/>
  <c r="A52" i="195" s="1"/>
  <c r="A53" i="195" s="1"/>
  <c r="A54" i="195" s="1"/>
  <c r="A55" i="195" s="1"/>
  <c r="A56" i="195" s="1"/>
  <c r="A57" i="195" s="1"/>
  <c r="A58" i="195" s="1"/>
  <c r="A59" i="195" s="1"/>
  <c r="A60" i="195" s="1"/>
  <c r="B9" i="12"/>
  <c r="M48" i="195"/>
  <c r="M27" i="195"/>
  <c r="M59" i="195"/>
  <c r="M57" i="195"/>
  <c r="M16" i="195"/>
  <c r="M63" i="195"/>
  <c r="T63" i="195"/>
  <c r="M24" i="195"/>
  <c r="M60" i="195"/>
  <c r="M39" i="195"/>
  <c r="M33" i="195"/>
  <c r="M17" i="195"/>
  <c r="M45" i="195"/>
  <c r="M32" i="195"/>
  <c r="M36" i="195"/>
  <c r="M31" i="195"/>
  <c r="M61" i="195"/>
  <c r="M43" i="195"/>
  <c r="M52" i="195"/>
  <c r="M44" i="195"/>
  <c r="M13" i="195"/>
  <c r="M40" i="195"/>
  <c r="M35" i="195"/>
  <c r="M12" i="195"/>
  <c r="M7" i="195"/>
  <c r="M64" i="195"/>
  <c r="M6" i="195"/>
  <c r="M50" i="195"/>
  <c r="M55" i="195"/>
  <c r="M20" i="195"/>
  <c r="F65" i="223" l="1"/>
  <c r="O33" i="195"/>
  <c r="M33" i="223"/>
  <c r="M10" i="207"/>
  <c r="L23" i="207"/>
  <c r="J8" i="97" s="1"/>
  <c r="P34" i="223"/>
  <c r="P33" i="207"/>
  <c r="M34" i="195"/>
  <c r="P41" i="223"/>
  <c r="P37" i="207"/>
  <c r="M41" i="195"/>
  <c r="P47" i="223"/>
  <c r="P41" i="207"/>
  <c r="M47" i="195"/>
  <c r="O61" i="195"/>
  <c r="M61" i="223"/>
  <c r="M21" i="207"/>
  <c r="O58" i="195"/>
  <c r="M58" i="223"/>
  <c r="M52" i="207"/>
  <c r="P46" i="223"/>
  <c r="P40" i="207"/>
  <c r="M46" i="195"/>
  <c r="P30" i="223"/>
  <c r="P18" i="207"/>
  <c r="L64" i="207"/>
  <c r="J14" i="97" s="1"/>
  <c r="P9" i="223"/>
  <c r="P70" i="207"/>
  <c r="M9" i="195"/>
  <c r="P25" i="223"/>
  <c r="P29" i="207"/>
  <c r="M25" i="195"/>
  <c r="L65" i="223"/>
  <c r="P66" i="223" s="1"/>
  <c r="L54" i="207"/>
  <c r="J12" i="97" s="1"/>
  <c r="S77" i="207"/>
  <c r="P19" i="223"/>
  <c r="P28" i="207"/>
  <c r="M19" i="195"/>
  <c r="O35" i="195"/>
  <c r="M35" i="223"/>
  <c r="M62" i="207"/>
  <c r="O50" i="195"/>
  <c r="M50" i="223"/>
  <c r="M73" i="207"/>
  <c r="O57" i="195"/>
  <c r="M57" i="223"/>
  <c r="M75" i="207"/>
  <c r="O40" i="195"/>
  <c r="M40" i="223"/>
  <c r="M36" i="207"/>
  <c r="O59" i="195"/>
  <c r="M59" i="223"/>
  <c r="M44" i="207"/>
  <c r="O28" i="195"/>
  <c r="M28" i="223"/>
  <c r="M31" i="207"/>
  <c r="P14" i="223"/>
  <c r="P14" i="207"/>
  <c r="M14" i="195"/>
  <c r="P69" i="207"/>
  <c r="N15" i="97" s="1"/>
  <c r="P49" i="223"/>
  <c r="P42" i="207"/>
  <c r="M49" i="195"/>
  <c r="P42" i="223"/>
  <c r="P38" i="207"/>
  <c r="M42" i="195"/>
  <c r="F76" i="207"/>
  <c r="L69" i="207"/>
  <c r="J15" i="97" s="1"/>
  <c r="M6" i="223"/>
  <c r="M12" i="207"/>
  <c r="M13" i="207" s="1"/>
  <c r="K7" i="97" s="1"/>
  <c r="O31" i="195"/>
  <c r="M31" i="223"/>
  <c r="M61" i="207"/>
  <c r="O13" i="195"/>
  <c r="M13" i="223"/>
  <c r="M47" i="207"/>
  <c r="O36" i="195"/>
  <c r="M36" i="223"/>
  <c r="M66" i="207"/>
  <c r="O60" i="195"/>
  <c r="M60" i="223"/>
  <c r="M68" i="207"/>
  <c r="O27" i="195"/>
  <c r="M27" i="223"/>
  <c r="M30" i="207"/>
  <c r="P8" i="223"/>
  <c r="P59" i="207"/>
  <c r="M8" i="195"/>
  <c r="P26" i="223"/>
  <c r="P49" i="207"/>
  <c r="P54" i="207" s="1"/>
  <c r="N12" i="97" s="1"/>
  <c r="M26" i="195"/>
  <c r="P15" i="223"/>
  <c r="P19" i="207"/>
  <c r="M15" i="195"/>
  <c r="P18" i="223"/>
  <c r="P27" i="207"/>
  <c r="M18" i="195"/>
  <c r="P51" i="223"/>
  <c r="P6" i="207"/>
  <c r="P7" i="207" s="1"/>
  <c r="N6" i="97" s="1"/>
  <c r="M51" i="195"/>
  <c r="O24" i="195"/>
  <c r="M24" i="223"/>
  <c r="M17" i="207"/>
  <c r="P62" i="223"/>
  <c r="P9" i="207"/>
  <c r="M62" i="195"/>
  <c r="P56" i="223"/>
  <c r="P43" i="207"/>
  <c r="M56" i="195"/>
  <c r="O54" i="195"/>
  <c r="M54" i="223"/>
  <c r="M55" i="207"/>
  <c r="M56" i="207" s="1"/>
  <c r="K13" i="97" s="1"/>
  <c r="T54" i="195"/>
  <c r="L11" i="207"/>
  <c r="J10" i="97" s="1"/>
  <c r="L48" i="207"/>
  <c r="J11" i="97" s="1"/>
  <c r="O48" i="195"/>
  <c r="M48" i="223"/>
  <c r="M51" i="207"/>
  <c r="T58" i="195"/>
  <c r="O44" i="195"/>
  <c r="M44" i="223"/>
  <c r="M39" i="207"/>
  <c r="P10" i="223"/>
  <c r="P71" i="207"/>
  <c r="M10" i="195"/>
  <c r="P21" i="223"/>
  <c r="P60" i="207"/>
  <c r="M21" i="195"/>
  <c r="O55" i="195"/>
  <c r="M55" i="223"/>
  <c r="M67" i="207"/>
  <c r="O39" i="195"/>
  <c r="M39" i="223"/>
  <c r="M35" i="207"/>
  <c r="O32" i="195"/>
  <c r="M32" i="223"/>
  <c r="M50" i="207"/>
  <c r="O52" i="195"/>
  <c r="M52" i="223"/>
  <c r="M74" i="207"/>
  <c r="U63" i="195"/>
  <c r="T63" i="223"/>
  <c r="T45" i="207"/>
  <c r="P7" i="223"/>
  <c r="P22" i="207"/>
  <c r="P37" i="223"/>
  <c r="P34" i="207"/>
  <c r="M37" i="195"/>
  <c r="P29" i="223"/>
  <c r="P32" i="207"/>
  <c r="M29" i="195"/>
  <c r="L11" i="97"/>
  <c r="N77" i="207"/>
  <c r="B20" i="97"/>
  <c r="P53" i="223"/>
  <c r="P8" i="207"/>
  <c r="P11" i="207" s="1"/>
  <c r="N10" i="97" s="1"/>
  <c r="M53" i="195"/>
  <c r="P11" i="223"/>
  <c r="P24" i="207"/>
  <c r="P48" i="207" s="1"/>
  <c r="N11" i="97" s="1"/>
  <c r="M11" i="195"/>
  <c r="O16" i="195"/>
  <c r="M16" i="223"/>
  <c r="M65" i="207"/>
  <c r="M69" i="207" s="1"/>
  <c r="K15" i="97" s="1"/>
  <c r="O64" i="195"/>
  <c r="M64" i="223"/>
  <c r="M46" i="207"/>
  <c r="O45" i="195"/>
  <c r="M45" i="223"/>
  <c r="M72" i="207"/>
  <c r="T7" i="195"/>
  <c r="M7" i="223"/>
  <c r="M22" i="207"/>
  <c r="O20" i="195"/>
  <c r="M20" i="223"/>
  <c r="M20" i="207"/>
  <c r="O12" i="195"/>
  <c r="M12" i="223"/>
  <c r="M25" i="207"/>
  <c r="O43" i="195"/>
  <c r="M43" i="223"/>
  <c r="M63" i="207"/>
  <c r="O17" i="195"/>
  <c r="M17" i="223"/>
  <c r="M26" i="207"/>
  <c r="O63" i="195"/>
  <c r="M63" i="223"/>
  <c r="M45" i="207"/>
  <c r="P65" i="195"/>
  <c r="N9" i="12" s="1"/>
  <c r="P38" i="223"/>
  <c r="P57" i="207"/>
  <c r="P58" i="207" s="1"/>
  <c r="N16" i="97" s="1"/>
  <c r="M38" i="195"/>
  <c r="F23" i="207"/>
  <c r="L76" i="207"/>
  <c r="K77" i="207"/>
  <c r="L78" i="207" s="1"/>
  <c r="P23" i="223"/>
  <c r="P16" i="207"/>
  <c r="M23" i="195"/>
  <c r="T60" i="195"/>
  <c r="T28" i="195"/>
  <c r="T12" i="195"/>
  <c r="A61" i="195"/>
  <c r="T20" i="195"/>
  <c r="L66" i="195"/>
  <c r="I9" i="12"/>
  <c r="T44" i="195"/>
  <c r="T59" i="195"/>
  <c r="T36" i="195"/>
  <c r="T39" i="195"/>
  <c r="T27" i="195"/>
  <c r="T48" i="195"/>
  <c r="O7" i="195"/>
  <c r="T52" i="195"/>
  <c r="T16" i="195"/>
  <c r="T55" i="195"/>
  <c r="T17" i="195"/>
  <c r="T40" i="195"/>
  <c r="T24" i="195"/>
  <c r="T43" i="195"/>
  <c r="T31" i="195"/>
  <c r="T32" i="195"/>
  <c r="T33" i="195"/>
  <c r="T57" i="195"/>
  <c r="T50" i="195"/>
  <c r="T64" i="195"/>
  <c r="O6" i="195"/>
  <c r="T6" i="195"/>
  <c r="T35" i="195"/>
  <c r="T13" i="195"/>
  <c r="T61" i="195"/>
  <c r="T45" i="195"/>
  <c r="P65" i="223" l="1"/>
  <c r="O64" i="223"/>
  <c r="O46" i="207"/>
  <c r="T37" i="195"/>
  <c r="M37" i="223"/>
  <c r="M34" i="207"/>
  <c r="O37" i="195"/>
  <c r="O39" i="223"/>
  <c r="O35" i="207"/>
  <c r="M10" i="223"/>
  <c r="M71" i="207"/>
  <c r="O10" i="195"/>
  <c r="T56" i="195"/>
  <c r="M56" i="223"/>
  <c r="M43" i="207"/>
  <c r="O56" i="195"/>
  <c r="O24" i="223"/>
  <c r="O17" i="207"/>
  <c r="O36" i="223"/>
  <c r="O66" i="207"/>
  <c r="O57" i="223"/>
  <c r="O75" i="207"/>
  <c r="T46" i="195"/>
  <c r="M46" i="223"/>
  <c r="M40" i="207"/>
  <c r="O46" i="195"/>
  <c r="O61" i="223"/>
  <c r="O21" i="207"/>
  <c r="O34" i="195"/>
  <c r="M34" i="223"/>
  <c r="M33" i="207"/>
  <c r="T34" i="195"/>
  <c r="U43" i="195"/>
  <c r="T43" i="223"/>
  <c r="T63" i="207"/>
  <c r="U48" i="195"/>
  <c r="T48" i="223"/>
  <c r="T51" i="207"/>
  <c r="U20" i="195"/>
  <c r="T20" i="223"/>
  <c r="T20" i="207"/>
  <c r="O43" i="223"/>
  <c r="O63" i="207"/>
  <c r="O48" i="223"/>
  <c r="O51" i="207"/>
  <c r="O51" i="195"/>
  <c r="M51" i="223"/>
  <c r="M6" i="207"/>
  <c r="M7" i="207" s="1"/>
  <c r="K6" i="97" s="1"/>
  <c r="T51" i="195"/>
  <c r="T9" i="195"/>
  <c r="M9" i="223"/>
  <c r="M70" i="207"/>
  <c r="M76" i="207" s="1"/>
  <c r="O9" i="195"/>
  <c r="O47" i="195"/>
  <c r="M47" i="223"/>
  <c r="M41" i="207"/>
  <c r="T47" i="195"/>
  <c r="T6" i="223"/>
  <c r="T12" i="207"/>
  <c r="T13" i="207" s="1"/>
  <c r="R7" i="97" s="1"/>
  <c r="U27" i="195"/>
  <c r="T27" i="223"/>
  <c r="T30" i="207"/>
  <c r="U7" i="195"/>
  <c r="T7" i="223"/>
  <c r="T22" i="207"/>
  <c r="O52" i="223"/>
  <c r="O74" i="207"/>
  <c r="O26" i="195"/>
  <c r="M26" i="223"/>
  <c r="M49" i="207"/>
  <c r="M54" i="207" s="1"/>
  <c r="K12" i="97" s="1"/>
  <c r="T26" i="195"/>
  <c r="O27" i="223"/>
  <c r="O30" i="207"/>
  <c r="F77" i="207"/>
  <c r="T14" i="195"/>
  <c r="M14" i="223"/>
  <c r="M14" i="207"/>
  <c r="O14" i="195"/>
  <c r="O59" i="223"/>
  <c r="O44" i="207"/>
  <c r="P76" i="207"/>
  <c r="U40" i="195"/>
  <c r="T40" i="223"/>
  <c r="T36" i="207"/>
  <c r="O63" i="223"/>
  <c r="O45" i="207"/>
  <c r="O16" i="223"/>
  <c r="O65" i="207"/>
  <c r="O55" i="223"/>
  <c r="O67" i="207"/>
  <c r="O62" i="195"/>
  <c r="M62" i="223"/>
  <c r="M9" i="207"/>
  <c r="O13" i="223"/>
  <c r="O47" i="207"/>
  <c r="O42" i="195"/>
  <c r="M42" i="223"/>
  <c r="M38" i="207"/>
  <c r="T42" i="195"/>
  <c r="P23" i="207"/>
  <c r="N8" i="97" s="1"/>
  <c r="O50" i="223"/>
  <c r="O73" i="207"/>
  <c r="O7" i="223"/>
  <c r="O22" i="207"/>
  <c r="U24" i="195"/>
  <c r="T24" i="223"/>
  <c r="T17" i="207"/>
  <c r="U12" i="195"/>
  <c r="T12" i="223"/>
  <c r="T25" i="207"/>
  <c r="U17" i="195"/>
  <c r="T17" i="223"/>
  <c r="T26" i="207"/>
  <c r="U36" i="195"/>
  <c r="T36" i="223"/>
  <c r="T66" i="207"/>
  <c r="U28" i="195"/>
  <c r="T28" i="223"/>
  <c r="T31" i="207"/>
  <c r="O12" i="223"/>
  <c r="O25" i="207"/>
  <c r="O11" i="195"/>
  <c r="M11" i="223"/>
  <c r="M24" i="207"/>
  <c r="T11" i="195"/>
  <c r="T21" i="195"/>
  <c r="M21" i="223"/>
  <c r="M60" i="207"/>
  <c r="O21" i="195"/>
  <c r="U54" i="195"/>
  <c r="T54" i="223"/>
  <c r="T55" i="207"/>
  <c r="T56" i="207" s="1"/>
  <c r="R13" i="97" s="1"/>
  <c r="O18" i="195"/>
  <c r="M18" i="223"/>
  <c r="M27" i="207"/>
  <c r="T18" i="195"/>
  <c r="O41" i="195"/>
  <c r="M41" i="223"/>
  <c r="M37" i="207"/>
  <c r="T41" i="195"/>
  <c r="O6" i="223"/>
  <c r="O12" i="207"/>
  <c r="O13" i="207" s="1"/>
  <c r="U50" i="195"/>
  <c r="T50" i="223"/>
  <c r="T73" i="207"/>
  <c r="U55" i="195"/>
  <c r="T55" i="223"/>
  <c r="T67" i="207"/>
  <c r="O29" i="195"/>
  <c r="M29" i="223"/>
  <c r="M32" i="207"/>
  <c r="T29" i="195"/>
  <c r="O32" i="223"/>
  <c r="O50" i="207"/>
  <c r="O44" i="223"/>
  <c r="O39" i="207"/>
  <c r="T8" i="195"/>
  <c r="M8" i="223"/>
  <c r="M59" i="207"/>
  <c r="M64" i="207" s="1"/>
  <c r="K14" i="97" s="1"/>
  <c r="O8" i="195"/>
  <c r="O60" i="223"/>
  <c r="O68" i="207"/>
  <c r="O40" i="223"/>
  <c r="O36" i="207"/>
  <c r="T30" i="195"/>
  <c r="M30" i="223"/>
  <c r="M18" i="207"/>
  <c r="O30" i="195"/>
  <c r="O58" i="223"/>
  <c r="O52" i="207"/>
  <c r="U64" i="195"/>
  <c r="T64" i="223"/>
  <c r="T46" i="207"/>
  <c r="U39" i="195"/>
  <c r="T39" i="223"/>
  <c r="T35" i="207"/>
  <c r="U45" i="195"/>
  <c r="T45" i="223"/>
  <c r="T72" i="207"/>
  <c r="U57" i="195"/>
  <c r="T57" i="223"/>
  <c r="T75" i="207"/>
  <c r="U59" i="195"/>
  <c r="T59" i="223"/>
  <c r="T44" i="207"/>
  <c r="O38" i="195"/>
  <c r="M38" i="223"/>
  <c r="M57" i="207"/>
  <c r="M58" i="207" s="1"/>
  <c r="K16" i="97" s="1"/>
  <c r="T38" i="195"/>
  <c r="U33" i="195"/>
  <c r="T33" i="223"/>
  <c r="T10" i="207"/>
  <c r="U16" i="195"/>
  <c r="T16" i="223"/>
  <c r="T65" i="207"/>
  <c r="U44" i="195"/>
  <c r="T44" i="223"/>
  <c r="T39" i="207"/>
  <c r="M65" i="195"/>
  <c r="O17" i="223"/>
  <c r="O26" i="207"/>
  <c r="U58" i="195"/>
  <c r="T58" i="223"/>
  <c r="T52" i="207"/>
  <c r="P64" i="207"/>
  <c r="N14" i="97" s="1"/>
  <c r="O31" i="223"/>
  <c r="O61" i="207"/>
  <c r="O49" i="195"/>
  <c r="M49" i="223"/>
  <c r="M42" i="207"/>
  <c r="T49" i="195"/>
  <c r="O35" i="223"/>
  <c r="O62" i="207"/>
  <c r="T25" i="195"/>
  <c r="M25" i="223"/>
  <c r="M29" i="207"/>
  <c r="O25" i="195"/>
  <c r="O33" i="223"/>
  <c r="O10" i="207"/>
  <c r="U31" i="195"/>
  <c r="T31" i="223"/>
  <c r="T61" i="207"/>
  <c r="L77" i="207"/>
  <c r="P78" i="207" s="1"/>
  <c r="T61" i="223"/>
  <c r="T21" i="207"/>
  <c r="U60" i="195"/>
  <c r="T60" i="223"/>
  <c r="T68" i="207"/>
  <c r="O45" i="223"/>
  <c r="O72" i="207"/>
  <c r="U13" i="195"/>
  <c r="T13" i="223"/>
  <c r="T47" i="207"/>
  <c r="U35" i="195"/>
  <c r="T35" i="223"/>
  <c r="T62" i="207"/>
  <c r="U32" i="195"/>
  <c r="T32" i="223"/>
  <c r="T50" i="207"/>
  <c r="U52" i="195"/>
  <c r="T52" i="223"/>
  <c r="T74" i="207"/>
  <c r="T23" i="195"/>
  <c r="M23" i="223"/>
  <c r="M16" i="207"/>
  <c r="O23" i="195"/>
  <c r="O20" i="223"/>
  <c r="O20" i="207"/>
  <c r="O53" i="195"/>
  <c r="M53" i="223"/>
  <c r="M8" i="207"/>
  <c r="M11" i="207" s="1"/>
  <c r="K10" i="97" s="1"/>
  <c r="T53" i="195"/>
  <c r="V63" i="195"/>
  <c r="U63" i="223"/>
  <c r="U45" i="207"/>
  <c r="T10" i="195"/>
  <c r="O54" i="223"/>
  <c r="O55" i="207"/>
  <c r="O56" i="207" s="1"/>
  <c r="T15" i="195"/>
  <c r="M15" i="223"/>
  <c r="M19" i="207"/>
  <c r="O15" i="195"/>
  <c r="O65" i="195" s="1"/>
  <c r="M9" i="12" s="1"/>
  <c r="O28" i="223"/>
  <c r="O31" i="207"/>
  <c r="O19" i="195"/>
  <c r="M19" i="223"/>
  <c r="M28" i="207"/>
  <c r="T19" i="195"/>
  <c r="T62" i="195"/>
  <c r="A62" i="195"/>
  <c r="A63" i="195" s="1"/>
  <c r="A65" i="195" s="1"/>
  <c r="P66" i="195"/>
  <c r="J9" i="12"/>
  <c r="V50" i="195"/>
  <c r="U61" i="195"/>
  <c r="U6" i="195"/>
  <c r="M65" i="223" l="1"/>
  <c r="T66" i="223" s="1"/>
  <c r="U66" i="223" s="1"/>
  <c r="U6" i="223"/>
  <c r="U12" i="207"/>
  <c r="U13" i="207" s="1"/>
  <c r="U19" i="195"/>
  <c r="T19" i="223"/>
  <c r="T28" i="207"/>
  <c r="U53" i="195"/>
  <c r="T53" i="223"/>
  <c r="T8" i="207"/>
  <c r="U38" i="195"/>
  <c r="T38" i="223"/>
  <c r="T57" i="207"/>
  <c r="T58" i="207" s="1"/>
  <c r="R16" i="97" s="1"/>
  <c r="U30" i="195"/>
  <c r="T30" i="223"/>
  <c r="T18" i="207"/>
  <c r="U8" i="195"/>
  <c r="T8" i="223"/>
  <c r="T59" i="207"/>
  <c r="O29" i="223"/>
  <c r="O32" i="207"/>
  <c r="U21" i="195"/>
  <c r="T21" i="223"/>
  <c r="T60" i="207"/>
  <c r="O14" i="223"/>
  <c r="O14" i="207"/>
  <c r="U26" i="195"/>
  <c r="T26" i="223"/>
  <c r="T49" i="207"/>
  <c r="T54" i="207" s="1"/>
  <c r="R12" i="97" s="1"/>
  <c r="W7" i="195"/>
  <c r="U7" i="223"/>
  <c r="U22" i="207"/>
  <c r="U34" i="195"/>
  <c r="T34" i="223"/>
  <c r="T33" i="207"/>
  <c r="V44" i="195"/>
  <c r="U44" i="223"/>
  <c r="U39" i="207"/>
  <c r="W57" i="195"/>
  <c r="U57" i="223"/>
  <c r="U75" i="207"/>
  <c r="O18" i="223"/>
  <c r="O27" i="207"/>
  <c r="U11" i="195"/>
  <c r="T11" i="223"/>
  <c r="T24" i="207"/>
  <c r="V28" i="195"/>
  <c r="U28" i="223"/>
  <c r="U31" i="207"/>
  <c r="M23" i="207"/>
  <c r="K8" i="97" s="1"/>
  <c r="K20" i="97" s="1"/>
  <c r="W20" i="195"/>
  <c r="U20" i="223"/>
  <c r="U20" i="207"/>
  <c r="U46" i="195"/>
  <c r="T46" i="223"/>
  <c r="T40" i="207"/>
  <c r="O56" i="223"/>
  <c r="O43" i="207"/>
  <c r="V35" i="195"/>
  <c r="U35" i="223"/>
  <c r="U62" i="207"/>
  <c r="U49" i="195"/>
  <c r="T49" i="223"/>
  <c r="T42" i="207"/>
  <c r="T69" i="207"/>
  <c r="R15" i="97" s="1"/>
  <c r="V64" i="195"/>
  <c r="U64" i="223"/>
  <c r="U46" i="207"/>
  <c r="U41" i="195"/>
  <c r="T41" i="223"/>
  <c r="T37" i="207"/>
  <c r="M48" i="207"/>
  <c r="K11" i="97" s="1"/>
  <c r="V12" i="195"/>
  <c r="U12" i="223"/>
  <c r="U25" i="207"/>
  <c r="O47" i="223"/>
  <c r="O41" i="207"/>
  <c r="O51" i="223"/>
  <c r="O6" i="207"/>
  <c r="O7" i="207" s="1"/>
  <c r="M6" i="97" s="1"/>
  <c r="O37" i="223"/>
  <c r="O34" i="207"/>
  <c r="W31" i="195"/>
  <c r="U31" i="223"/>
  <c r="U61" i="207"/>
  <c r="V60" i="195"/>
  <c r="U60" i="223"/>
  <c r="U68" i="207"/>
  <c r="O19" i="223"/>
  <c r="O28" i="207"/>
  <c r="O53" i="223"/>
  <c r="O8" i="207"/>
  <c r="W58" i="195"/>
  <c r="U58" i="223"/>
  <c r="U52" i="207"/>
  <c r="O38" i="223"/>
  <c r="O57" i="207"/>
  <c r="O58" i="207" s="1"/>
  <c r="M16" i="97" s="1"/>
  <c r="W55" i="195"/>
  <c r="U55" i="223"/>
  <c r="U67" i="207"/>
  <c r="U42" i="195"/>
  <c r="T42" i="223"/>
  <c r="T38" i="207"/>
  <c r="O62" i="223"/>
  <c r="O9" i="207"/>
  <c r="U14" i="195"/>
  <c r="T14" i="223"/>
  <c r="T14" i="207"/>
  <c r="O26" i="223"/>
  <c r="O49" i="207"/>
  <c r="O54" i="207" s="1"/>
  <c r="W27" i="195"/>
  <c r="U27" i="223"/>
  <c r="U30" i="207"/>
  <c r="O9" i="223"/>
  <c r="O70" i="207"/>
  <c r="O34" i="223"/>
  <c r="O33" i="207"/>
  <c r="U61" i="223"/>
  <c r="U21" i="207"/>
  <c r="U10" i="195"/>
  <c r="T10" i="223"/>
  <c r="T71" i="207"/>
  <c r="W52" i="195"/>
  <c r="U52" i="223"/>
  <c r="U74" i="207"/>
  <c r="O25" i="223"/>
  <c r="O29" i="207"/>
  <c r="W16" i="195"/>
  <c r="U16" i="223"/>
  <c r="U65" i="207"/>
  <c r="W45" i="195"/>
  <c r="U45" i="223"/>
  <c r="U72" i="207"/>
  <c r="U54" i="223"/>
  <c r="U55" i="207"/>
  <c r="U56" i="207" s="1"/>
  <c r="V54" i="195"/>
  <c r="O11" i="223"/>
  <c r="O24" i="207"/>
  <c r="W36" i="195"/>
  <c r="U36" i="223"/>
  <c r="U66" i="207"/>
  <c r="V40" i="195"/>
  <c r="U40" i="223"/>
  <c r="U36" i="207"/>
  <c r="M77" i="207"/>
  <c r="T78" i="207" s="1"/>
  <c r="U78" i="207" s="1"/>
  <c r="W48" i="195"/>
  <c r="U48" i="223"/>
  <c r="U51" i="207"/>
  <c r="U56" i="195"/>
  <c r="T56" i="223"/>
  <c r="T43" i="207"/>
  <c r="U15" i="195"/>
  <c r="T15" i="223"/>
  <c r="T19" i="207"/>
  <c r="W50" i="195"/>
  <c r="V50" i="223"/>
  <c r="V73" i="207"/>
  <c r="V76" i="207" s="1"/>
  <c r="O49" i="223"/>
  <c r="O42" i="207"/>
  <c r="O30" i="223"/>
  <c r="O18" i="207"/>
  <c r="O8" i="223"/>
  <c r="O59" i="207"/>
  <c r="O64" i="207" s="1"/>
  <c r="M14" i="97" s="1"/>
  <c r="U29" i="195"/>
  <c r="T29" i="223"/>
  <c r="T32" i="207"/>
  <c r="O41" i="223"/>
  <c r="O37" i="207"/>
  <c r="O21" i="223"/>
  <c r="O60" i="207"/>
  <c r="W24" i="195"/>
  <c r="U24" i="223"/>
  <c r="U17" i="207"/>
  <c r="P77" i="207"/>
  <c r="O10" i="223"/>
  <c r="O71" i="207"/>
  <c r="U37" i="195"/>
  <c r="T37" i="223"/>
  <c r="T34" i="207"/>
  <c r="W59" i="195"/>
  <c r="U59" i="223"/>
  <c r="U44" i="207"/>
  <c r="U50" i="223"/>
  <c r="U73" i="207"/>
  <c r="U18" i="195"/>
  <c r="T18" i="223"/>
  <c r="T27" i="207"/>
  <c r="O42" i="223"/>
  <c r="O38" i="207"/>
  <c r="O69" i="207"/>
  <c r="M15" i="97" s="1"/>
  <c r="T65" i="195"/>
  <c r="R9" i="12" s="1"/>
  <c r="U9" i="195"/>
  <c r="T9" i="223"/>
  <c r="T70" i="207"/>
  <c r="T76" i="207" s="1"/>
  <c r="O46" i="223"/>
  <c r="O40" i="207"/>
  <c r="U23" i="195"/>
  <c r="T23" i="223"/>
  <c r="T16" i="207"/>
  <c r="W13" i="195"/>
  <c r="U13" i="223"/>
  <c r="U47" i="207"/>
  <c r="O15" i="223"/>
  <c r="O19" i="207"/>
  <c r="O23" i="223"/>
  <c r="O16" i="207"/>
  <c r="U62" i="195"/>
  <c r="T62" i="223"/>
  <c r="T9" i="207"/>
  <c r="V63" i="223"/>
  <c r="V45" i="207"/>
  <c r="W32" i="195"/>
  <c r="U32" i="223"/>
  <c r="U50" i="207"/>
  <c r="U25" i="195"/>
  <c r="T25" i="223"/>
  <c r="T29" i="207"/>
  <c r="V33" i="195"/>
  <c r="U33" i="223"/>
  <c r="U10" i="207"/>
  <c r="W39" i="195"/>
  <c r="U39" i="223"/>
  <c r="U35" i="207"/>
  <c r="W17" i="195"/>
  <c r="U17" i="223"/>
  <c r="U26" i="207"/>
  <c r="U47" i="195"/>
  <c r="T47" i="223"/>
  <c r="T41" i="207"/>
  <c r="U51" i="195"/>
  <c r="T51" i="223"/>
  <c r="T6" i="207"/>
  <c r="T7" i="207" s="1"/>
  <c r="R6" i="97" s="1"/>
  <c r="W43" i="195"/>
  <c r="U43" i="223"/>
  <c r="U63" i="207"/>
  <c r="Y9" i="12"/>
  <c r="F7" i="69"/>
  <c r="T66" i="195"/>
  <c r="U66" i="195" s="1"/>
  <c r="K9" i="12"/>
  <c r="V61" i="195"/>
  <c r="V6" i="195"/>
  <c r="T65" i="223" l="1"/>
  <c r="O65" i="223"/>
  <c r="W39" i="223"/>
  <c r="W35" i="207"/>
  <c r="W23" i="195"/>
  <c r="U23" i="223"/>
  <c r="U16" i="207"/>
  <c r="U15" i="223"/>
  <c r="U19" i="207"/>
  <c r="W15" i="195"/>
  <c r="W8" i="195"/>
  <c r="U8" i="223"/>
  <c r="U59" i="207"/>
  <c r="W32" i="223"/>
  <c r="W50" i="207"/>
  <c r="W59" i="223"/>
  <c r="W44" i="207"/>
  <c r="W54" i="195"/>
  <c r="V54" i="223"/>
  <c r="V55" i="207"/>
  <c r="V56" i="207" s="1"/>
  <c r="W16" i="223"/>
  <c r="W65" i="207"/>
  <c r="W10" i="195"/>
  <c r="U10" i="223"/>
  <c r="U71" i="207"/>
  <c r="V28" i="223"/>
  <c r="V31" i="207"/>
  <c r="W57" i="223"/>
  <c r="W75" i="207"/>
  <c r="W53" i="195"/>
  <c r="U53" i="223"/>
  <c r="U8" i="207"/>
  <c r="W27" i="223"/>
  <c r="W30" i="207"/>
  <c r="W49" i="195"/>
  <c r="U49" i="223"/>
  <c r="U42" i="207"/>
  <c r="W46" i="195"/>
  <c r="U46" i="223"/>
  <c r="U40" i="207"/>
  <c r="T48" i="207"/>
  <c r="R11" i="97" s="1"/>
  <c r="W7" i="223"/>
  <c r="W22" i="207"/>
  <c r="W21" i="195"/>
  <c r="U21" i="223"/>
  <c r="U60" i="207"/>
  <c r="V6" i="223"/>
  <c r="V12" i="207"/>
  <c r="V13" i="207" s="1"/>
  <c r="W47" i="195"/>
  <c r="U47" i="223"/>
  <c r="U41" i="207"/>
  <c r="V33" i="223"/>
  <c r="V10" i="207"/>
  <c r="W29" i="195"/>
  <c r="U29" i="223"/>
  <c r="U32" i="207"/>
  <c r="W56" i="195"/>
  <c r="U56" i="223"/>
  <c r="U43" i="207"/>
  <c r="V40" i="223"/>
  <c r="V36" i="207"/>
  <c r="V60" i="223"/>
  <c r="V68" i="207"/>
  <c r="V69" i="207" s="1"/>
  <c r="T15" i="97" s="1"/>
  <c r="W41" i="195"/>
  <c r="U41" i="223"/>
  <c r="U37" i="207"/>
  <c r="V30" i="195"/>
  <c r="U30" i="223"/>
  <c r="U18" i="207"/>
  <c r="W43" i="223"/>
  <c r="W63" i="207"/>
  <c r="W18" i="195"/>
  <c r="U18" i="223"/>
  <c r="U27" i="207"/>
  <c r="V37" i="195"/>
  <c r="U37" i="223"/>
  <c r="U34" i="207"/>
  <c r="W24" i="223"/>
  <c r="W17" i="207"/>
  <c r="W42" i="195"/>
  <c r="U42" i="223"/>
  <c r="U38" i="207"/>
  <c r="W58" i="223"/>
  <c r="W52" i="207"/>
  <c r="W11" i="195"/>
  <c r="U11" i="223"/>
  <c r="U24" i="207"/>
  <c r="V44" i="223"/>
  <c r="V39" i="207"/>
  <c r="W19" i="195"/>
  <c r="U19" i="223"/>
  <c r="U28" i="207"/>
  <c r="W17" i="223"/>
  <c r="W26" i="207"/>
  <c r="W13" i="223"/>
  <c r="W47" i="207"/>
  <c r="W9" i="195"/>
  <c r="U9" i="223"/>
  <c r="U70" i="207"/>
  <c r="U76" i="207" s="1"/>
  <c r="W50" i="223"/>
  <c r="W73" i="207"/>
  <c r="T23" i="207"/>
  <c r="R8" i="97" s="1"/>
  <c r="R20" i="97" s="1"/>
  <c r="O11" i="207"/>
  <c r="M10" i="97" s="1"/>
  <c r="V35" i="223"/>
  <c r="V62" i="207"/>
  <c r="V64" i="207" s="1"/>
  <c r="T14" i="97" s="1"/>
  <c r="W20" i="223"/>
  <c r="W20" i="207"/>
  <c r="W26" i="195"/>
  <c r="U26" i="223"/>
  <c r="U49" i="207"/>
  <c r="U54" i="207" s="1"/>
  <c r="V61" i="223"/>
  <c r="V21" i="207"/>
  <c r="V62" i="195"/>
  <c r="U62" i="223"/>
  <c r="U9" i="207"/>
  <c r="W48" i="223"/>
  <c r="W51" i="207"/>
  <c r="W36" i="223"/>
  <c r="W66" i="207"/>
  <c r="W45" i="223"/>
  <c r="W72" i="207"/>
  <c r="W52" i="223"/>
  <c r="W74" i="207"/>
  <c r="O76" i="207"/>
  <c r="W31" i="223"/>
  <c r="W61" i="207"/>
  <c r="V64" i="223"/>
  <c r="V46" i="207"/>
  <c r="O23" i="207"/>
  <c r="T64" i="207"/>
  <c r="R14" i="97" s="1"/>
  <c r="U38" i="223"/>
  <c r="U57" i="207"/>
  <c r="U58" i="207" s="1"/>
  <c r="S16" i="97" s="1"/>
  <c r="W38" i="195"/>
  <c r="W25" i="195"/>
  <c r="U25" i="223"/>
  <c r="U29" i="207"/>
  <c r="W51" i="195"/>
  <c r="U51" i="223"/>
  <c r="U6" i="207"/>
  <c r="U7" i="207" s="1"/>
  <c r="S6" i="97" s="1"/>
  <c r="O48" i="207"/>
  <c r="U69" i="207"/>
  <c r="S15" i="97" s="1"/>
  <c r="W14" i="195"/>
  <c r="U14" i="223"/>
  <c r="U14" i="207"/>
  <c r="W55" i="223"/>
  <c r="W67" i="207"/>
  <c r="V12" i="223"/>
  <c r="V25" i="207"/>
  <c r="W34" i="195"/>
  <c r="U34" i="223"/>
  <c r="U33" i="207"/>
  <c r="T11" i="207"/>
  <c r="R10" i="97" s="1"/>
  <c r="U65" i="195"/>
  <c r="F5" i="69" s="1"/>
  <c r="V65" i="195" l="1"/>
  <c r="E12" i="69" s="1"/>
  <c r="U23" i="207"/>
  <c r="U65" i="223"/>
  <c r="W38" i="223"/>
  <c r="W57" i="207"/>
  <c r="W58" i="207" s="1"/>
  <c r="U16" i="97" s="1"/>
  <c r="W11" i="223"/>
  <c r="W24" i="207"/>
  <c r="O77" i="207"/>
  <c r="W54" i="223"/>
  <c r="W55" i="207"/>
  <c r="W56" i="207" s="1"/>
  <c r="U13" i="97" s="1"/>
  <c r="W15" i="223"/>
  <c r="W19" i="207"/>
  <c r="W26" i="223"/>
  <c r="W49" i="207"/>
  <c r="W54" i="207" s="1"/>
  <c r="U12" i="97" s="1"/>
  <c r="U20" i="97" s="1"/>
  <c r="W47" i="223"/>
  <c r="W41" i="207"/>
  <c r="V37" i="223"/>
  <c r="V65" i="223" s="1"/>
  <c r="V34" i="207"/>
  <c r="V48" i="207" s="1"/>
  <c r="V30" i="223"/>
  <c r="V18" i="207"/>
  <c r="V23" i="207" s="1"/>
  <c r="W29" i="223"/>
  <c r="W32" i="207"/>
  <c r="U11" i="207"/>
  <c r="S10" i="97" s="1"/>
  <c r="W51" i="223"/>
  <c r="W6" i="207"/>
  <c r="W7" i="207" s="1"/>
  <c r="U6" i="97" s="1"/>
  <c r="W19" i="223"/>
  <c r="W28" i="207"/>
  <c r="T77" i="207"/>
  <c r="W10" i="223"/>
  <c r="W71" i="207"/>
  <c r="W9" i="223"/>
  <c r="W70" i="207"/>
  <c r="W76" i="207" s="1"/>
  <c r="W46" i="223"/>
  <c r="W40" i="207"/>
  <c r="W53" i="223"/>
  <c r="W8" i="207"/>
  <c r="W11" i="207" s="1"/>
  <c r="U10" i="97" s="1"/>
  <c r="W69" i="207"/>
  <c r="U15" i="97" s="1"/>
  <c r="V62" i="223"/>
  <c r="V9" i="207"/>
  <c r="V11" i="207" s="1"/>
  <c r="T10" i="97" s="1"/>
  <c r="W42" i="223"/>
  <c r="W38" i="207"/>
  <c r="W18" i="223"/>
  <c r="W27" i="207"/>
  <c r="W41" i="223"/>
  <c r="W37" i="207"/>
  <c r="W56" i="223"/>
  <c r="W43" i="207"/>
  <c r="U64" i="207"/>
  <c r="S14" i="97" s="1"/>
  <c r="W23" i="223"/>
  <c r="W16" i="207"/>
  <c r="W14" i="223"/>
  <c r="W14" i="207"/>
  <c r="W23" i="207" s="1"/>
  <c r="U8" i="97" s="1"/>
  <c r="W25" i="223"/>
  <c r="W29" i="207"/>
  <c r="U48" i="207"/>
  <c r="U77" i="207" s="1"/>
  <c r="W21" i="223"/>
  <c r="W60" i="207"/>
  <c r="S9" i="12"/>
  <c r="W34" i="223"/>
  <c r="W33" i="207"/>
  <c r="W49" i="223"/>
  <c r="W42" i="207"/>
  <c r="W8" i="223"/>
  <c r="W59" i="207"/>
  <c r="W64" i="207" s="1"/>
  <c r="U14" i="97" s="1"/>
  <c r="W65" i="195"/>
  <c r="X124" i="194"/>
  <c r="W124" i="194"/>
  <c r="R124" i="194"/>
  <c r="Q124" i="194"/>
  <c r="N124" i="194"/>
  <c r="J124" i="194"/>
  <c r="I124" i="194"/>
  <c r="H124" i="194"/>
  <c r="G124" i="194"/>
  <c r="E124" i="194"/>
  <c r="S123" i="194"/>
  <c r="K123" i="194"/>
  <c r="L123" i="194" s="1"/>
  <c r="F123" i="194"/>
  <c r="S122" i="194"/>
  <c r="K122" i="194"/>
  <c r="L122" i="194" s="1"/>
  <c r="F122" i="194"/>
  <c r="S121" i="194"/>
  <c r="K121" i="194"/>
  <c r="L121" i="194" s="1"/>
  <c r="P121" i="194" s="1"/>
  <c r="F121" i="194"/>
  <c r="S120" i="194"/>
  <c r="K120" i="194"/>
  <c r="L120" i="194" s="1"/>
  <c r="P120" i="194" s="1"/>
  <c r="D120" i="194"/>
  <c r="F120" i="194" s="1"/>
  <c r="S119" i="194"/>
  <c r="K119" i="194"/>
  <c r="L119" i="194" s="1"/>
  <c r="P119" i="194" s="1"/>
  <c r="F119" i="194"/>
  <c r="S118" i="194"/>
  <c r="K118" i="194"/>
  <c r="L118" i="194" s="1"/>
  <c r="F118" i="194"/>
  <c r="S117" i="194"/>
  <c r="K117" i="194"/>
  <c r="L117" i="194" s="1"/>
  <c r="P117" i="194" s="1"/>
  <c r="F117" i="194"/>
  <c r="S116" i="194"/>
  <c r="K116" i="194"/>
  <c r="L116" i="194" s="1"/>
  <c r="P116" i="194" s="1"/>
  <c r="D116" i="194"/>
  <c r="S115" i="194"/>
  <c r="K115" i="194"/>
  <c r="L115" i="194" s="1"/>
  <c r="P115" i="194" s="1"/>
  <c r="F115" i="194"/>
  <c r="S114" i="194"/>
  <c r="K114" i="194"/>
  <c r="L114" i="194" s="1"/>
  <c r="F114" i="194"/>
  <c r="S113" i="194"/>
  <c r="K113" i="194"/>
  <c r="L113" i="194" s="1"/>
  <c r="P113" i="194" s="1"/>
  <c r="F113" i="194"/>
  <c r="F90" i="206" s="1"/>
  <c r="S112" i="194"/>
  <c r="K112" i="194"/>
  <c r="L112" i="194" s="1"/>
  <c r="P112" i="194" s="1"/>
  <c r="F112" i="194"/>
  <c r="F89" i="206" s="1"/>
  <c r="S111" i="194"/>
  <c r="K111" i="194"/>
  <c r="L111" i="194" s="1"/>
  <c r="F111" i="194"/>
  <c r="Z110" i="194"/>
  <c r="S110" i="194"/>
  <c r="K110" i="194"/>
  <c r="L110" i="194" s="1"/>
  <c r="P110" i="194" s="1"/>
  <c r="F110" i="194"/>
  <c r="Z109" i="194"/>
  <c r="S109" i="194"/>
  <c r="K109" i="194"/>
  <c r="L109" i="194" s="1"/>
  <c r="F109" i="194"/>
  <c r="AA106" i="194"/>
  <c r="S98" i="194"/>
  <c r="K98" i="194"/>
  <c r="L98" i="194" s="1"/>
  <c r="P98" i="194" s="1"/>
  <c r="F98" i="194"/>
  <c r="S97" i="194"/>
  <c r="K97" i="194"/>
  <c r="L97" i="194" s="1"/>
  <c r="F97" i="194"/>
  <c r="S93" i="194"/>
  <c r="K93" i="194"/>
  <c r="L93" i="194" s="1"/>
  <c r="P93" i="194" s="1"/>
  <c r="F93" i="194"/>
  <c r="S91" i="194"/>
  <c r="K91" i="194"/>
  <c r="L91" i="194" s="1"/>
  <c r="P91" i="194" s="1"/>
  <c r="F91" i="194"/>
  <c r="S88" i="194"/>
  <c r="K88" i="194"/>
  <c r="L88" i="194" s="1"/>
  <c r="F88" i="194"/>
  <c r="S87" i="194"/>
  <c r="K87" i="194"/>
  <c r="L87" i="194" s="1"/>
  <c r="P87" i="194" s="1"/>
  <c r="F87" i="194"/>
  <c r="Q86" i="194"/>
  <c r="S86" i="194" s="1"/>
  <c r="K86" i="194"/>
  <c r="L86" i="194" s="1"/>
  <c r="P86" i="194" s="1"/>
  <c r="F86" i="194"/>
  <c r="U85" i="194"/>
  <c r="V85" i="194" s="1"/>
  <c r="S85" i="194"/>
  <c r="K85" i="194"/>
  <c r="L85" i="194" s="1"/>
  <c r="F85" i="194"/>
  <c r="U84" i="194"/>
  <c r="V84" i="194" s="1"/>
  <c r="S84" i="194"/>
  <c r="K84" i="194"/>
  <c r="L84" i="194" s="1"/>
  <c r="P84" i="194" s="1"/>
  <c r="F84" i="194"/>
  <c r="S83" i="194"/>
  <c r="K83" i="194"/>
  <c r="L83" i="194" s="1"/>
  <c r="F83" i="194"/>
  <c r="S82" i="194"/>
  <c r="K82" i="194"/>
  <c r="L82" i="194" s="1"/>
  <c r="P82" i="194" s="1"/>
  <c r="F82" i="194"/>
  <c r="S81" i="194"/>
  <c r="K81" i="194"/>
  <c r="L81" i="194" s="1"/>
  <c r="P81" i="194" s="1"/>
  <c r="D81" i="194"/>
  <c r="S80" i="194"/>
  <c r="K80" i="194"/>
  <c r="L80" i="194" s="1"/>
  <c r="F80" i="194"/>
  <c r="U79" i="194"/>
  <c r="V79" i="194" s="1"/>
  <c r="S79" i="194"/>
  <c r="K79" i="194"/>
  <c r="L79" i="194" s="1"/>
  <c r="P79" i="194" s="1"/>
  <c r="E79" i="194"/>
  <c r="D79" i="194"/>
  <c r="S78" i="194"/>
  <c r="K78" i="194"/>
  <c r="L78" i="194" s="1"/>
  <c r="P78" i="194" s="1"/>
  <c r="F78" i="194"/>
  <c r="S77" i="194"/>
  <c r="K77" i="194"/>
  <c r="L77" i="194" s="1"/>
  <c r="P77" i="194" s="1"/>
  <c r="F77" i="194"/>
  <c r="S76" i="194"/>
  <c r="K76" i="194"/>
  <c r="L76" i="194" s="1"/>
  <c r="F76" i="194"/>
  <c r="S75" i="194"/>
  <c r="K75" i="194"/>
  <c r="L75" i="194" s="1"/>
  <c r="F75" i="194"/>
  <c r="S74" i="194"/>
  <c r="K74" i="194"/>
  <c r="L74" i="194" s="1"/>
  <c r="P74" i="194" s="1"/>
  <c r="F74" i="194"/>
  <c r="S72" i="194"/>
  <c r="K72" i="194"/>
  <c r="L72" i="194" s="1"/>
  <c r="F72" i="194"/>
  <c r="S71" i="194"/>
  <c r="K71" i="194"/>
  <c r="L71" i="194" s="1"/>
  <c r="P71" i="194" s="1"/>
  <c r="F71" i="194"/>
  <c r="S70" i="194"/>
  <c r="K70" i="194"/>
  <c r="L70" i="194" s="1"/>
  <c r="F70" i="194"/>
  <c r="S69" i="194"/>
  <c r="K69" i="194"/>
  <c r="L69" i="194" s="1"/>
  <c r="P69" i="194" s="1"/>
  <c r="F69" i="194"/>
  <c r="S68" i="194"/>
  <c r="K68" i="194"/>
  <c r="L68" i="194" s="1"/>
  <c r="P68" i="194" s="1"/>
  <c r="F68" i="194"/>
  <c r="Q67" i="194"/>
  <c r="S67" i="194" s="1"/>
  <c r="K67" i="194"/>
  <c r="L67" i="194" s="1"/>
  <c r="F67" i="194"/>
  <c r="S66" i="194"/>
  <c r="K66" i="194"/>
  <c r="L66" i="194" s="1"/>
  <c r="P66" i="194" s="1"/>
  <c r="F66" i="194"/>
  <c r="S65" i="194"/>
  <c r="K65" i="194"/>
  <c r="L65" i="194" s="1"/>
  <c r="P65" i="194" s="1"/>
  <c r="F65" i="194"/>
  <c r="S64" i="194"/>
  <c r="K64" i="194"/>
  <c r="L64" i="194" s="1"/>
  <c r="P64" i="194" s="1"/>
  <c r="F64" i="194"/>
  <c r="S63" i="194"/>
  <c r="K63" i="194"/>
  <c r="L63" i="194" s="1"/>
  <c r="P63" i="194" s="1"/>
  <c r="F63" i="194"/>
  <c r="S62" i="194"/>
  <c r="K62" i="194"/>
  <c r="L62" i="194" s="1"/>
  <c r="P62" i="194" s="1"/>
  <c r="S61" i="194"/>
  <c r="K61" i="194"/>
  <c r="L61" i="194" s="1"/>
  <c r="P61" i="194" s="1"/>
  <c r="F61" i="194"/>
  <c r="S60" i="194"/>
  <c r="K60" i="194"/>
  <c r="L60" i="194" s="1"/>
  <c r="P60" i="194" s="1"/>
  <c r="F60" i="194"/>
  <c r="S59" i="194"/>
  <c r="K59" i="194"/>
  <c r="L59" i="194" s="1"/>
  <c r="P59" i="194" s="1"/>
  <c r="F59" i="194"/>
  <c r="S58" i="194"/>
  <c r="K58" i="194"/>
  <c r="L58" i="194" s="1"/>
  <c r="P58" i="194" s="1"/>
  <c r="F58" i="194"/>
  <c r="S57" i="194"/>
  <c r="K57" i="194"/>
  <c r="L57" i="194" s="1"/>
  <c r="P57" i="194" s="1"/>
  <c r="F57" i="194"/>
  <c r="S56" i="194"/>
  <c r="K56" i="194"/>
  <c r="L56" i="194" s="1"/>
  <c r="P56" i="194" s="1"/>
  <c r="F56" i="194"/>
  <c r="S55" i="194"/>
  <c r="K55" i="194"/>
  <c r="L55" i="194" s="1"/>
  <c r="P55" i="194" s="1"/>
  <c r="F55" i="194"/>
  <c r="S54" i="194"/>
  <c r="K54" i="194"/>
  <c r="L54" i="194" s="1"/>
  <c r="F54" i="194"/>
  <c r="S53" i="194"/>
  <c r="K53" i="194"/>
  <c r="L53" i="194" s="1"/>
  <c r="P53" i="194" s="1"/>
  <c r="F53" i="194"/>
  <c r="S52" i="194"/>
  <c r="K52" i="194"/>
  <c r="L52" i="194" s="1"/>
  <c r="F52" i="194"/>
  <c r="S51" i="194"/>
  <c r="K51" i="194"/>
  <c r="L51" i="194" s="1"/>
  <c r="P51" i="194" s="1"/>
  <c r="F51" i="194"/>
  <c r="S50" i="194"/>
  <c r="K50" i="194"/>
  <c r="L50" i="194" s="1"/>
  <c r="P50" i="194" s="1"/>
  <c r="F50" i="194"/>
  <c r="S49" i="194"/>
  <c r="K49" i="194"/>
  <c r="L49" i="194" s="1"/>
  <c r="P49" i="194" s="1"/>
  <c r="Q48" i="194"/>
  <c r="S48" i="194" s="1"/>
  <c r="K48" i="194"/>
  <c r="L48" i="194" s="1"/>
  <c r="P48" i="194" s="1"/>
  <c r="F48" i="194"/>
  <c r="S47" i="194"/>
  <c r="K47" i="194"/>
  <c r="L47" i="194" s="1"/>
  <c r="F47" i="194"/>
  <c r="S46" i="194"/>
  <c r="K46" i="194"/>
  <c r="L46" i="194" s="1"/>
  <c r="P46" i="194" s="1"/>
  <c r="F46" i="194"/>
  <c r="S45" i="194"/>
  <c r="K45" i="194"/>
  <c r="L45" i="194" s="1"/>
  <c r="F45" i="194"/>
  <c r="S44" i="194"/>
  <c r="K44" i="194"/>
  <c r="L44" i="194" s="1"/>
  <c r="F44" i="194"/>
  <c r="S43" i="194"/>
  <c r="K43" i="194"/>
  <c r="L43" i="194" s="1"/>
  <c r="P43" i="194" s="1"/>
  <c r="F43" i="194"/>
  <c r="S42" i="194"/>
  <c r="K42" i="194"/>
  <c r="L42" i="194" s="1"/>
  <c r="P42" i="194" s="1"/>
  <c r="D42" i="194"/>
  <c r="F42" i="194" s="1"/>
  <c r="S41" i="194"/>
  <c r="K41" i="194"/>
  <c r="L41" i="194" s="1"/>
  <c r="P41" i="194" s="1"/>
  <c r="E41" i="194"/>
  <c r="D41" i="194"/>
  <c r="S40" i="194"/>
  <c r="K40" i="194"/>
  <c r="L40" i="194" s="1"/>
  <c r="F40" i="194"/>
  <c r="S39" i="194"/>
  <c r="K39" i="194"/>
  <c r="L39" i="194" s="1"/>
  <c r="D39" i="194"/>
  <c r="F39" i="194" s="1"/>
  <c r="R38" i="194"/>
  <c r="R106" i="194" s="1"/>
  <c r="K38" i="194"/>
  <c r="L38" i="194" s="1"/>
  <c r="P38" i="194" s="1"/>
  <c r="F38" i="194"/>
  <c r="S37" i="194"/>
  <c r="K37" i="194"/>
  <c r="L37" i="194" s="1"/>
  <c r="P37" i="194" s="1"/>
  <c r="F37" i="194"/>
  <c r="S36" i="194"/>
  <c r="K36" i="194"/>
  <c r="L36" i="194" s="1"/>
  <c r="P36" i="194" s="1"/>
  <c r="F36" i="194"/>
  <c r="Q35" i="194"/>
  <c r="S35" i="194" s="1"/>
  <c r="K35" i="194"/>
  <c r="L35" i="194" s="1"/>
  <c r="P35" i="194" s="1"/>
  <c r="F35" i="194"/>
  <c r="S34" i="194"/>
  <c r="K34" i="194"/>
  <c r="L34" i="194" s="1"/>
  <c r="P34" i="194" s="1"/>
  <c r="F34" i="194"/>
  <c r="S33" i="194"/>
  <c r="K33" i="194"/>
  <c r="L33" i="194" s="1"/>
  <c r="D33" i="194"/>
  <c r="F33" i="194" s="1"/>
  <c r="S32" i="194"/>
  <c r="K32" i="194"/>
  <c r="L32" i="194" s="1"/>
  <c r="P32" i="194" s="1"/>
  <c r="F32" i="194"/>
  <c r="S31" i="194"/>
  <c r="K31" i="194"/>
  <c r="L31" i="194" s="1"/>
  <c r="P31" i="194" s="1"/>
  <c r="F31" i="194"/>
  <c r="S30" i="194"/>
  <c r="K30" i="194"/>
  <c r="L30" i="194" s="1"/>
  <c r="P30" i="194" s="1"/>
  <c r="F30" i="194"/>
  <c r="Z29" i="194"/>
  <c r="S29" i="194"/>
  <c r="K29" i="194"/>
  <c r="L29" i="194" s="1"/>
  <c r="F29" i="194"/>
  <c r="S28" i="194"/>
  <c r="K28" i="194"/>
  <c r="L28" i="194" s="1"/>
  <c r="F28" i="194"/>
  <c r="Q27" i="194"/>
  <c r="Q106" i="194" s="1"/>
  <c r="K27" i="194"/>
  <c r="L27" i="194" s="1"/>
  <c r="P27" i="194" s="1"/>
  <c r="F27" i="194"/>
  <c r="S26" i="194"/>
  <c r="K26" i="194"/>
  <c r="L26" i="194" s="1"/>
  <c r="P26" i="194" s="1"/>
  <c r="F26" i="194"/>
  <c r="S25" i="194"/>
  <c r="K25" i="194"/>
  <c r="L25" i="194" s="1"/>
  <c r="P25" i="194" s="1"/>
  <c r="F25" i="194"/>
  <c r="S24" i="194"/>
  <c r="K24" i="194"/>
  <c r="L24" i="194" s="1"/>
  <c r="F24" i="194"/>
  <c r="S23" i="194"/>
  <c r="K23" i="194"/>
  <c r="L23" i="194" s="1"/>
  <c r="P23" i="194" s="1"/>
  <c r="F23" i="194"/>
  <c r="S22" i="194"/>
  <c r="K22" i="194"/>
  <c r="L22" i="194" s="1"/>
  <c r="F22" i="194"/>
  <c r="S21" i="194"/>
  <c r="K21" i="194"/>
  <c r="L21" i="194" s="1"/>
  <c r="F21" i="194"/>
  <c r="S20" i="194"/>
  <c r="K20" i="194"/>
  <c r="L20" i="194" s="1"/>
  <c r="P20" i="194" s="1"/>
  <c r="F20" i="194"/>
  <c r="S19" i="194"/>
  <c r="K19" i="194"/>
  <c r="L19" i="194" s="1"/>
  <c r="P19" i="194" s="1"/>
  <c r="E19" i="194"/>
  <c r="D19" i="194"/>
  <c r="S18" i="194"/>
  <c r="K18" i="194"/>
  <c r="L18" i="194" s="1"/>
  <c r="P18" i="194" s="1"/>
  <c r="F18" i="194"/>
  <c r="S17" i="194"/>
  <c r="K17" i="194"/>
  <c r="L17" i="194" s="1"/>
  <c r="P17" i="194" s="1"/>
  <c r="F17" i="194"/>
  <c r="S16" i="194"/>
  <c r="K16" i="194"/>
  <c r="L16" i="194" s="1"/>
  <c r="F16" i="194"/>
  <c r="S15" i="194"/>
  <c r="K15" i="194"/>
  <c r="L15" i="194" s="1"/>
  <c r="P15" i="194" s="1"/>
  <c r="F15" i="194"/>
  <c r="S14" i="194"/>
  <c r="K14" i="194"/>
  <c r="L14" i="194" s="1"/>
  <c r="F14" i="194"/>
  <c r="S13" i="194"/>
  <c r="K13" i="194"/>
  <c r="L13" i="194" s="1"/>
  <c r="F13" i="194"/>
  <c r="S12" i="194"/>
  <c r="K12" i="194"/>
  <c r="L12" i="194" s="1"/>
  <c r="P12" i="194" s="1"/>
  <c r="F12" i="194"/>
  <c r="S11" i="194"/>
  <c r="K11" i="194"/>
  <c r="L11" i="194" s="1"/>
  <c r="F11" i="194"/>
  <c r="S10" i="194"/>
  <c r="K10" i="194"/>
  <c r="L10" i="194" s="1"/>
  <c r="P10" i="194" s="1"/>
  <c r="D10" i="194"/>
  <c r="F10" i="194" s="1"/>
  <c r="S9" i="194"/>
  <c r="K9" i="194"/>
  <c r="L9" i="194" s="1"/>
  <c r="P9" i="194" s="1"/>
  <c r="D9" i="194"/>
  <c r="S8" i="194"/>
  <c r="K8" i="194"/>
  <c r="L8" i="194" s="1"/>
  <c r="P8" i="194" s="1"/>
  <c r="D8" i="194"/>
  <c r="S7" i="194"/>
  <c r="K7" i="194"/>
  <c r="L7" i="194" s="1"/>
  <c r="F7" i="194"/>
  <c r="S6" i="194"/>
  <c r="K6" i="194"/>
  <c r="F6" i="194"/>
  <c r="A6" i="194"/>
  <c r="A7" i="194" s="1"/>
  <c r="A8" i="194" s="1"/>
  <c r="A9" i="194" s="1"/>
  <c r="A10" i="194" s="1"/>
  <c r="A11" i="194" s="1"/>
  <c r="A12" i="194" s="1"/>
  <c r="A13" i="194" s="1"/>
  <c r="A14" i="194" s="1"/>
  <c r="A15" i="194" s="1"/>
  <c r="A16" i="194" s="1"/>
  <c r="A17" i="194" s="1"/>
  <c r="A18" i="194" s="1"/>
  <c r="A19" i="194" s="1"/>
  <c r="A20" i="194" s="1"/>
  <c r="A21" i="194" s="1"/>
  <c r="A22" i="194" s="1"/>
  <c r="A23" i="194" s="1"/>
  <c r="A24" i="194" s="1"/>
  <c r="A25" i="194" s="1"/>
  <c r="A26" i="194" s="1"/>
  <c r="A27" i="194" s="1"/>
  <c r="A28" i="194" s="1"/>
  <c r="A29" i="194" s="1"/>
  <c r="A30" i="194" s="1"/>
  <c r="A31" i="194" s="1"/>
  <c r="A32" i="194" s="1"/>
  <c r="A33" i="194" s="1"/>
  <c r="A34" i="194" s="1"/>
  <c r="A35" i="194" s="1"/>
  <c r="A36" i="194" s="1"/>
  <c r="A37" i="194" s="1"/>
  <c r="A38" i="194" s="1"/>
  <c r="A39" i="194" s="1"/>
  <c r="A40" i="194" s="1"/>
  <c r="A41" i="194" s="1"/>
  <c r="A42" i="194" s="1"/>
  <c r="A43" i="194" s="1"/>
  <c r="A44" i="194" s="1"/>
  <c r="A45" i="194" s="1"/>
  <c r="A46" i="194" s="1"/>
  <c r="A47" i="194" s="1"/>
  <c r="A48" i="194" s="1"/>
  <c r="A49" i="194" s="1"/>
  <c r="A50" i="194" s="1"/>
  <c r="A51" i="194" s="1"/>
  <c r="A52" i="194" s="1"/>
  <c r="A53" i="194" s="1"/>
  <c r="A54" i="194" s="1"/>
  <c r="A55" i="194" s="1"/>
  <c r="A56" i="194" s="1"/>
  <c r="A57" i="194" s="1"/>
  <c r="A58" i="194" s="1"/>
  <c r="A59" i="194" s="1"/>
  <c r="A60" i="194" s="1"/>
  <c r="A61" i="194" s="1"/>
  <c r="A62" i="194" s="1"/>
  <c r="A63" i="194" s="1"/>
  <c r="A64" i="194" s="1"/>
  <c r="A65" i="194" s="1"/>
  <c r="A66" i="194" s="1"/>
  <c r="A67" i="194" s="1"/>
  <c r="A68" i="194" s="1"/>
  <c r="A69" i="194" s="1"/>
  <c r="A70" i="194" s="1"/>
  <c r="A71" i="194" s="1"/>
  <c r="A72" i="194" s="1"/>
  <c r="A73" i="194" s="1"/>
  <c r="A74" i="194" s="1"/>
  <c r="A75" i="194" s="1"/>
  <c r="F98" i="206" l="1"/>
  <c r="D11" i="97" s="1"/>
  <c r="F60" i="222"/>
  <c r="F106" i="222" s="1"/>
  <c r="F126" i="222" s="1"/>
  <c r="F42" i="206"/>
  <c r="F67" i="206" s="1"/>
  <c r="F133" i="206" s="1"/>
  <c r="T9" i="12"/>
  <c r="V77" i="207"/>
  <c r="W65" i="223"/>
  <c r="W48" i="207"/>
  <c r="U11" i="97" s="1"/>
  <c r="U9" i="12"/>
  <c r="E13" i="69"/>
  <c r="D106" i="194"/>
  <c r="E106" i="194"/>
  <c r="L6" i="194"/>
  <c r="L106" i="194" s="1"/>
  <c r="K106" i="194"/>
  <c r="M5" i="44"/>
  <c r="Z106" i="194"/>
  <c r="M69" i="194"/>
  <c r="E126" i="194"/>
  <c r="A76" i="194"/>
  <c r="A77" i="194" s="1"/>
  <c r="A78" i="194" s="1"/>
  <c r="A79" i="194" s="1"/>
  <c r="A80" i="194" s="1"/>
  <c r="A81" i="194" s="1"/>
  <c r="A82" i="194" s="1"/>
  <c r="A83" i="194" s="1"/>
  <c r="A84" i="194" s="1"/>
  <c r="A85" i="194" s="1"/>
  <c r="A86" i="194" s="1"/>
  <c r="A87" i="194" s="1"/>
  <c r="A88" i="194" s="1"/>
  <c r="A89" i="194" s="1"/>
  <c r="A90" i="194" s="1"/>
  <c r="A91" i="194" s="1"/>
  <c r="A92" i="194" s="1"/>
  <c r="A93" i="194" s="1"/>
  <c r="M59" i="194"/>
  <c r="O59" i="194" s="1"/>
  <c r="B5" i="44"/>
  <c r="M10" i="194"/>
  <c r="O10" i="194" s="1"/>
  <c r="M46" i="194"/>
  <c r="O46" i="194" s="1"/>
  <c r="U86" i="194"/>
  <c r="W86" i="194" s="1"/>
  <c r="M56" i="194"/>
  <c r="O56" i="194" s="1"/>
  <c r="M61" i="194"/>
  <c r="O61" i="194" s="1"/>
  <c r="M30" i="194"/>
  <c r="T30" i="194" s="1"/>
  <c r="U30" i="194" s="1"/>
  <c r="V30" i="194" s="1"/>
  <c r="M9" i="194"/>
  <c r="O9" i="194" s="1"/>
  <c r="M20" i="194"/>
  <c r="T20" i="194" s="1"/>
  <c r="U20" i="194" s="1"/>
  <c r="V20" i="194" s="1"/>
  <c r="M25" i="194"/>
  <c r="O25" i="194" s="1"/>
  <c r="M23" i="194"/>
  <c r="T23" i="194" s="1"/>
  <c r="U23" i="194" s="1"/>
  <c r="V23" i="194" s="1"/>
  <c r="M82" i="194"/>
  <c r="T82" i="194" s="1"/>
  <c r="U82" i="194" s="1"/>
  <c r="V82" i="194" s="1"/>
  <c r="F79" i="194"/>
  <c r="M121" i="194"/>
  <c r="T121" i="194" s="1"/>
  <c r="U121" i="194" s="1"/>
  <c r="Y121" i="194" s="1"/>
  <c r="M84" i="194"/>
  <c r="O84" i="194" s="1"/>
  <c r="M86" i="194"/>
  <c r="O86" i="194" s="1"/>
  <c r="S124" i="194"/>
  <c r="H126" i="194"/>
  <c r="M18" i="194"/>
  <c r="O18" i="194" s="1"/>
  <c r="Z124" i="194"/>
  <c r="N126" i="194"/>
  <c r="L8" i="12" s="1"/>
  <c r="I126" i="194"/>
  <c r="M34" i="194"/>
  <c r="T34" i="194" s="1"/>
  <c r="U34" i="194" s="1"/>
  <c r="V34" i="194" s="1"/>
  <c r="M64" i="194"/>
  <c r="O64" i="194" s="1"/>
  <c r="M43" i="194"/>
  <c r="T43" i="194" s="1"/>
  <c r="U43" i="194" s="1"/>
  <c r="V43" i="194" s="1"/>
  <c r="O69" i="194"/>
  <c r="G126" i="194"/>
  <c r="M110" i="194"/>
  <c r="O110" i="194" s="1"/>
  <c r="M77" i="194"/>
  <c r="O77" i="194" s="1"/>
  <c r="M17" i="194"/>
  <c r="O17" i="194" s="1"/>
  <c r="M36" i="194"/>
  <c r="T36" i="194" s="1"/>
  <c r="U36" i="194" s="1"/>
  <c r="V36" i="194" s="1"/>
  <c r="M79" i="194"/>
  <c r="O79" i="194" s="1"/>
  <c r="M87" i="194"/>
  <c r="O87" i="194" s="1"/>
  <c r="J126" i="194"/>
  <c r="P28" i="194"/>
  <c r="M12" i="194"/>
  <c r="O12" i="194" s="1"/>
  <c r="P13" i="194"/>
  <c r="M49" i="194"/>
  <c r="T49" i="194" s="1"/>
  <c r="U49" i="194" s="1"/>
  <c r="V49" i="194" s="1"/>
  <c r="P85" i="194"/>
  <c r="M85" i="194" s="1"/>
  <c r="O85" i="194" s="1"/>
  <c r="P33" i="194"/>
  <c r="M74" i="194"/>
  <c r="O74" i="194" s="1"/>
  <c r="P6" i="194"/>
  <c r="F9" i="194"/>
  <c r="M19" i="194"/>
  <c r="T19" i="194" s="1"/>
  <c r="U19" i="194" s="1"/>
  <c r="V19" i="194" s="1"/>
  <c r="Q126" i="194"/>
  <c r="S27" i="194"/>
  <c r="M27" i="194" s="1"/>
  <c r="P39" i="194"/>
  <c r="M51" i="194"/>
  <c r="O51" i="194" s="1"/>
  <c r="P16" i="194"/>
  <c r="M48" i="194"/>
  <c r="O48" i="194" s="1"/>
  <c r="P80" i="194"/>
  <c r="P123" i="194"/>
  <c r="M15" i="194"/>
  <c r="O15" i="194" s="1"/>
  <c r="P24" i="194"/>
  <c r="M32" i="194"/>
  <c r="O32" i="194" s="1"/>
  <c r="M53" i="194"/>
  <c r="O53" i="194" s="1"/>
  <c r="M58" i="194"/>
  <c r="O58" i="194" s="1"/>
  <c r="M65" i="194"/>
  <c r="O65" i="194" s="1"/>
  <c r="M62" i="194"/>
  <c r="T62" i="194" s="1"/>
  <c r="U62" i="194" s="1"/>
  <c r="T10" i="194"/>
  <c r="U10" i="194" s="1"/>
  <c r="V10" i="194" s="1"/>
  <c r="P29" i="194"/>
  <c r="P70" i="194"/>
  <c r="M115" i="194"/>
  <c r="O115" i="194" s="1"/>
  <c r="M31" i="194"/>
  <c r="O31" i="194" s="1"/>
  <c r="P22" i="194"/>
  <c r="T9" i="194"/>
  <c r="U9" i="194" s="1"/>
  <c r="V9" i="194" s="1"/>
  <c r="P14" i="194"/>
  <c r="P47" i="194"/>
  <c r="P67" i="194"/>
  <c r="P72" i="194"/>
  <c r="P97" i="194"/>
  <c r="P11" i="194"/>
  <c r="M35" i="194"/>
  <c r="T35" i="194" s="1"/>
  <c r="U35" i="194" s="1"/>
  <c r="V35" i="194" s="1"/>
  <c r="M57" i="194"/>
  <c r="O57" i="194" s="1"/>
  <c r="P109" i="194"/>
  <c r="L124" i="194"/>
  <c r="M37" i="194"/>
  <c r="O37" i="194" s="1"/>
  <c r="P21" i="194"/>
  <c r="M26" i="194"/>
  <c r="O26" i="194" s="1"/>
  <c r="P40" i="194"/>
  <c r="M8" i="194"/>
  <c r="O8" i="194" s="1"/>
  <c r="P7" i="194"/>
  <c r="F19" i="194"/>
  <c r="F41" i="194"/>
  <c r="P54" i="194"/>
  <c r="P75" i="194"/>
  <c r="P88" i="194"/>
  <c r="M113" i="194"/>
  <c r="O113" i="194" s="1"/>
  <c r="R126" i="194"/>
  <c r="S38" i="194"/>
  <c r="M38" i="194" s="1"/>
  <c r="T38" i="194" s="1"/>
  <c r="U38" i="194" s="1"/>
  <c r="P118" i="194"/>
  <c r="P122" i="194"/>
  <c r="F62" i="194"/>
  <c r="F81" i="194"/>
  <c r="P83" i="194"/>
  <c r="M93" i="194"/>
  <c r="O93" i="194" s="1"/>
  <c r="M112" i="194"/>
  <c r="O112" i="194" s="1"/>
  <c r="D124" i="194"/>
  <c r="F116" i="194"/>
  <c r="F124" i="194" s="1"/>
  <c r="M119" i="194"/>
  <c r="O119" i="194" s="1"/>
  <c r="K124" i="194"/>
  <c r="X126" i="194"/>
  <c r="M71" i="194"/>
  <c r="O71" i="194" s="1"/>
  <c r="M98" i="194"/>
  <c r="O98" i="194" s="1"/>
  <c r="P111" i="194"/>
  <c r="M55" i="194"/>
  <c r="O55" i="194" s="1"/>
  <c r="M41" i="194"/>
  <c r="O41" i="194" s="1"/>
  <c r="M42" i="194"/>
  <c r="T42" i="194" s="1"/>
  <c r="U42" i="194" s="1"/>
  <c r="V42" i="194" s="1"/>
  <c r="P44" i="194"/>
  <c r="P45" i="194"/>
  <c r="T46" i="194"/>
  <c r="U46" i="194" s="1"/>
  <c r="V46" i="194" s="1"/>
  <c r="M66" i="194"/>
  <c r="O66" i="194" s="1"/>
  <c r="M68" i="194"/>
  <c r="O68" i="194" s="1"/>
  <c r="P76" i="194"/>
  <c r="F8" i="194"/>
  <c r="F49" i="194"/>
  <c r="P52" i="194"/>
  <c r="M63" i="194"/>
  <c r="O63" i="194" s="1"/>
  <c r="M78" i="194"/>
  <c r="T78" i="194" s="1"/>
  <c r="U78" i="194" s="1"/>
  <c r="V78" i="194" s="1"/>
  <c r="M81" i="194"/>
  <c r="T81" i="194" s="1"/>
  <c r="U81" i="194" s="1"/>
  <c r="V81" i="194" s="1"/>
  <c r="M91" i="194"/>
  <c r="O91" i="194" s="1"/>
  <c r="M116" i="194"/>
  <c r="O116" i="194" s="1"/>
  <c r="M117" i="194"/>
  <c r="O117" i="194" s="1"/>
  <c r="O20" i="194"/>
  <c r="M50" i="194"/>
  <c r="T59" i="194"/>
  <c r="U59" i="194" s="1"/>
  <c r="M60" i="194"/>
  <c r="T60" i="194" s="1"/>
  <c r="U60" i="194" s="1"/>
  <c r="V60" i="194" s="1"/>
  <c r="P114" i="194"/>
  <c r="M120" i="194"/>
  <c r="T120" i="194" s="1"/>
  <c r="U120" i="194" s="1"/>
  <c r="O113" i="222" l="1"/>
  <c r="O90" i="206"/>
  <c r="O112" i="222"/>
  <c r="O89" i="206"/>
  <c r="O87" i="222"/>
  <c r="O47" i="206"/>
  <c r="V62" i="194"/>
  <c r="U62" i="222"/>
  <c r="U79" i="206"/>
  <c r="V38" i="194"/>
  <c r="U38" i="222"/>
  <c r="U101" i="206"/>
  <c r="O37" i="222"/>
  <c r="O110" i="206"/>
  <c r="O117" i="222"/>
  <c r="O94" i="206"/>
  <c r="O115" i="222"/>
  <c r="O124" i="222" s="1"/>
  <c r="O92" i="206"/>
  <c r="W77" i="207"/>
  <c r="V59" i="194"/>
  <c r="U59" i="222"/>
  <c r="U41" i="206"/>
  <c r="O59" i="222"/>
  <c r="O41" i="206"/>
  <c r="F106" i="194"/>
  <c r="F126" i="194" s="1"/>
  <c r="D8" i="12" s="1"/>
  <c r="W106" i="194"/>
  <c r="W126" i="194" s="1"/>
  <c r="S106" i="194"/>
  <c r="P106" i="194"/>
  <c r="A94" i="194"/>
  <c r="A95" i="194" s="1"/>
  <c r="A96" i="194" s="1"/>
  <c r="A97" i="194" s="1"/>
  <c r="A98" i="194" s="1"/>
  <c r="A99" i="194" s="1"/>
  <c r="A100" i="194" s="1"/>
  <c r="A101" i="194" s="1"/>
  <c r="A102" i="194" s="1"/>
  <c r="A103" i="194" s="1"/>
  <c r="A104" i="194" s="1"/>
  <c r="A105" i="194" s="1"/>
  <c r="A109" i="194" s="1"/>
  <c r="T18" i="194"/>
  <c r="U18" i="194" s="1"/>
  <c r="V18" i="194" s="1"/>
  <c r="O30" i="194"/>
  <c r="O82" i="194"/>
  <c r="T110" i="194"/>
  <c r="U110" i="194" s="1"/>
  <c r="Y110" i="194" s="1"/>
  <c r="T61" i="194"/>
  <c r="U61" i="194" s="1"/>
  <c r="V61" i="194" s="1"/>
  <c r="T112" i="194"/>
  <c r="U112" i="194" s="1"/>
  <c r="Y112" i="194" s="1"/>
  <c r="O121" i="194"/>
  <c r="O19" i="194"/>
  <c r="T93" i="194"/>
  <c r="U93" i="194" s="1"/>
  <c r="V93" i="194" s="1"/>
  <c r="T25" i="194"/>
  <c r="U25" i="194" s="1"/>
  <c r="V25" i="194" s="1"/>
  <c r="T87" i="194"/>
  <c r="U87" i="194" s="1"/>
  <c r="T63" i="194"/>
  <c r="U63" i="194" s="1"/>
  <c r="V63" i="194" s="1"/>
  <c r="T69" i="194"/>
  <c r="U69" i="194" s="1"/>
  <c r="V69" i="194" s="1"/>
  <c r="O23" i="194"/>
  <c r="T56" i="194"/>
  <c r="U56" i="194" s="1"/>
  <c r="V56" i="194" s="1"/>
  <c r="O35" i="194"/>
  <c r="T12" i="194"/>
  <c r="U12" i="194" s="1"/>
  <c r="V12" i="194" s="1"/>
  <c r="T77" i="194"/>
  <c r="U77" i="194" s="1"/>
  <c r="V77" i="194" s="1"/>
  <c r="Z126" i="194"/>
  <c r="Q5" i="44" s="1"/>
  <c r="O34" i="194"/>
  <c r="T17" i="194"/>
  <c r="U17" i="194" s="1"/>
  <c r="V17" i="194" s="1"/>
  <c r="O43" i="194"/>
  <c r="T51" i="194"/>
  <c r="U51" i="194" s="1"/>
  <c r="V51" i="194" s="1"/>
  <c r="AK120" i="180"/>
  <c r="K126" i="194"/>
  <c r="L127" i="194" s="1"/>
  <c r="O38" i="194"/>
  <c r="T64" i="194"/>
  <c r="U64" i="194" s="1"/>
  <c r="V64" i="194" s="1"/>
  <c r="T58" i="194"/>
  <c r="U58" i="194" s="1"/>
  <c r="V58" i="194" s="1"/>
  <c r="T68" i="194"/>
  <c r="U68" i="194" s="1"/>
  <c r="V68" i="194" s="1"/>
  <c r="T41" i="194"/>
  <c r="U41" i="194" s="1"/>
  <c r="V41" i="194" s="1"/>
  <c r="T98" i="194"/>
  <c r="U98" i="194" s="1"/>
  <c r="V98" i="194" s="1"/>
  <c r="T65" i="194"/>
  <c r="U65" i="194" s="1"/>
  <c r="V65" i="194" s="1"/>
  <c r="S126" i="194"/>
  <c r="T74" i="194"/>
  <c r="U74" i="194" s="1"/>
  <c r="V74" i="194" s="1"/>
  <c r="T66" i="194"/>
  <c r="U66" i="194" s="1"/>
  <c r="V66" i="194" s="1"/>
  <c r="D126" i="194"/>
  <c r="B8" i="12" s="1"/>
  <c r="O78" i="194"/>
  <c r="T55" i="194"/>
  <c r="U55" i="194" s="1"/>
  <c r="V55" i="194" s="1"/>
  <c r="O120" i="194"/>
  <c r="T117" i="194"/>
  <c r="U117" i="194" s="1"/>
  <c r="T119" i="194"/>
  <c r="U119" i="194" s="1"/>
  <c r="Y119" i="194" s="1"/>
  <c r="T48" i="194"/>
  <c r="U48" i="194" s="1"/>
  <c r="V48" i="194" s="1"/>
  <c r="L126" i="194"/>
  <c r="P127" i="194" s="1"/>
  <c r="O60" i="194"/>
  <c r="O49" i="194"/>
  <c r="O36" i="194"/>
  <c r="T31" i="194"/>
  <c r="U31" i="194" s="1"/>
  <c r="V31" i="194" s="1"/>
  <c r="T27" i="194"/>
  <c r="U27" i="194" s="1"/>
  <c r="O27" i="194"/>
  <c r="M52" i="194"/>
  <c r="O52" i="194" s="1"/>
  <c r="M83" i="194"/>
  <c r="O83" i="194" s="1"/>
  <c r="T113" i="194"/>
  <c r="U113" i="194" s="1"/>
  <c r="Y113" i="194" s="1"/>
  <c r="M21" i="194"/>
  <c r="O21" i="194" s="1"/>
  <c r="P124" i="194"/>
  <c r="M109" i="194"/>
  <c r="T109" i="194" s="1"/>
  <c r="M47" i="194"/>
  <c r="O47" i="194" s="1"/>
  <c r="T71" i="194"/>
  <c r="U71" i="194" s="1"/>
  <c r="V71" i="194" s="1"/>
  <c r="T8" i="194"/>
  <c r="U8" i="194" s="1"/>
  <c r="V8" i="194" s="1"/>
  <c r="M97" i="194"/>
  <c r="O97" i="194" s="1"/>
  <c r="T53" i="194"/>
  <c r="U53" i="194" s="1"/>
  <c r="V53" i="194" s="1"/>
  <c r="T116" i="194"/>
  <c r="U116" i="194" s="1"/>
  <c r="O62" i="194"/>
  <c r="M122" i="194"/>
  <c r="O122" i="194" s="1"/>
  <c r="O81" i="194"/>
  <c r="M40" i="194"/>
  <c r="O40" i="194" s="1"/>
  <c r="T57" i="194"/>
  <c r="U57" i="194" s="1"/>
  <c r="V57" i="194" s="1"/>
  <c r="T115" i="194"/>
  <c r="U115" i="194" s="1"/>
  <c r="T32" i="194"/>
  <c r="U32" i="194" s="1"/>
  <c r="V32" i="194" s="1"/>
  <c r="M123" i="194"/>
  <c r="O123" i="194" s="1"/>
  <c r="M13" i="194"/>
  <c r="O13" i="194" s="1"/>
  <c r="M88" i="194"/>
  <c r="O88" i="194" s="1"/>
  <c r="M118" i="194"/>
  <c r="O118" i="194" s="1"/>
  <c r="M22" i="194"/>
  <c r="O22" i="194" s="1"/>
  <c r="M111" i="194"/>
  <c r="O111" i="194" s="1"/>
  <c r="M80" i="194"/>
  <c r="O80" i="194" s="1"/>
  <c r="M33" i="194"/>
  <c r="O33" i="194" s="1"/>
  <c r="Y120" i="194"/>
  <c r="V120" i="194" s="1"/>
  <c r="M75" i="194"/>
  <c r="O75" i="194" s="1"/>
  <c r="M14" i="194"/>
  <c r="O14" i="194" s="1"/>
  <c r="M6" i="194"/>
  <c r="M70" i="194"/>
  <c r="O70" i="194" s="1"/>
  <c r="M24" i="194"/>
  <c r="O24" i="194" s="1"/>
  <c r="M39" i="194"/>
  <c r="O39" i="194" s="1"/>
  <c r="O42" i="194"/>
  <c r="O50" i="194"/>
  <c r="T50" i="194"/>
  <c r="U50" i="194" s="1"/>
  <c r="V50" i="194" s="1"/>
  <c r="M72" i="194"/>
  <c r="O72" i="194" s="1"/>
  <c r="M45" i="194"/>
  <c r="O45" i="194" s="1"/>
  <c r="M114" i="194"/>
  <c r="O114" i="194" s="1"/>
  <c r="T91" i="194"/>
  <c r="U91" i="194" s="1"/>
  <c r="V91" i="194" s="1"/>
  <c r="M76" i="194"/>
  <c r="O76" i="194" s="1"/>
  <c r="M44" i="194"/>
  <c r="O44" i="194" s="1"/>
  <c r="M7" i="194"/>
  <c r="O7" i="194" s="1"/>
  <c r="T26" i="194"/>
  <c r="U26" i="194" s="1"/>
  <c r="V26" i="194" s="1"/>
  <c r="M67" i="194"/>
  <c r="O67" i="194" s="1"/>
  <c r="T15" i="194"/>
  <c r="U15" i="194" s="1"/>
  <c r="V15" i="194" s="1"/>
  <c r="M54" i="194"/>
  <c r="O54" i="194" s="1"/>
  <c r="T37" i="194"/>
  <c r="U37" i="194" s="1"/>
  <c r="M11" i="194"/>
  <c r="O11" i="194" s="1"/>
  <c r="M29" i="194"/>
  <c r="O29" i="194" s="1"/>
  <c r="M16" i="194"/>
  <c r="O16" i="194" s="1"/>
  <c r="M28" i="194"/>
  <c r="O28" i="194" s="1"/>
  <c r="O60" i="222" l="1"/>
  <c r="O42" i="206"/>
  <c r="V87" i="194"/>
  <c r="U87" i="222"/>
  <c r="U47" i="206"/>
  <c r="O80" i="222"/>
  <c r="O118" i="206"/>
  <c r="O120" i="206" s="1"/>
  <c r="M13" i="97" s="1"/>
  <c r="O62" i="222"/>
  <c r="O79" i="206"/>
  <c r="V62" i="222"/>
  <c r="V79" i="206"/>
  <c r="O38" i="222"/>
  <c r="O101" i="206"/>
  <c r="V38" i="222"/>
  <c r="V101" i="206"/>
  <c r="V37" i="194"/>
  <c r="U37" i="222"/>
  <c r="U110" i="206"/>
  <c r="V27" i="194"/>
  <c r="U27" i="222"/>
  <c r="U29" i="206"/>
  <c r="O27" i="222"/>
  <c r="O29" i="206"/>
  <c r="O16" i="222"/>
  <c r="O22" i="206"/>
  <c r="O11" i="222"/>
  <c r="O18" i="206"/>
  <c r="Y117" i="194"/>
  <c r="U117" i="222"/>
  <c r="U94" i="206"/>
  <c r="Y115" i="194"/>
  <c r="U115" i="222"/>
  <c r="U124" i="222" s="1"/>
  <c r="U92" i="206"/>
  <c r="V59" i="222"/>
  <c r="V41" i="206"/>
  <c r="O54" i="222"/>
  <c r="O78" i="206"/>
  <c r="O98" i="206" s="1"/>
  <c r="M11" i="97" s="1"/>
  <c r="O39" i="222"/>
  <c r="O102" i="206"/>
  <c r="O117" i="206" s="1"/>
  <c r="M12" i="97" s="1"/>
  <c r="O29" i="222"/>
  <c r="O106" i="222" s="1"/>
  <c r="O126" i="222" s="1"/>
  <c r="O31" i="206"/>
  <c r="O67" i="206" s="1"/>
  <c r="T6" i="194"/>
  <c r="M106" i="194"/>
  <c r="T118" i="194"/>
  <c r="U118" i="194" s="1"/>
  <c r="Y118" i="194" s="1"/>
  <c r="V118" i="194" s="1"/>
  <c r="T16" i="194"/>
  <c r="U16" i="194" s="1"/>
  <c r="T24" i="194"/>
  <c r="U24" i="194" s="1"/>
  <c r="V24" i="194" s="1"/>
  <c r="T14" i="194"/>
  <c r="U14" i="194" s="1"/>
  <c r="V14" i="194" s="1"/>
  <c r="V119" i="194"/>
  <c r="T97" i="194"/>
  <c r="U97" i="194" s="1"/>
  <c r="V97" i="194" s="1"/>
  <c r="T44" i="194"/>
  <c r="U44" i="194" s="1"/>
  <c r="V44" i="194" s="1"/>
  <c r="T83" i="194"/>
  <c r="U83" i="194" s="1"/>
  <c r="V83" i="194" s="1"/>
  <c r="T123" i="194"/>
  <c r="U123" i="194" s="1"/>
  <c r="Y123" i="194" s="1"/>
  <c r="V123" i="194" s="1"/>
  <c r="T114" i="194"/>
  <c r="U114" i="194" s="1"/>
  <c r="Y114" i="194" s="1"/>
  <c r="T70" i="194"/>
  <c r="U70" i="194" s="1"/>
  <c r="V70" i="194" s="1"/>
  <c r="T21" i="194"/>
  <c r="U21" i="194" s="1"/>
  <c r="V21" i="194" s="1"/>
  <c r="T22" i="194"/>
  <c r="U22" i="194" s="1"/>
  <c r="V22" i="194" s="1"/>
  <c r="T7" i="194"/>
  <c r="U7" i="194" s="1"/>
  <c r="V7" i="194" s="1"/>
  <c r="T72" i="194"/>
  <c r="U72" i="194" s="1"/>
  <c r="V72" i="194" s="1"/>
  <c r="T75" i="194"/>
  <c r="U75" i="194" s="1"/>
  <c r="V75" i="194" s="1"/>
  <c r="T13" i="194"/>
  <c r="U13" i="194" s="1"/>
  <c r="V13" i="194" s="1"/>
  <c r="U109" i="194"/>
  <c r="Y116" i="194"/>
  <c r="V116" i="194" s="1"/>
  <c r="T54" i="194"/>
  <c r="U54" i="194" s="1"/>
  <c r="T80" i="194"/>
  <c r="U80" i="194" s="1"/>
  <c r="T11" i="194"/>
  <c r="U11" i="194" s="1"/>
  <c r="T122" i="194"/>
  <c r="U122" i="194" s="1"/>
  <c r="M124" i="194"/>
  <c r="O109" i="194"/>
  <c r="O124" i="194" s="1"/>
  <c r="T52" i="194"/>
  <c r="U52" i="194" s="1"/>
  <c r="V52" i="194" s="1"/>
  <c r="T39" i="194"/>
  <c r="U39" i="194" s="1"/>
  <c r="T33" i="194"/>
  <c r="U33" i="194" s="1"/>
  <c r="V33" i="194" s="1"/>
  <c r="T29" i="194"/>
  <c r="U29" i="194" s="1"/>
  <c r="T40" i="194"/>
  <c r="U40" i="194" s="1"/>
  <c r="V40" i="194" s="1"/>
  <c r="T47" i="194"/>
  <c r="U47" i="194" s="1"/>
  <c r="V47" i="194" s="1"/>
  <c r="T28" i="194"/>
  <c r="U28" i="194" s="1"/>
  <c r="V28" i="194" s="1"/>
  <c r="O6" i="194"/>
  <c r="O106" i="194" s="1"/>
  <c r="T111" i="194"/>
  <c r="U111" i="194" s="1"/>
  <c r="Y111" i="194" s="1"/>
  <c r="P126" i="194"/>
  <c r="T67" i="194"/>
  <c r="U67" i="194" s="1"/>
  <c r="V67" i="194" s="1"/>
  <c r="T76" i="194"/>
  <c r="U76" i="194" s="1"/>
  <c r="V76" i="194" s="1"/>
  <c r="T45" i="194"/>
  <c r="U45" i="194" s="1"/>
  <c r="V45" i="194" s="1"/>
  <c r="U6" i="194"/>
  <c r="T88" i="194"/>
  <c r="U88" i="194" s="1"/>
  <c r="V88" i="194" s="1"/>
  <c r="V87" i="222" l="1"/>
  <c r="V47" i="206"/>
  <c r="V80" i="194"/>
  <c r="U80" i="222"/>
  <c r="U118" i="206"/>
  <c r="U120" i="206" s="1"/>
  <c r="S13" i="97" s="1"/>
  <c r="V37" i="222"/>
  <c r="V110" i="206"/>
  <c r="V27" i="222"/>
  <c r="V29" i="206"/>
  <c r="V16" i="194"/>
  <c r="U16" i="222"/>
  <c r="U22" i="206"/>
  <c r="V11" i="194"/>
  <c r="U11" i="222"/>
  <c r="U18" i="206"/>
  <c r="V117" i="194"/>
  <c r="Y117" i="222"/>
  <c r="Y94" i="206"/>
  <c r="Y115" i="222"/>
  <c r="Y124" i="222" s="1"/>
  <c r="Y126" i="222" s="1"/>
  <c r="Y92" i="206"/>
  <c r="Y98" i="206" s="1"/>
  <c r="V54" i="194"/>
  <c r="U54" i="222"/>
  <c r="U78" i="206"/>
  <c r="U98" i="206" s="1"/>
  <c r="S11" i="97" s="1"/>
  <c r="V39" i="194"/>
  <c r="U39" i="222"/>
  <c r="U102" i="206"/>
  <c r="U117" i="206" s="1"/>
  <c r="S12" i="97" s="1"/>
  <c r="V29" i="194"/>
  <c r="U29" i="222"/>
  <c r="U106" i="222" s="1"/>
  <c r="U126" i="222" s="1"/>
  <c r="U31" i="206"/>
  <c r="O133" i="206"/>
  <c r="U106" i="194"/>
  <c r="E9" i="99" s="1"/>
  <c r="T106" i="194"/>
  <c r="A110" i="194"/>
  <c r="A111" i="194" s="1"/>
  <c r="T124" i="194"/>
  <c r="M126" i="194"/>
  <c r="Y109" i="194"/>
  <c r="U124" i="194"/>
  <c r="E8" i="99" s="1"/>
  <c r="V6" i="194"/>
  <c r="O126" i="194"/>
  <c r="M8" i="12" s="1"/>
  <c r="Y122" i="194"/>
  <c r="V122" i="194" s="1"/>
  <c r="V80" i="222" l="1"/>
  <c r="V118" i="206"/>
  <c r="V120" i="206" s="1"/>
  <c r="T13" i="97" s="1"/>
  <c r="V106" i="194"/>
  <c r="V16" i="222"/>
  <c r="V22" i="206"/>
  <c r="U67" i="206"/>
  <c r="V11" i="222"/>
  <c r="V18" i="206"/>
  <c r="V124" i="194"/>
  <c r="V117" i="222"/>
  <c r="V124" i="222" s="1"/>
  <c r="V94" i="206"/>
  <c r="Y133" i="206"/>
  <c r="W11" i="97"/>
  <c r="V54" i="222"/>
  <c r="V78" i="206"/>
  <c r="V98" i="206" s="1"/>
  <c r="T11" i="97" s="1"/>
  <c r="V39" i="222"/>
  <c r="V102" i="206"/>
  <c r="V117" i="206" s="1"/>
  <c r="T12" i="97" s="1"/>
  <c r="V29" i="222"/>
  <c r="V106" i="222" s="1"/>
  <c r="V126" i="222" s="1"/>
  <c r="V31" i="206"/>
  <c r="V67" i="206" s="1"/>
  <c r="A112" i="194"/>
  <c r="A113" i="194" s="1"/>
  <c r="A114" i="194" s="1"/>
  <c r="A115" i="194" s="1"/>
  <c r="A116" i="194" s="1"/>
  <c r="A117" i="194" s="1"/>
  <c r="A118" i="194" s="1"/>
  <c r="A119" i="194" s="1"/>
  <c r="A120" i="194" s="1"/>
  <c r="A121" i="194" s="1"/>
  <c r="A122" i="194" s="1"/>
  <c r="A123" i="194" s="1"/>
  <c r="A126" i="194" s="1"/>
  <c r="T126" i="194"/>
  <c r="U126" i="194"/>
  <c r="S8" i="12" s="1"/>
  <c r="Y124" i="194"/>
  <c r="Y126" i="194" s="1"/>
  <c r="V126" i="194" l="1"/>
  <c r="T8" i="12" s="1"/>
  <c r="U133" i="206"/>
  <c r="E15" i="68"/>
  <c r="W8" i="12"/>
  <c r="V133" i="206"/>
  <c r="M127" i="194"/>
  <c r="U127" i="194"/>
  <c r="F5" i="68" s="1"/>
  <c r="E12" i="68" l="1"/>
  <c r="AK109" i="179"/>
  <c r="AK108" i="179"/>
  <c r="AK110" i="179" l="1"/>
  <c r="S81" i="193"/>
  <c r="K81" i="193"/>
  <c r="K87" i="193" s="1"/>
  <c r="F81" i="193"/>
  <c r="S80" i="193"/>
  <c r="L80" i="193"/>
  <c r="F80" i="193"/>
  <c r="S79" i="193"/>
  <c r="L79" i="193"/>
  <c r="F79" i="193"/>
  <c r="S78" i="193"/>
  <c r="L78" i="193"/>
  <c r="P78" i="193" s="1"/>
  <c r="F78" i="193"/>
  <c r="S77" i="193"/>
  <c r="L77" i="193"/>
  <c r="F77" i="193"/>
  <c r="S76" i="193"/>
  <c r="L76" i="193"/>
  <c r="P76" i="193" s="1"/>
  <c r="F76" i="193"/>
  <c r="S75" i="193"/>
  <c r="L75" i="193"/>
  <c r="F75" i="193"/>
  <c r="S74" i="193"/>
  <c r="L74" i="193"/>
  <c r="G74" i="193"/>
  <c r="F74" i="193"/>
  <c r="S73" i="193"/>
  <c r="L73" i="193"/>
  <c r="P73" i="193" s="1"/>
  <c r="F73" i="193"/>
  <c r="S72" i="193"/>
  <c r="L72" i="193"/>
  <c r="F72" i="193"/>
  <c r="S71" i="193"/>
  <c r="L71" i="193"/>
  <c r="P71" i="193" s="1"/>
  <c r="F71" i="193"/>
  <c r="S70" i="193"/>
  <c r="L70" i="193"/>
  <c r="F70" i="193"/>
  <c r="S69" i="193"/>
  <c r="L69" i="193"/>
  <c r="P69" i="193" s="1"/>
  <c r="F69" i="193"/>
  <c r="S68" i="193"/>
  <c r="L68" i="193"/>
  <c r="P68" i="193" s="1"/>
  <c r="F68" i="193"/>
  <c r="S67" i="193"/>
  <c r="L67" i="193"/>
  <c r="F67" i="193"/>
  <c r="S66" i="193"/>
  <c r="L66" i="193"/>
  <c r="G66" i="193"/>
  <c r="F66" i="193"/>
  <c r="S65" i="193"/>
  <c r="L65" i="193"/>
  <c r="P65" i="193" s="1"/>
  <c r="F65" i="193"/>
  <c r="S64" i="193"/>
  <c r="L64" i="193"/>
  <c r="F64" i="193"/>
  <c r="S63" i="193"/>
  <c r="L63" i="193"/>
  <c r="F63" i="193"/>
  <c r="S62" i="193"/>
  <c r="L62" i="193"/>
  <c r="F62" i="193"/>
  <c r="S61" i="193"/>
  <c r="L61" i="193"/>
  <c r="P61" i="193" s="1"/>
  <c r="D61" i="193"/>
  <c r="F61" i="193" s="1"/>
  <c r="S60" i="193"/>
  <c r="L60" i="193"/>
  <c r="P60" i="193" s="1"/>
  <c r="F60" i="193"/>
  <c r="S59" i="193"/>
  <c r="L59" i="193"/>
  <c r="P59" i="193" s="1"/>
  <c r="F59" i="193"/>
  <c r="S58" i="193"/>
  <c r="L58" i="193"/>
  <c r="F58" i="193"/>
  <c r="S57" i="193"/>
  <c r="L57" i="193"/>
  <c r="P57" i="193" s="1"/>
  <c r="F57" i="193"/>
  <c r="S56" i="193"/>
  <c r="L56" i="193"/>
  <c r="P56" i="193" s="1"/>
  <c r="F56" i="193"/>
  <c r="S55" i="193"/>
  <c r="L55" i="193"/>
  <c r="P55" i="193" s="1"/>
  <c r="F55" i="193"/>
  <c r="S54" i="193"/>
  <c r="L54" i="193"/>
  <c r="P54" i="193" s="1"/>
  <c r="F54" i="193"/>
  <c r="Q53" i="193"/>
  <c r="Q87" i="193" s="1"/>
  <c r="L53" i="193"/>
  <c r="F53" i="193"/>
  <c r="S52" i="193"/>
  <c r="L52" i="193"/>
  <c r="P52" i="193" s="1"/>
  <c r="F52" i="193"/>
  <c r="S51" i="193"/>
  <c r="L51" i="193"/>
  <c r="P51" i="193" s="1"/>
  <c r="F51" i="193"/>
  <c r="S50" i="193"/>
  <c r="L50" i="193"/>
  <c r="F50" i="193"/>
  <c r="S49" i="193"/>
  <c r="L49" i="193"/>
  <c r="P49" i="193" s="1"/>
  <c r="F49" i="193"/>
  <c r="S48" i="193"/>
  <c r="L48" i="193"/>
  <c r="F48" i="193"/>
  <c r="S47" i="193"/>
  <c r="L47" i="193"/>
  <c r="F47" i="193"/>
  <c r="S46" i="193"/>
  <c r="L46" i="193"/>
  <c r="P46" i="193" s="1"/>
  <c r="F46" i="193"/>
  <c r="S45" i="193"/>
  <c r="L45" i="193"/>
  <c r="F45" i="193"/>
  <c r="S44" i="193"/>
  <c r="L44" i="193"/>
  <c r="P44" i="193" s="1"/>
  <c r="F44" i="193"/>
  <c r="S43" i="193"/>
  <c r="L43" i="193"/>
  <c r="F43" i="193"/>
  <c r="S42" i="193"/>
  <c r="L42" i="193"/>
  <c r="P42" i="193" s="1"/>
  <c r="F42" i="193"/>
  <c r="S41" i="193"/>
  <c r="L41" i="193"/>
  <c r="F41" i="193"/>
  <c r="S40" i="193"/>
  <c r="N40" i="193"/>
  <c r="N87" i="193" s="1"/>
  <c r="G40" i="193"/>
  <c r="D40" i="193"/>
  <c r="F40" i="193" s="1"/>
  <c r="S39" i="193"/>
  <c r="L39" i="193"/>
  <c r="P39" i="193" s="1"/>
  <c r="F39" i="193"/>
  <c r="S38" i="193"/>
  <c r="L38" i="193"/>
  <c r="P38" i="193" s="1"/>
  <c r="F38" i="193"/>
  <c r="S37" i="193"/>
  <c r="L37" i="193"/>
  <c r="F37" i="193"/>
  <c r="S36" i="193"/>
  <c r="L36" i="193"/>
  <c r="F36" i="193"/>
  <c r="S35" i="193"/>
  <c r="L35" i="193"/>
  <c r="P35" i="193" s="1"/>
  <c r="D35" i="193"/>
  <c r="F35" i="193" s="1"/>
  <c r="S34" i="193"/>
  <c r="L34" i="193"/>
  <c r="P34" i="193" s="1"/>
  <c r="F34" i="193"/>
  <c r="S33" i="193"/>
  <c r="L33" i="193"/>
  <c r="P33" i="193" s="1"/>
  <c r="F33" i="193"/>
  <c r="S32" i="193"/>
  <c r="L32" i="193"/>
  <c r="P32" i="193" s="1"/>
  <c r="F32" i="193"/>
  <c r="S31" i="193"/>
  <c r="L31" i="193"/>
  <c r="F31" i="193"/>
  <c r="S30" i="193"/>
  <c r="L30" i="193"/>
  <c r="P30" i="193" s="1"/>
  <c r="F30" i="193"/>
  <c r="S29" i="193"/>
  <c r="L29" i="193"/>
  <c r="P29" i="193" s="1"/>
  <c r="F29" i="193"/>
  <c r="S28" i="193"/>
  <c r="L28" i="193"/>
  <c r="F28" i="193"/>
  <c r="S27" i="193"/>
  <c r="L27" i="193"/>
  <c r="F27" i="193"/>
  <c r="S26" i="193"/>
  <c r="L26" i="193"/>
  <c r="P26" i="193" s="1"/>
  <c r="F26" i="193"/>
  <c r="S25" i="193"/>
  <c r="L25" i="193"/>
  <c r="P25" i="193" s="1"/>
  <c r="F25" i="193"/>
  <c r="S24" i="193"/>
  <c r="L24" i="193"/>
  <c r="P24" i="193" s="1"/>
  <c r="F24" i="193"/>
  <c r="S23" i="193"/>
  <c r="L23" i="193"/>
  <c r="F23" i="193"/>
  <c r="S22" i="193"/>
  <c r="L22" i="193"/>
  <c r="F22" i="193"/>
  <c r="S21" i="193"/>
  <c r="L21" i="193"/>
  <c r="F21" i="193"/>
  <c r="S20" i="193"/>
  <c r="L20" i="193"/>
  <c r="F20" i="193"/>
  <c r="S19" i="193"/>
  <c r="L19" i="193"/>
  <c r="F19" i="193"/>
  <c r="S18" i="193"/>
  <c r="L18" i="193"/>
  <c r="F18" i="193"/>
  <c r="S17" i="193"/>
  <c r="L17" i="193"/>
  <c r="P17" i="193" s="1"/>
  <c r="F17" i="193"/>
  <c r="S16" i="193"/>
  <c r="L16" i="193"/>
  <c r="P16" i="193" s="1"/>
  <c r="F16" i="193"/>
  <c r="S15" i="193"/>
  <c r="L15" i="193"/>
  <c r="G15" i="193"/>
  <c r="F15" i="193"/>
  <c r="S14" i="193"/>
  <c r="L14" i="193"/>
  <c r="F14" i="193"/>
  <c r="S13" i="193"/>
  <c r="L13" i="193"/>
  <c r="F13" i="193"/>
  <c r="S12" i="193"/>
  <c r="L12" i="193"/>
  <c r="G12" i="193"/>
  <c r="F12" i="193"/>
  <c r="S11" i="193"/>
  <c r="L11" i="193"/>
  <c r="F11" i="193"/>
  <c r="S10" i="193"/>
  <c r="L10" i="193"/>
  <c r="G10" i="193"/>
  <c r="G87" i="193" s="1"/>
  <c r="F10" i="193"/>
  <c r="S9" i="193"/>
  <c r="L9" i="193"/>
  <c r="P9" i="193" s="1"/>
  <c r="D87" i="193"/>
  <c r="S8" i="193"/>
  <c r="L8" i="193"/>
  <c r="F8" i="193"/>
  <c r="S7" i="193"/>
  <c r="L7" i="193"/>
  <c r="P7" i="193" s="1"/>
  <c r="F7" i="193"/>
  <c r="S6" i="193"/>
  <c r="F6" i="193"/>
  <c r="A6" i="193"/>
  <c r="A7" i="193" s="1"/>
  <c r="A8" i="193" s="1"/>
  <c r="A9" i="193" s="1"/>
  <c r="A10" i="193" s="1"/>
  <c r="A11" i="193" s="1"/>
  <c r="A12" i="193" s="1"/>
  <c r="A13" i="193" s="1"/>
  <c r="A14" i="193" s="1"/>
  <c r="A15" i="193" s="1"/>
  <c r="A16" i="193" s="1"/>
  <c r="A17" i="193" s="1"/>
  <c r="A18" i="193" s="1"/>
  <c r="A19" i="193" s="1"/>
  <c r="A20" i="193" s="1"/>
  <c r="A21" i="193" s="1"/>
  <c r="A22" i="193" s="1"/>
  <c r="A23" i="193" s="1"/>
  <c r="A24" i="193" s="1"/>
  <c r="A25" i="193" s="1"/>
  <c r="A26" i="193" s="1"/>
  <c r="A27" i="193" s="1"/>
  <c r="A28" i="193" s="1"/>
  <c r="A29" i="193" s="1"/>
  <c r="A30" i="193" s="1"/>
  <c r="A31" i="193" s="1"/>
  <c r="A32" i="193" s="1"/>
  <c r="A33" i="193" s="1"/>
  <c r="A34" i="193" s="1"/>
  <c r="A35" i="193" s="1"/>
  <c r="A36" i="193" s="1"/>
  <c r="A37" i="193" s="1"/>
  <c r="A38" i="193" s="1"/>
  <c r="A39" i="193" s="1"/>
  <c r="A40" i="193" s="1"/>
  <c r="A41" i="193" s="1"/>
  <c r="A42" i="193" s="1"/>
  <c r="A43" i="193" s="1"/>
  <c r="A44" i="193" s="1"/>
  <c r="A45" i="193" s="1"/>
  <c r="A46" i="193" s="1"/>
  <c r="A47" i="193" s="1"/>
  <c r="A48" i="193" s="1"/>
  <c r="A49" i="193" s="1"/>
  <c r="A50" i="193" s="1"/>
  <c r="A51" i="193" s="1"/>
  <c r="A52" i="193" s="1"/>
  <c r="A53" i="193" s="1"/>
  <c r="A54" i="193" s="1"/>
  <c r="A55" i="193" s="1"/>
  <c r="A56" i="193" s="1"/>
  <c r="A57" i="193" s="1"/>
  <c r="A58" i="193" s="1"/>
  <c r="A59" i="193" s="1"/>
  <c r="A60" i="193" s="1"/>
  <c r="A61" i="193" s="1"/>
  <c r="A62" i="193" s="1"/>
  <c r="A63" i="193" s="1"/>
  <c r="A64" i="193" s="1"/>
  <c r="A65" i="193" s="1"/>
  <c r="A66" i="193" s="1"/>
  <c r="A67" i="193" s="1"/>
  <c r="A68" i="193" s="1"/>
  <c r="A69" i="193" s="1"/>
  <c r="A70" i="193" s="1"/>
  <c r="A71" i="193" s="1"/>
  <c r="F74" i="221" l="1"/>
  <c r="F41" i="205"/>
  <c r="F49" i="205" s="1"/>
  <c r="F60" i="221"/>
  <c r="F70" i="205"/>
  <c r="S53" i="193"/>
  <c r="S87" i="193" s="1"/>
  <c r="L81" i="193"/>
  <c r="A72" i="193"/>
  <c r="A73" i="193" s="1"/>
  <c r="A74" i="193" s="1"/>
  <c r="A75" i="193" s="1"/>
  <c r="A76" i="193" s="1"/>
  <c r="A77" i="193" s="1"/>
  <c r="A78" i="193" s="1"/>
  <c r="A79" i="193" s="1"/>
  <c r="A80" i="193" s="1"/>
  <c r="P7" i="12"/>
  <c r="P19" i="12" s="1"/>
  <c r="P12" i="193"/>
  <c r="E7" i="12"/>
  <c r="E19" i="12" s="1"/>
  <c r="X7" i="12"/>
  <c r="O7" i="12"/>
  <c r="O19" i="12" s="1"/>
  <c r="C7" i="12"/>
  <c r="C19" i="12" s="1"/>
  <c r="M39" i="193"/>
  <c r="O39" i="193" s="1"/>
  <c r="U7" i="12"/>
  <c r="U19" i="12" s="1"/>
  <c r="M26" i="193"/>
  <c r="O26" i="193" s="1"/>
  <c r="V7" i="12"/>
  <c r="V19" i="12" s="1"/>
  <c r="M76" i="193"/>
  <c r="O76" i="193" s="1"/>
  <c r="F7" i="12"/>
  <c r="F19" i="12" s="1"/>
  <c r="M33" i="193"/>
  <c r="O33" i="193" s="1"/>
  <c r="M56" i="193"/>
  <c r="O56" i="193" s="1"/>
  <c r="M25" i="193"/>
  <c r="O25" i="193" s="1"/>
  <c r="M51" i="193"/>
  <c r="O51" i="193" s="1"/>
  <c r="M59" i="193"/>
  <c r="O59" i="193" s="1"/>
  <c r="M34" i="193"/>
  <c r="O34" i="193" s="1"/>
  <c r="H7" i="12"/>
  <c r="H19" i="12" s="1"/>
  <c r="M68" i="193"/>
  <c r="O68" i="193" s="1"/>
  <c r="M17" i="193"/>
  <c r="O17" i="193" s="1"/>
  <c r="M30" i="193"/>
  <c r="T30" i="193" s="1"/>
  <c r="U30" i="193" s="1"/>
  <c r="V30" i="193" s="1"/>
  <c r="M44" i="193"/>
  <c r="O44" i="193" s="1"/>
  <c r="P66" i="193"/>
  <c r="M66" i="193" s="1"/>
  <c r="O66" i="193" s="1"/>
  <c r="M29" i="193"/>
  <c r="T29" i="193" s="1"/>
  <c r="U29" i="193" s="1"/>
  <c r="V29" i="193" s="1"/>
  <c r="M24" i="193"/>
  <c r="T24" i="193" s="1"/>
  <c r="U24" i="193" s="1"/>
  <c r="V24" i="193" s="1"/>
  <c r="P41" i="193"/>
  <c r="P8" i="193"/>
  <c r="P28" i="193"/>
  <c r="P50" i="193"/>
  <c r="L6" i="193"/>
  <c r="P11" i="193"/>
  <c r="M16" i="193"/>
  <c r="T16" i="193" s="1"/>
  <c r="U16" i="193" s="1"/>
  <c r="V16" i="193" s="1"/>
  <c r="P22" i="193"/>
  <c r="P18" i="193"/>
  <c r="M35" i="193"/>
  <c r="O35" i="193" s="1"/>
  <c r="M38" i="193"/>
  <c r="T38" i="193" s="1"/>
  <c r="U38" i="193" s="1"/>
  <c r="V38" i="193" s="1"/>
  <c r="P13" i="193"/>
  <c r="P20" i="193"/>
  <c r="M42" i="193"/>
  <c r="O42" i="193" s="1"/>
  <c r="P53" i="193"/>
  <c r="M9" i="193"/>
  <c r="O9" i="193" s="1"/>
  <c r="P14" i="193"/>
  <c r="P31" i="193"/>
  <c r="M46" i="193"/>
  <c r="T46" i="193" s="1"/>
  <c r="U46" i="193" s="1"/>
  <c r="V46" i="193" s="1"/>
  <c r="M7" i="193"/>
  <c r="T7" i="193" s="1"/>
  <c r="U7" i="193" s="1"/>
  <c r="V7" i="193" s="1"/>
  <c r="P21" i="193"/>
  <c r="P36" i="193"/>
  <c r="M49" i="193"/>
  <c r="O49" i="193" s="1"/>
  <c r="P19" i="193"/>
  <c r="P27" i="193"/>
  <c r="P64" i="193"/>
  <c r="P10" i="193"/>
  <c r="P15" i="193"/>
  <c r="M32" i="193"/>
  <c r="O32" i="193" s="1"/>
  <c r="L40" i="193"/>
  <c r="G7" i="12"/>
  <c r="G19" i="12" s="1"/>
  <c r="P45" i="193"/>
  <c r="P23" i="193"/>
  <c r="M52" i="193"/>
  <c r="T52" i="193" s="1"/>
  <c r="U52" i="193" s="1"/>
  <c r="V52" i="193" s="1"/>
  <c r="P67" i="193"/>
  <c r="M73" i="193"/>
  <c r="T73" i="193" s="1"/>
  <c r="U73" i="193" s="1"/>
  <c r="V73" i="193" s="1"/>
  <c r="W7" i="12"/>
  <c r="W19" i="12" s="1"/>
  <c r="M60" i="193"/>
  <c r="O60" i="193" s="1"/>
  <c r="L7" i="12"/>
  <c r="L19" i="12" s="1"/>
  <c r="P63" i="193"/>
  <c r="M78" i="193"/>
  <c r="O78" i="193" s="1"/>
  <c r="M54" i="193"/>
  <c r="O54" i="193" s="1"/>
  <c r="P58" i="193"/>
  <c r="M71" i="193"/>
  <c r="T71" i="193" s="1"/>
  <c r="U71" i="193" s="1"/>
  <c r="V71" i="193" s="1"/>
  <c r="F9" i="193"/>
  <c r="P43" i="193"/>
  <c r="P72" i="193"/>
  <c r="P47" i="193"/>
  <c r="P48" i="193"/>
  <c r="P75" i="193"/>
  <c r="P80" i="193"/>
  <c r="M57" i="193"/>
  <c r="T57" i="193" s="1"/>
  <c r="U57" i="193" s="1"/>
  <c r="V57" i="193" s="1"/>
  <c r="P70" i="193"/>
  <c r="B7" i="12"/>
  <c r="P37" i="193"/>
  <c r="P62" i="193"/>
  <c r="P74" i="193"/>
  <c r="P77" i="193"/>
  <c r="P79" i="193"/>
  <c r="M55" i="193"/>
  <c r="M61" i="193"/>
  <c r="O61" i="193" s="1"/>
  <c r="M65" i="193"/>
  <c r="O65" i="193" s="1"/>
  <c r="M69" i="193"/>
  <c r="O69" i="193" s="1"/>
  <c r="O60" i="221" l="1"/>
  <c r="O70" i="205"/>
  <c r="O9" i="221"/>
  <c r="O51" i="205"/>
  <c r="F87" i="193"/>
  <c r="D7" i="12" s="1"/>
  <c r="D19" i="12" s="1"/>
  <c r="F9" i="221"/>
  <c r="F87" i="221" s="1"/>
  <c r="F51" i="205"/>
  <c r="F87" i="205" s="1"/>
  <c r="O68" i="221"/>
  <c r="O38" i="205"/>
  <c r="O66" i="221"/>
  <c r="O72" i="205"/>
  <c r="O54" i="221"/>
  <c r="O31" i="205"/>
  <c r="O39" i="221"/>
  <c r="O64" i="205"/>
  <c r="O25" i="221"/>
  <c r="O59" i="205"/>
  <c r="Q4" i="44"/>
  <c r="Q16" i="44" s="1"/>
  <c r="X19" i="12"/>
  <c r="L87" i="193"/>
  <c r="P81" i="193"/>
  <c r="A81" i="193"/>
  <c r="A82" i="193" s="1"/>
  <c r="M12" i="193"/>
  <c r="O12" i="193" s="1"/>
  <c r="T44" i="193"/>
  <c r="U44" i="193" s="1"/>
  <c r="V44" i="193" s="1"/>
  <c r="T51" i="193"/>
  <c r="U51" i="193" s="1"/>
  <c r="V51" i="193" s="1"/>
  <c r="T26" i="193"/>
  <c r="U26" i="193" s="1"/>
  <c r="V26" i="193" s="1"/>
  <c r="Q7" i="12"/>
  <c r="Q19" i="12" s="1"/>
  <c r="T39" i="193"/>
  <c r="U39" i="193" s="1"/>
  <c r="O38" i="193"/>
  <c r="T56" i="193"/>
  <c r="U56" i="193" s="1"/>
  <c r="V56" i="193" s="1"/>
  <c r="T25" i="193"/>
  <c r="U25" i="193" s="1"/>
  <c r="T76" i="193"/>
  <c r="U76" i="193" s="1"/>
  <c r="V76" i="193" s="1"/>
  <c r="O30" i="193"/>
  <c r="T17" i="193"/>
  <c r="U17" i="193" s="1"/>
  <c r="V17" i="193" s="1"/>
  <c r="T33" i="193"/>
  <c r="U33" i="193" s="1"/>
  <c r="V33" i="193" s="1"/>
  <c r="O24" i="193"/>
  <c r="T68" i="193"/>
  <c r="U68" i="193" s="1"/>
  <c r="O29" i="193"/>
  <c r="T49" i="193"/>
  <c r="U49" i="193" s="1"/>
  <c r="V49" i="193" s="1"/>
  <c r="T59" i="193"/>
  <c r="U59" i="193" s="1"/>
  <c r="V59" i="193" s="1"/>
  <c r="T34" i="193"/>
  <c r="U34" i="193" s="1"/>
  <c r="V34" i="193" s="1"/>
  <c r="O46" i="193"/>
  <c r="O73" i="193"/>
  <c r="T60" i="193"/>
  <c r="U60" i="193" s="1"/>
  <c r="V60" i="193" s="1"/>
  <c r="O7" i="193"/>
  <c r="T9" i="193"/>
  <c r="U9" i="193" s="1"/>
  <c r="V9" i="193" s="1"/>
  <c r="O16" i="193"/>
  <c r="O52" i="193"/>
  <c r="O71" i="193"/>
  <c r="T54" i="193"/>
  <c r="U54" i="193" s="1"/>
  <c r="T65" i="193"/>
  <c r="U65" i="193" s="1"/>
  <c r="V65" i="193" s="1"/>
  <c r="M13" i="193"/>
  <c r="O13" i="193" s="1"/>
  <c r="M75" i="193"/>
  <c r="O75" i="193" s="1"/>
  <c r="M47" i="193"/>
  <c r="O47" i="193" s="1"/>
  <c r="M72" i="193"/>
  <c r="O72" i="193" s="1"/>
  <c r="M58" i="193"/>
  <c r="O58" i="193" s="1"/>
  <c r="M23" i="193"/>
  <c r="O23" i="193" s="1"/>
  <c r="T32" i="193"/>
  <c r="U32" i="193" s="1"/>
  <c r="V32" i="193" s="1"/>
  <c r="M53" i="193"/>
  <c r="O53" i="193" s="1"/>
  <c r="M11" i="193"/>
  <c r="O11" i="193" s="1"/>
  <c r="M80" i="193"/>
  <c r="O80" i="193" s="1"/>
  <c r="M41" i="193"/>
  <c r="O41" i="193" s="1"/>
  <c r="M43" i="193"/>
  <c r="O43" i="193" s="1"/>
  <c r="M31" i="193"/>
  <c r="O31" i="193" s="1"/>
  <c r="P6" i="193"/>
  <c r="P87" i="193" s="1"/>
  <c r="M63" i="193"/>
  <c r="O63" i="193" s="1"/>
  <c r="M8" i="193"/>
  <c r="O8" i="193" s="1"/>
  <c r="M15" i="193"/>
  <c r="O15" i="193" s="1"/>
  <c r="M14" i="193"/>
  <c r="O14" i="193" s="1"/>
  <c r="T42" i="193"/>
  <c r="U42" i="193" s="1"/>
  <c r="V42" i="193" s="1"/>
  <c r="M79" i="193"/>
  <c r="O79" i="193" s="1"/>
  <c r="T69" i="193"/>
  <c r="U69" i="193" s="1"/>
  <c r="V69" i="193" s="1"/>
  <c r="M37" i="193"/>
  <c r="O37" i="193" s="1"/>
  <c r="M36" i="193"/>
  <c r="O36" i="193" s="1"/>
  <c r="T66" i="193"/>
  <c r="U66" i="193" s="1"/>
  <c r="M67" i="193"/>
  <c r="O67" i="193" s="1"/>
  <c r="M10" i="193"/>
  <c r="O10" i="193" s="1"/>
  <c r="M21" i="193"/>
  <c r="O21" i="193" s="1"/>
  <c r="T35" i="193"/>
  <c r="U35" i="193" s="1"/>
  <c r="V35" i="193" s="1"/>
  <c r="M22" i="193"/>
  <c r="O22" i="193" s="1"/>
  <c r="T55" i="193"/>
  <c r="U55" i="193" s="1"/>
  <c r="V55" i="193" s="1"/>
  <c r="O55" i="193"/>
  <c r="P40" i="193"/>
  <c r="M28" i="193"/>
  <c r="O28" i="193" s="1"/>
  <c r="M77" i="193"/>
  <c r="O77" i="193" s="1"/>
  <c r="M74" i="193"/>
  <c r="O74" i="193" s="1"/>
  <c r="T61" i="193"/>
  <c r="U61" i="193" s="1"/>
  <c r="V61" i="193" s="1"/>
  <c r="O57" i="193"/>
  <c r="T78" i="193"/>
  <c r="U78" i="193" s="1"/>
  <c r="V78" i="193" s="1"/>
  <c r="M45" i="193"/>
  <c r="O45" i="193" s="1"/>
  <c r="M27" i="193"/>
  <c r="O27" i="193" s="1"/>
  <c r="M50" i="193"/>
  <c r="O50" i="193" s="1"/>
  <c r="M64" i="193"/>
  <c r="O64" i="193" s="1"/>
  <c r="M62" i="193"/>
  <c r="O62" i="193" s="1"/>
  <c r="M70" i="193"/>
  <c r="O70" i="193" s="1"/>
  <c r="M48" i="193"/>
  <c r="O48" i="193" s="1"/>
  <c r="M19" i="193"/>
  <c r="O19" i="193" s="1"/>
  <c r="M20" i="193"/>
  <c r="O20" i="193" s="1"/>
  <c r="M18" i="193"/>
  <c r="O18" i="193" s="1"/>
  <c r="O74" i="221" l="1"/>
  <c r="O41" i="205"/>
  <c r="F90" i="205"/>
  <c r="D8" i="97"/>
  <c r="D20" i="97" s="1"/>
  <c r="O77" i="221"/>
  <c r="O77" i="205"/>
  <c r="O87" i="205"/>
  <c r="M8" i="97" s="1"/>
  <c r="O75" i="221"/>
  <c r="O42" i="205"/>
  <c r="V68" i="193"/>
  <c r="U68" i="221"/>
  <c r="U38" i="205"/>
  <c r="V66" i="193"/>
  <c r="U66" i="221"/>
  <c r="U72" i="205"/>
  <c r="V54" i="193"/>
  <c r="U54" i="221"/>
  <c r="U31" i="205"/>
  <c r="V39" i="193"/>
  <c r="U39" i="221"/>
  <c r="U64" i="205"/>
  <c r="V25" i="193"/>
  <c r="U25" i="221"/>
  <c r="U59" i="205"/>
  <c r="O23" i="221"/>
  <c r="O87" i="221" s="1"/>
  <c r="O11" i="205"/>
  <c r="O49" i="205" s="1"/>
  <c r="M81" i="193"/>
  <c r="A83" i="193"/>
  <c r="A84" i="193" s="1"/>
  <c r="T12" i="193"/>
  <c r="U12" i="193" s="1"/>
  <c r="V12" i="193" s="1"/>
  <c r="T50" i="193"/>
  <c r="U50" i="193" s="1"/>
  <c r="V50" i="193" s="1"/>
  <c r="T70" i="193"/>
  <c r="U70" i="193" s="1"/>
  <c r="V70" i="193" s="1"/>
  <c r="T19" i="193"/>
  <c r="U19" i="193" s="1"/>
  <c r="V19" i="193" s="1"/>
  <c r="T64" i="193"/>
  <c r="U64" i="193" s="1"/>
  <c r="V64" i="193" s="1"/>
  <c r="T15" i="193"/>
  <c r="U15" i="193" s="1"/>
  <c r="V15" i="193" s="1"/>
  <c r="T10" i="193"/>
  <c r="U10" i="193" s="1"/>
  <c r="V10" i="193" s="1"/>
  <c r="T8" i="193"/>
  <c r="U8" i="193" s="1"/>
  <c r="V8" i="193" s="1"/>
  <c r="T67" i="193"/>
  <c r="U67" i="193" s="1"/>
  <c r="V67" i="193" s="1"/>
  <c r="T23" i="193"/>
  <c r="U23" i="193" s="1"/>
  <c r="T74" i="193"/>
  <c r="U74" i="193" s="1"/>
  <c r="V74" i="193" s="1"/>
  <c r="T20" i="193"/>
  <c r="U20" i="193" s="1"/>
  <c r="V20" i="193" s="1"/>
  <c r="T45" i="193"/>
  <c r="U45" i="193" s="1"/>
  <c r="V45" i="193" s="1"/>
  <c r="T77" i="193"/>
  <c r="U77" i="193" s="1"/>
  <c r="T14" i="193"/>
  <c r="U14" i="193" s="1"/>
  <c r="V14" i="193" s="1"/>
  <c r="T37" i="193"/>
  <c r="U37" i="193" s="1"/>
  <c r="V37" i="193" s="1"/>
  <c r="T80" i="193"/>
  <c r="U80" i="193" s="1"/>
  <c r="V80" i="193" s="1"/>
  <c r="T47" i="193"/>
  <c r="U47" i="193" s="1"/>
  <c r="V47" i="193" s="1"/>
  <c r="T21" i="193"/>
  <c r="U21" i="193" s="1"/>
  <c r="V21" i="193" s="1"/>
  <c r="T36" i="193"/>
  <c r="U36" i="193" s="1"/>
  <c r="V36" i="193" s="1"/>
  <c r="T63" i="193"/>
  <c r="U63" i="193" s="1"/>
  <c r="V63" i="193" s="1"/>
  <c r="T31" i="193"/>
  <c r="U31" i="193" s="1"/>
  <c r="V31" i="193" s="1"/>
  <c r="T11" i="193"/>
  <c r="U11" i="193" s="1"/>
  <c r="V11" i="193" s="1"/>
  <c r="T75" i="193"/>
  <c r="U75" i="193" s="1"/>
  <c r="T27" i="193"/>
  <c r="U27" i="193" s="1"/>
  <c r="V27" i="193" s="1"/>
  <c r="T28" i="193"/>
  <c r="U28" i="193" s="1"/>
  <c r="V28" i="193" s="1"/>
  <c r="M40" i="193"/>
  <c r="O40" i="193" s="1"/>
  <c r="T18" i="193"/>
  <c r="U18" i="193" s="1"/>
  <c r="V18" i="193" s="1"/>
  <c r="T48" i="193"/>
  <c r="U48" i="193" s="1"/>
  <c r="V48" i="193" s="1"/>
  <c r="T43" i="193"/>
  <c r="U43" i="193" s="1"/>
  <c r="V43" i="193" s="1"/>
  <c r="T53" i="193"/>
  <c r="U53" i="193" s="1"/>
  <c r="V53" i="193" s="1"/>
  <c r="T58" i="193"/>
  <c r="U58" i="193" s="1"/>
  <c r="V58" i="193" s="1"/>
  <c r="T13" i="193"/>
  <c r="U13" i="193" s="1"/>
  <c r="V13" i="193" s="1"/>
  <c r="T62" i="193"/>
  <c r="U62" i="193" s="1"/>
  <c r="V62" i="193" s="1"/>
  <c r="T22" i="193"/>
  <c r="U22" i="193" s="1"/>
  <c r="V22" i="193" s="1"/>
  <c r="T79" i="193"/>
  <c r="U79" i="193" s="1"/>
  <c r="V79" i="193" s="1"/>
  <c r="J7" i="12"/>
  <c r="J19" i="12" s="1"/>
  <c r="N7" i="12"/>
  <c r="N19" i="12" s="1"/>
  <c r="M6" i="193"/>
  <c r="T41" i="193"/>
  <c r="U41" i="193" s="1"/>
  <c r="V41" i="193" s="1"/>
  <c r="T72" i="193"/>
  <c r="U72" i="193" s="1"/>
  <c r="V72" i="193" s="1"/>
  <c r="V77" i="193" l="1"/>
  <c r="U77" i="221"/>
  <c r="U77" i="205"/>
  <c r="U87" i="205"/>
  <c r="S8" i="97" s="1"/>
  <c r="V75" i="193"/>
  <c r="U75" i="221"/>
  <c r="U42" i="205"/>
  <c r="V68" i="221"/>
  <c r="V38" i="205"/>
  <c r="V66" i="221"/>
  <c r="V72" i="205"/>
  <c r="V54" i="221"/>
  <c r="V31" i="205"/>
  <c r="V39" i="221"/>
  <c r="V64" i="205"/>
  <c r="V25" i="221"/>
  <c r="V59" i="205"/>
  <c r="V23" i="193"/>
  <c r="U23" i="221"/>
  <c r="U87" i="221" s="1"/>
  <c r="U11" i="205"/>
  <c r="U49" i="205" s="1"/>
  <c r="O90" i="205"/>
  <c r="M7" i="97"/>
  <c r="M20" i="97" s="1"/>
  <c r="M87" i="193"/>
  <c r="T6" i="193"/>
  <c r="T81" i="193"/>
  <c r="K7" i="12"/>
  <c r="K19" i="12" s="1"/>
  <c r="O81" i="193"/>
  <c r="A85" i="193"/>
  <c r="A86" i="193" s="1"/>
  <c r="A87" i="193" s="1"/>
  <c r="L88" i="193"/>
  <c r="P88" i="193" s="1"/>
  <c r="I7" i="12"/>
  <c r="I19" i="12" s="1"/>
  <c r="U6" i="193"/>
  <c r="O6" i="193"/>
  <c r="T40" i="193"/>
  <c r="U40" i="193" s="1"/>
  <c r="V40" i="193" s="1"/>
  <c r="V77" i="221" l="1"/>
  <c r="V77" i="205"/>
  <c r="V87" i="205" s="1"/>
  <c r="T8" i="97" s="1"/>
  <c r="V75" i="221"/>
  <c r="V42" i="205"/>
  <c r="U90" i="205"/>
  <c r="S7" i="97"/>
  <c r="S20" i="97" s="1"/>
  <c r="V23" i="221"/>
  <c r="V87" i="221" s="1"/>
  <c r="V11" i="205"/>
  <c r="V49" i="205" s="1"/>
  <c r="O87" i="193"/>
  <c r="M7" i="12" s="1"/>
  <c r="M19" i="12" s="1"/>
  <c r="T87" i="193"/>
  <c r="U87" i="193"/>
  <c r="H5" i="67" s="1"/>
  <c r="U81" i="193"/>
  <c r="V6" i="193"/>
  <c r="V90" i="205" l="1"/>
  <c r="T7" i="97"/>
  <c r="T20" i="97" s="1"/>
  <c r="R7" i="12"/>
  <c r="R19" i="12" s="1"/>
  <c r="V81" i="193"/>
  <c r="V87" i="193" s="1"/>
  <c r="S7" i="12"/>
  <c r="S19" i="12" s="1"/>
  <c r="Y7" i="12"/>
  <c r="U88" i="193"/>
  <c r="M88" i="193"/>
  <c r="T7" i="12" l="1"/>
  <c r="T19" i="12" s="1"/>
  <c r="E12" i="67"/>
  <c r="AK26" i="180"/>
  <c r="AK90" i="192" l="1"/>
  <c r="AJ90" i="192"/>
  <c r="AH90" i="192"/>
  <c r="AG90" i="192"/>
  <c r="AE90" i="192"/>
  <c r="AD90" i="192"/>
  <c r="Z90" i="192"/>
  <c r="X90" i="192"/>
  <c r="W90" i="192"/>
  <c r="V90" i="192"/>
  <c r="U90" i="192"/>
  <c r="T90" i="192"/>
  <c r="S90" i="192"/>
  <c r="R90" i="192"/>
  <c r="Q90" i="192"/>
  <c r="P90" i="192"/>
  <c r="M90" i="192"/>
  <c r="G90" i="192"/>
  <c r="AF89" i="192"/>
  <c r="Y89" i="192"/>
  <c r="AA89" i="192" s="1"/>
  <c r="AC89" i="192" s="1"/>
  <c r="L89" i="192"/>
  <c r="N89" i="192" s="1"/>
  <c r="O89" i="192" s="1"/>
  <c r="I89" i="192"/>
  <c r="K89" i="192" s="1"/>
  <c r="H89" i="192"/>
  <c r="AF88" i="192"/>
  <c r="Y88" i="192"/>
  <c r="AA88" i="192" s="1"/>
  <c r="AC88" i="192" s="1"/>
  <c r="J88" i="192"/>
  <c r="F88" i="192"/>
  <c r="H88" i="192" s="1"/>
  <c r="C88" i="192"/>
  <c r="C89" i="192" s="1"/>
  <c r="AF87" i="192"/>
  <c r="Y87" i="192"/>
  <c r="L87" i="192"/>
  <c r="I87" i="192"/>
  <c r="F87" i="192"/>
  <c r="F90" i="192" s="1"/>
  <c r="AF86" i="192"/>
  <c r="Y86" i="192"/>
  <c r="AA86" i="192" s="1"/>
  <c r="AK84" i="192"/>
  <c r="AJ84" i="192"/>
  <c r="AH84" i="192"/>
  <c r="AG84" i="192"/>
  <c r="AE84" i="192"/>
  <c r="AD84" i="192"/>
  <c r="Z84" i="192"/>
  <c r="X84" i="192"/>
  <c r="W84" i="192"/>
  <c r="V84" i="192"/>
  <c r="U84" i="192"/>
  <c r="T84" i="192"/>
  <c r="S84" i="192"/>
  <c r="R84" i="192"/>
  <c r="Q84" i="192"/>
  <c r="P84" i="192"/>
  <c r="M84" i="192"/>
  <c r="G84" i="192"/>
  <c r="F84" i="192"/>
  <c r="AF83" i="192"/>
  <c r="Y83" i="192"/>
  <c r="AA83" i="192" s="1"/>
  <c r="AC83" i="192" s="1"/>
  <c r="L83" i="192"/>
  <c r="N83" i="192" s="1"/>
  <c r="J83" i="192"/>
  <c r="J84" i="192" s="1"/>
  <c r="I83" i="192"/>
  <c r="K83" i="192" s="1"/>
  <c r="H83" i="192"/>
  <c r="C83" i="192"/>
  <c r="AF82" i="192"/>
  <c r="AF84" i="192" s="1"/>
  <c r="Y82" i="192"/>
  <c r="AA82" i="192" s="1"/>
  <c r="L82" i="192"/>
  <c r="K82" i="192"/>
  <c r="K84" i="192" s="1"/>
  <c r="H82" i="192"/>
  <c r="AK79" i="192"/>
  <c r="AJ79" i="192"/>
  <c r="AH79" i="192"/>
  <c r="AG79" i="192"/>
  <c r="AE79" i="192"/>
  <c r="AD79" i="192"/>
  <c r="Z79" i="192"/>
  <c r="X79" i="192"/>
  <c r="W79" i="192"/>
  <c r="V79" i="192"/>
  <c r="U79" i="192"/>
  <c r="T79" i="192"/>
  <c r="S79" i="192"/>
  <c r="Q79" i="192"/>
  <c r="P79" i="192"/>
  <c r="M79" i="192"/>
  <c r="J79" i="192"/>
  <c r="I79" i="192"/>
  <c r="G79" i="192"/>
  <c r="F79" i="192"/>
  <c r="AF78" i="192"/>
  <c r="AF79" i="192" s="1"/>
  <c r="Y78" i="192"/>
  <c r="Y79" i="192" s="1"/>
  <c r="L78" i="192"/>
  <c r="L79" i="192" s="1"/>
  <c r="K78" i="192"/>
  <c r="K79" i="192" s="1"/>
  <c r="H78" i="192"/>
  <c r="H79" i="192" s="1"/>
  <c r="AK75" i="192"/>
  <c r="AJ75" i="192"/>
  <c r="AH75" i="192"/>
  <c r="AG75" i="192"/>
  <c r="AE75" i="192"/>
  <c r="AD75" i="192"/>
  <c r="Z75" i="192"/>
  <c r="X75" i="192"/>
  <c r="W75" i="192"/>
  <c r="V75" i="192"/>
  <c r="U75" i="192"/>
  <c r="T75" i="192"/>
  <c r="S75" i="192"/>
  <c r="Q75" i="192"/>
  <c r="P75" i="192"/>
  <c r="M75" i="192"/>
  <c r="J75" i="192"/>
  <c r="I75" i="192"/>
  <c r="G75" i="192"/>
  <c r="F75" i="192"/>
  <c r="AF74" i="192"/>
  <c r="Y74" i="192"/>
  <c r="AA74" i="192" s="1"/>
  <c r="AC74" i="192" s="1"/>
  <c r="N74" i="192"/>
  <c r="L74" i="192"/>
  <c r="K74" i="192"/>
  <c r="H74" i="192"/>
  <c r="AF73" i="192"/>
  <c r="Y73" i="192"/>
  <c r="AC73" i="192" s="1"/>
  <c r="L73" i="192"/>
  <c r="N73" i="192" s="1"/>
  <c r="K73" i="192"/>
  <c r="H73" i="192"/>
  <c r="AF72" i="192"/>
  <c r="Y72" i="192"/>
  <c r="AA72" i="192" s="1"/>
  <c r="AC72" i="192" s="1"/>
  <c r="L72" i="192"/>
  <c r="N72" i="192" s="1"/>
  <c r="O72" i="192" s="1"/>
  <c r="K72" i="192"/>
  <c r="H72" i="192"/>
  <c r="C72" i="192"/>
  <c r="AF71" i="192"/>
  <c r="Y71" i="192"/>
  <c r="N71" i="192"/>
  <c r="O71" i="192" s="1"/>
  <c r="L71" i="192"/>
  <c r="K71" i="192"/>
  <c r="K75" i="192" s="1"/>
  <c r="H71" i="192"/>
  <c r="AK68" i="192"/>
  <c r="AJ68" i="192"/>
  <c r="AH68" i="192"/>
  <c r="AG68" i="192"/>
  <c r="AE68" i="192"/>
  <c r="AD68" i="192"/>
  <c r="Z68" i="192"/>
  <c r="X68" i="192"/>
  <c r="W68" i="192"/>
  <c r="V68" i="192"/>
  <c r="U68" i="192"/>
  <c r="T68" i="192"/>
  <c r="S68" i="192"/>
  <c r="Q68" i="192"/>
  <c r="P68" i="192"/>
  <c r="M68" i="192"/>
  <c r="J68" i="192"/>
  <c r="I68" i="192"/>
  <c r="G68" i="192"/>
  <c r="F68" i="192"/>
  <c r="AF67" i="192"/>
  <c r="Y67" i="192"/>
  <c r="AA67" i="192" s="1"/>
  <c r="AC67" i="192" s="1"/>
  <c r="L67" i="192"/>
  <c r="N67" i="192" s="1"/>
  <c r="K67" i="192"/>
  <c r="H67" i="192"/>
  <c r="AF66" i="192"/>
  <c r="AF68" i="192" s="1"/>
  <c r="Y66" i="192"/>
  <c r="L66" i="192"/>
  <c r="K66" i="192"/>
  <c r="H66" i="192"/>
  <c r="AK63" i="192"/>
  <c r="AJ63" i="192"/>
  <c r="AH63" i="192"/>
  <c r="AG63" i="192"/>
  <c r="AE63" i="192"/>
  <c r="AD63" i="192"/>
  <c r="Z63" i="192"/>
  <c r="X63" i="192"/>
  <c r="W63" i="192"/>
  <c r="V63" i="192"/>
  <c r="U63" i="192"/>
  <c r="T63" i="192"/>
  <c r="S63" i="192"/>
  <c r="Q63" i="192"/>
  <c r="P63" i="192"/>
  <c r="M63" i="192"/>
  <c r="J63" i="192"/>
  <c r="G63" i="192"/>
  <c r="F63" i="192"/>
  <c r="AF62" i="192"/>
  <c r="Y62" i="192"/>
  <c r="AA62" i="192" s="1"/>
  <c r="AC62" i="192" s="1"/>
  <c r="L62" i="192"/>
  <c r="N62" i="192" s="1"/>
  <c r="I62" i="192"/>
  <c r="K62" i="192" s="1"/>
  <c r="H62" i="192"/>
  <c r="AF61" i="192"/>
  <c r="Y61" i="192"/>
  <c r="AA61" i="192" s="1"/>
  <c r="AC61" i="192" s="1"/>
  <c r="L61" i="192"/>
  <c r="N61" i="192" s="1"/>
  <c r="K61" i="192"/>
  <c r="I61" i="192"/>
  <c r="I63" i="192" s="1"/>
  <c r="H61" i="192"/>
  <c r="C61" i="192"/>
  <c r="AF60" i="192"/>
  <c r="Y60" i="192"/>
  <c r="L60" i="192"/>
  <c r="L63" i="192" s="1"/>
  <c r="K60" i="192"/>
  <c r="H60" i="192"/>
  <c r="AK57" i="192"/>
  <c r="AJ57" i="192"/>
  <c r="AH57" i="192"/>
  <c r="AG57" i="192"/>
  <c r="AE57" i="192"/>
  <c r="AD57" i="192"/>
  <c r="Z57" i="192"/>
  <c r="X57" i="192"/>
  <c r="V57" i="192"/>
  <c r="U57" i="192"/>
  <c r="T57" i="192"/>
  <c r="S57" i="192"/>
  <c r="R57" i="192"/>
  <c r="R92" i="192" s="1"/>
  <c r="Q57" i="192"/>
  <c r="P57" i="192"/>
  <c r="M57" i="192"/>
  <c r="G57" i="192"/>
  <c r="F57" i="192"/>
  <c r="AF56" i="192"/>
  <c r="Y56" i="192"/>
  <c r="AA56" i="192" s="1"/>
  <c r="AC56" i="192" s="1"/>
  <c r="L56" i="192"/>
  <c r="N56" i="192" s="1"/>
  <c r="I56" i="192"/>
  <c r="K56" i="192" s="1"/>
  <c r="H56" i="192"/>
  <c r="AF55" i="192"/>
  <c r="Y55" i="192"/>
  <c r="AA55" i="192" s="1"/>
  <c r="AC55" i="192" s="1"/>
  <c r="L55" i="192"/>
  <c r="N55" i="192" s="1"/>
  <c r="I55" i="192"/>
  <c r="K55" i="192" s="1"/>
  <c r="H55" i="192"/>
  <c r="AF54" i="192"/>
  <c r="Y54" i="192"/>
  <c r="AA54" i="192" s="1"/>
  <c r="AC54" i="192" s="1"/>
  <c r="L54" i="192"/>
  <c r="N54" i="192" s="1"/>
  <c r="I54" i="192"/>
  <c r="K54" i="192" s="1"/>
  <c r="H54" i="192"/>
  <c r="AF53" i="192"/>
  <c r="W53" i="192"/>
  <c r="Y53" i="192" s="1"/>
  <c r="AA53" i="192" s="1"/>
  <c r="AC53" i="192" s="1"/>
  <c r="J53" i="192"/>
  <c r="K53" i="192" s="1"/>
  <c r="H53" i="192"/>
  <c r="C53" i="192"/>
  <c r="C54" i="192" s="1"/>
  <c r="C55" i="192" s="1"/>
  <c r="C56" i="192" s="1"/>
  <c r="AF52" i="192"/>
  <c r="Y52" i="192"/>
  <c r="AA52" i="192" s="1"/>
  <c r="L52" i="192"/>
  <c r="I52" i="192"/>
  <c r="H52" i="192"/>
  <c r="AK49" i="192"/>
  <c r="AJ49" i="192"/>
  <c r="AH49" i="192"/>
  <c r="AG49" i="192"/>
  <c r="AE49" i="192"/>
  <c r="AD49" i="192"/>
  <c r="Z49" i="192"/>
  <c r="X49" i="192"/>
  <c r="W49" i="192"/>
  <c r="V49" i="192"/>
  <c r="U49" i="192"/>
  <c r="T49" i="192"/>
  <c r="S49" i="192"/>
  <c r="Q49" i="192"/>
  <c r="P49" i="192"/>
  <c r="M49" i="192"/>
  <c r="J49" i="192"/>
  <c r="G49" i="192"/>
  <c r="F49" i="192"/>
  <c r="AF48" i="192"/>
  <c r="AA48" i="192"/>
  <c r="AC48" i="192" s="1"/>
  <c r="Y48" i="192"/>
  <c r="L48" i="192"/>
  <c r="N48" i="192" s="1"/>
  <c r="AB48" i="192" s="1"/>
  <c r="AI48" i="192" s="1"/>
  <c r="I48" i="192"/>
  <c r="K48" i="192" s="1"/>
  <c r="H48" i="192"/>
  <c r="AF47" i="192"/>
  <c r="Y47" i="192"/>
  <c r="AA47" i="192" s="1"/>
  <c r="AC47" i="192" s="1"/>
  <c r="L47" i="192"/>
  <c r="N47" i="192" s="1"/>
  <c r="AB47" i="192" s="1"/>
  <c r="AI47" i="192" s="1"/>
  <c r="I47" i="192"/>
  <c r="H47" i="192"/>
  <c r="C47" i="192"/>
  <c r="AF46" i="192"/>
  <c r="AF49" i="192" s="1"/>
  <c r="Y46" i="192"/>
  <c r="L46" i="192"/>
  <c r="K46" i="192"/>
  <c r="H46" i="192"/>
  <c r="AK43" i="192"/>
  <c r="AJ43" i="192"/>
  <c r="AH43" i="192"/>
  <c r="AG43" i="192"/>
  <c r="AE43" i="192"/>
  <c r="AD43" i="192"/>
  <c r="Z43" i="192"/>
  <c r="X43" i="192"/>
  <c r="W43" i="192"/>
  <c r="V43" i="192"/>
  <c r="U43" i="192"/>
  <c r="T43" i="192"/>
  <c r="S43" i="192"/>
  <c r="Q43" i="192"/>
  <c r="M43" i="192"/>
  <c r="G43" i="192"/>
  <c r="AF42" i="192"/>
  <c r="Y42" i="192"/>
  <c r="AA42" i="192" s="1"/>
  <c r="AC42" i="192" s="1"/>
  <c r="L42" i="192"/>
  <c r="N42" i="192" s="1"/>
  <c r="H42" i="192"/>
  <c r="AF40" i="192"/>
  <c r="Y40" i="192"/>
  <c r="AA40" i="192" s="1"/>
  <c r="AC40" i="192" s="1"/>
  <c r="L40" i="192"/>
  <c r="N40" i="192" s="1"/>
  <c r="K40" i="192"/>
  <c r="H40" i="192"/>
  <c r="AF39" i="192"/>
  <c r="Y39" i="192"/>
  <c r="AA39" i="192" s="1"/>
  <c r="AC39" i="192" s="1"/>
  <c r="L39" i="192"/>
  <c r="N39" i="192" s="1"/>
  <c r="K39" i="192"/>
  <c r="H39" i="192"/>
  <c r="AF38" i="192"/>
  <c r="Y38" i="192"/>
  <c r="AA38" i="192" s="1"/>
  <c r="AC38" i="192" s="1"/>
  <c r="L38" i="192"/>
  <c r="N38" i="192" s="1"/>
  <c r="K38" i="192"/>
  <c r="J38" i="192"/>
  <c r="H38" i="192"/>
  <c r="AF37" i="192"/>
  <c r="Y37" i="192"/>
  <c r="AA37" i="192" s="1"/>
  <c r="AC37" i="192" s="1"/>
  <c r="L37" i="192"/>
  <c r="N37" i="192" s="1"/>
  <c r="K37" i="192"/>
  <c r="H37" i="192"/>
  <c r="AF36" i="192"/>
  <c r="Y36" i="192"/>
  <c r="AA36" i="192" s="1"/>
  <c r="AC36" i="192" s="1"/>
  <c r="J36" i="192"/>
  <c r="L36" i="192" s="1"/>
  <c r="N36" i="192" s="1"/>
  <c r="I36" i="192"/>
  <c r="K36" i="192" s="1"/>
  <c r="H36" i="192"/>
  <c r="F36" i="192"/>
  <c r="AF35" i="192"/>
  <c r="Y35" i="192"/>
  <c r="AA35" i="192" s="1"/>
  <c r="AC35" i="192" s="1"/>
  <c r="L35" i="192"/>
  <c r="N35" i="192" s="1"/>
  <c r="AB35" i="192" s="1"/>
  <c r="AI35" i="192" s="1"/>
  <c r="I35" i="192"/>
  <c r="K35" i="192" s="1"/>
  <c r="H35" i="192"/>
  <c r="AF34" i="192"/>
  <c r="Y34" i="192"/>
  <c r="AA34" i="192" s="1"/>
  <c r="AC34" i="192" s="1"/>
  <c r="L34" i="192"/>
  <c r="N34" i="192" s="1"/>
  <c r="K34" i="192"/>
  <c r="H34" i="192"/>
  <c r="AF33" i="192"/>
  <c r="Y33" i="192"/>
  <c r="AA33" i="192" s="1"/>
  <c r="AC33" i="192" s="1"/>
  <c r="L33" i="192"/>
  <c r="N33" i="192" s="1"/>
  <c r="K33" i="192"/>
  <c r="H33" i="192"/>
  <c r="AF32" i="192"/>
  <c r="Y32" i="192"/>
  <c r="AA32" i="192" s="1"/>
  <c r="AC32" i="192" s="1"/>
  <c r="L32" i="192"/>
  <c r="N32" i="192" s="1"/>
  <c r="I32" i="192"/>
  <c r="K32" i="192" s="1"/>
  <c r="H32" i="192"/>
  <c r="AF31" i="192"/>
  <c r="Y31" i="192"/>
  <c r="AA31" i="192" s="1"/>
  <c r="AC31" i="192" s="1"/>
  <c r="L31" i="192"/>
  <c r="N31" i="192" s="1"/>
  <c r="I31" i="192"/>
  <c r="F31" i="192"/>
  <c r="K31" i="192" s="1"/>
  <c r="AF30" i="192"/>
  <c r="Y30" i="192"/>
  <c r="AA30" i="192" s="1"/>
  <c r="AC30" i="192" s="1"/>
  <c r="L30" i="192"/>
  <c r="N30" i="192" s="1"/>
  <c r="AB30" i="192" s="1"/>
  <c r="AI30" i="192" s="1"/>
  <c r="I30" i="192"/>
  <c r="K30" i="192" s="1"/>
  <c r="H30" i="192"/>
  <c r="AF29" i="192"/>
  <c r="Y29" i="192"/>
  <c r="AA29" i="192" s="1"/>
  <c r="AC29" i="192" s="1"/>
  <c r="L29" i="192"/>
  <c r="N29" i="192" s="1"/>
  <c r="I29" i="192"/>
  <c r="K29" i="192" s="1"/>
  <c r="H29" i="192"/>
  <c r="AF28" i="192"/>
  <c r="Y28" i="192"/>
  <c r="AA28" i="192" s="1"/>
  <c r="AC28" i="192" s="1"/>
  <c r="L28" i="192"/>
  <c r="N28" i="192" s="1"/>
  <c r="K28" i="192"/>
  <c r="H28" i="192"/>
  <c r="AF27" i="192"/>
  <c r="Y27" i="192"/>
  <c r="AA27" i="192" s="1"/>
  <c r="AC27" i="192" s="1"/>
  <c r="P27" i="192"/>
  <c r="L27" i="192"/>
  <c r="N27" i="192" s="1"/>
  <c r="J27" i="192"/>
  <c r="I27" i="192"/>
  <c r="F27" i="192"/>
  <c r="H27" i="192" s="1"/>
  <c r="AF26" i="192"/>
  <c r="Y26" i="192"/>
  <c r="AA26" i="192" s="1"/>
  <c r="AC26" i="192" s="1"/>
  <c r="L26" i="192"/>
  <c r="N26" i="192" s="1"/>
  <c r="O26" i="192" s="1"/>
  <c r="K26" i="192"/>
  <c r="H26" i="192"/>
  <c r="C26" i="192"/>
  <c r="AF25" i="192"/>
  <c r="Y25" i="192"/>
  <c r="L25" i="192"/>
  <c r="K25" i="192"/>
  <c r="H25" i="192"/>
  <c r="AK22" i="192"/>
  <c r="AJ22" i="192"/>
  <c r="AH22" i="192"/>
  <c r="AG22" i="192"/>
  <c r="AE22" i="192"/>
  <c r="AD22" i="192"/>
  <c r="Z22" i="192"/>
  <c r="X22" i="192"/>
  <c r="W22" i="192"/>
  <c r="V22" i="192"/>
  <c r="U22" i="192"/>
  <c r="T22" i="192"/>
  <c r="S22" i="192"/>
  <c r="Q22" i="192"/>
  <c r="P22" i="192"/>
  <c r="M22" i="192"/>
  <c r="G22" i="192"/>
  <c r="F22" i="192"/>
  <c r="AF21" i="192"/>
  <c r="Y21" i="192"/>
  <c r="AA21" i="192" s="1"/>
  <c r="AC21" i="192" s="1"/>
  <c r="L21" i="192"/>
  <c r="N21" i="192" s="1"/>
  <c r="K21" i="192"/>
  <c r="J21" i="192"/>
  <c r="H21" i="192"/>
  <c r="AF20" i="192"/>
  <c r="Y20" i="192"/>
  <c r="AA20" i="192" s="1"/>
  <c r="AC20" i="192" s="1"/>
  <c r="L20" i="192"/>
  <c r="N20" i="192" s="1"/>
  <c r="I20" i="192"/>
  <c r="K20" i="192" s="1"/>
  <c r="H20" i="192"/>
  <c r="AF19" i="192"/>
  <c r="Y19" i="192"/>
  <c r="AA19" i="192" s="1"/>
  <c r="L19" i="192"/>
  <c r="N19" i="192" s="1"/>
  <c r="O19" i="192" s="1"/>
  <c r="I19" i="192"/>
  <c r="K19" i="192" s="1"/>
  <c r="H19" i="192"/>
  <c r="AF18" i="192"/>
  <c r="Y18" i="192"/>
  <c r="AA18" i="192" s="1"/>
  <c r="AC18" i="192" s="1"/>
  <c r="L18" i="192"/>
  <c r="N18" i="192" s="1"/>
  <c r="I18" i="192"/>
  <c r="K18" i="192" s="1"/>
  <c r="H18" i="192"/>
  <c r="AF17" i="192"/>
  <c r="Y17" i="192"/>
  <c r="AA17" i="192" s="1"/>
  <c r="AC17" i="192" s="1"/>
  <c r="L17" i="192"/>
  <c r="N17" i="192" s="1"/>
  <c r="K17" i="192"/>
  <c r="H17" i="192"/>
  <c r="AF16" i="192"/>
  <c r="Y16" i="192"/>
  <c r="AA16" i="192" s="1"/>
  <c r="AC16" i="192" s="1"/>
  <c r="J16" i="192"/>
  <c r="L16" i="192" s="1"/>
  <c r="N16" i="192" s="1"/>
  <c r="I16" i="192"/>
  <c r="K16" i="192" s="1"/>
  <c r="H16" i="192"/>
  <c r="AF15" i="192"/>
  <c r="AA15" i="192"/>
  <c r="AC15" i="192" s="1"/>
  <c r="Y15" i="192"/>
  <c r="J15" i="192"/>
  <c r="L15" i="192" s="1"/>
  <c r="N15" i="192" s="1"/>
  <c r="I15" i="192"/>
  <c r="K15" i="192" s="1"/>
  <c r="H15" i="192"/>
  <c r="AF14" i="192"/>
  <c r="Y14" i="192"/>
  <c r="AA14" i="192" s="1"/>
  <c r="AC14" i="192" s="1"/>
  <c r="L14" i="192"/>
  <c r="N14" i="192" s="1"/>
  <c r="K14" i="192"/>
  <c r="H14" i="192"/>
  <c r="C14" i="192"/>
  <c r="AF13" i="192"/>
  <c r="Y13" i="192"/>
  <c r="L13" i="192"/>
  <c r="N13" i="192" s="1"/>
  <c r="K13" i="192"/>
  <c r="H13" i="192"/>
  <c r="AK10" i="192"/>
  <c r="AJ10" i="192"/>
  <c r="AH10" i="192"/>
  <c r="AG10" i="192"/>
  <c r="AE10" i="192"/>
  <c r="AD10" i="192"/>
  <c r="Z10" i="192"/>
  <c r="X10" i="192"/>
  <c r="W10" i="192"/>
  <c r="V10" i="192"/>
  <c r="V92" i="192" s="1"/>
  <c r="U10" i="192"/>
  <c r="T10" i="192"/>
  <c r="S10" i="192"/>
  <c r="Q10" i="192"/>
  <c r="P10" i="192"/>
  <c r="M10" i="192"/>
  <c r="G10" i="192"/>
  <c r="F10" i="192"/>
  <c r="AF9" i="192"/>
  <c r="Y9" i="192"/>
  <c r="AA9" i="192" s="1"/>
  <c r="AC9" i="192" s="1"/>
  <c r="J9" i="192"/>
  <c r="J10" i="192" s="1"/>
  <c r="I9" i="192"/>
  <c r="I10" i="192" s="1"/>
  <c r="H9" i="192"/>
  <c r="C9" i="192"/>
  <c r="AF8" i="192"/>
  <c r="AA8" i="192"/>
  <c r="AC8" i="192" s="1"/>
  <c r="AC10" i="192" s="1"/>
  <c r="Y8" i="192"/>
  <c r="L8" i="192"/>
  <c r="N8" i="192" s="1"/>
  <c r="K8" i="192"/>
  <c r="H8" i="192"/>
  <c r="AF10" i="192" l="1"/>
  <c r="AF90" i="192"/>
  <c r="AF75" i="192"/>
  <c r="K63" i="192"/>
  <c r="H68" i="192"/>
  <c r="AB39" i="192"/>
  <c r="AI39" i="192" s="1"/>
  <c r="Y10" i="192"/>
  <c r="AH92" i="192"/>
  <c r="Y49" i="192"/>
  <c r="Y63" i="192"/>
  <c r="H75" i="192"/>
  <c r="AB14" i="192"/>
  <c r="AI14" i="192" s="1"/>
  <c r="O14" i="192"/>
  <c r="AB17" i="192"/>
  <c r="AI17" i="192" s="1"/>
  <c r="O17" i="192"/>
  <c r="AB33" i="192"/>
  <c r="AI33" i="192" s="1"/>
  <c r="O33" i="192"/>
  <c r="AB73" i="192"/>
  <c r="AI73" i="192" s="1"/>
  <c r="O73" i="192"/>
  <c r="Y43" i="192"/>
  <c r="AA25" i="192"/>
  <c r="AA43" i="192" s="1"/>
  <c r="BC9" i="191" s="1"/>
  <c r="AK92" i="192"/>
  <c r="I49" i="192"/>
  <c r="I57" i="192"/>
  <c r="AA60" i="192"/>
  <c r="AA63" i="192" s="1"/>
  <c r="AB72" i="192"/>
  <c r="AI72" i="192" s="1"/>
  <c r="I90" i="192"/>
  <c r="L84" i="192"/>
  <c r="X92" i="192"/>
  <c r="AF43" i="192"/>
  <c r="H57" i="192"/>
  <c r="L53" i="192"/>
  <c r="N53" i="192" s="1"/>
  <c r="AB53" i="192" s="1"/>
  <c r="AI53" i="192" s="1"/>
  <c r="Y75" i="192"/>
  <c r="Z92" i="192"/>
  <c r="H22" i="192"/>
  <c r="C27" i="192"/>
  <c r="C28" i="192" s="1"/>
  <c r="C29" i="192" s="1"/>
  <c r="C30" i="192" s="1"/>
  <c r="C31" i="192" s="1"/>
  <c r="C32" i="192" s="1"/>
  <c r="C33" i="192" s="1"/>
  <c r="C34" i="192" s="1"/>
  <c r="C35" i="192" s="1"/>
  <c r="C36" i="192" s="1"/>
  <c r="C37" i="192" s="1"/>
  <c r="C38" i="192" s="1"/>
  <c r="C39" i="192" s="1"/>
  <c r="C40" i="192" s="1"/>
  <c r="C41" i="192" s="1"/>
  <c r="C42" i="192" s="1"/>
  <c r="H10" i="192"/>
  <c r="Q92" i="192"/>
  <c r="AD92" i="192"/>
  <c r="E22" i="40" s="1"/>
  <c r="H49" i="192"/>
  <c r="AF63" i="192"/>
  <c r="N78" i="192"/>
  <c r="K88" i="192"/>
  <c r="AB27" i="192"/>
  <c r="AI27" i="192" s="1"/>
  <c r="AJ92" i="192"/>
  <c r="O27" i="192"/>
  <c r="H31" i="192"/>
  <c r="H43" i="192" s="1"/>
  <c r="K68" i="192"/>
  <c r="N87" i="192"/>
  <c r="L88" i="192"/>
  <c r="N88" i="192" s="1"/>
  <c r="AB74" i="192"/>
  <c r="AI74" i="192" s="1"/>
  <c r="G92" i="192"/>
  <c r="M92" i="192"/>
  <c r="S92" i="192"/>
  <c r="AE92" i="192"/>
  <c r="H22" i="40" s="1"/>
  <c r="I43" i="192"/>
  <c r="T92" i="192"/>
  <c r="Y22" i="192"/>
  <c r="J43" i="192"/>
  <c r="L49" i="192"/>
  <c r="AF57" i="192"/>
  <c r="L68" i="192"/>
  <c r="Y90" i="192"/>
  <c r="N75" i="192"/>
  <c r="U92" i="192"/>
  <c r="AG92" i="192"/>
  <c r="AF22" i="192"/>
  <c r="L43" i="192"/>
  <c r="H63" i="192"/>
  <c r="Y68" i="192"/>
  <c r="L75" i="192"/>
  <c r="H84" i="192"/>
  <c r="AA87" i="192"/>
  <c r="O54" i="192"/>
  <c r="AB54" i="192"/>
  <c r="AI54" i="192" s="1"/>
  <c r="AB20" i="192"/>
  <c r="AI20" i="192" s="1"/>
  <c r="O20" i="192"/>
  <c r="O37" i="192"/>
  <c r="AB37" i="192"/>
  <c r="AI37" i="192" s="1"/>
  <c r="AB42" i="192"/>
  <c r="AI42" i="192" s="1"/>
  <c r="O42" i="192"/>
  <c r="AB61" i="192"/>
  <c r="AI61" i="192" s="1"/>
  <c r="O61" i="192"/>
  <c r="O18" i="192"/>
  <c r="AB18" i="192"/>
  <c r="AI18" i="192" s="1"/>
  <c r="AB56" i="192"/>
  <c r="AI56" i="192" s="1"/>
  <c r="O56" i="192"/>
  <c r="AC82" i="192"/>
  <c r="AC84" i="192" s="1"/>
  <c r="AA84" i="192"/>
  <c r="AB83" i="192"/>
  <c r="AI83" i="192" s="1"/>
  <c r="O83" i="192"/>
  <c r="AB31" i="192"/>
  <c r="AI31" i="192" s="1"/>
  <c r="O31" i="192"/>
  <c r="O67" i="192"/>
  <c r="AB67" i="192"/>
  <c r="AI67" i="192" s="1"/>
  <c r="O21" i="192"/>
  <c r="AB21" i="192"/>
  <c r="AI21" i="192" s="1"/>
  <c r="O32" i="192"/>
  <c r="AB32" i="192"/>
  <c r="AI32" i="192" s="1"/>
  <c r="AB15" i="192"/>
  <c r="AI15" i="192" s="1"/>
  <c r="O15" i="192"/>
  <c r="K22" i="192"/>
  <c r="O16" i="192"/>
  <c r="AB16" i="192"/>
  <c r="AI16" i="192" s="1"/>
  <c r="AB36" i="192"/>
  <c r="AI36" i="192" s="1"/>
  <c r="AB40" i="192"/>
  <c r="AI40" i="192" s="1"/>
  <c r="O40" i="192"/>
  <c r="AB28" i="192"/>
  <c r="AI28" i="192" s="1"/>
  <c r="O28" i="192"/>
  <c r="N22" i="192"/>
  <c r="O13" i="192"/>
  <c r="AB19" i="192"/>
  <c r="AI19" i="192" s="1"/>
  <c r="AC19" i="192"/>
  <c r="O34" i="192"/>
  <c r="AB34" i="192"/>
  <c r="AI34" i="192" s="1"/>
  <c r="AA57" i="192"/>
  <c r="AC52" i="192"/>
  <c r="AC57" i="192" s="1"/>
  <c r="AB55" i="192"/>
  <c r="AI55" i="192" s="1"/>
  <c r="O55" i="192"/>
  <c r="AB88" i="192"/>
  <c r="AI88" i="192" s="1"/>
  <c r="O88" i="192"/>
  <c r="AB38" i="192"/>
  <c r="AI38" i="192" s="1"/>
  <c r="O38" i="192"/>
  <c r="O8" i="192"/>
  <c r="AB8" i="192"/>
  <c r="O62" i="192"/>
  <c r="AB62" i="192"/>
  <c r="AI62" i="192" s="1"/>
  <c r="AC86" i="192"/>
  <c r="AB86" i="192"/>
  <c r="AI86" i="192" s="1"/>
  <c r="O29" i="192"/>
  <c r="AB29" i="192"/>
  <c r="AI29" i="192" s="1"/>
  <c r="AA10" i="192"/>
  <c r="K9" i="192"/>
  <c r="K10" i="192" s="1"/>
  <c r="AA13" i="192"/>
  <c r="AB13" i="192" s="1"/>
  <c r="N25" i="192"/>
  <c r="AB26" i="192"/>
  <c r="AI26" i="192" s="1"/>
  <c r="O39" i="192"/>
  <c r="K42" i="192"/>
  <c r="AA46" i="192"/>
  <c r="K47" i="192"/>
  <c r="K49" i="192" s="1"/>
  <c r="O48" i="192"/>
  <c r="L9" i="192"/>
  <c r="N9" i="192" s="1"/>
  <c r="N10" i="192" s="1"/>
  <c r="C15" i="192"/>
  <c r="C16" i="192" s="1"/>
  <c r="C17" i="192" s="1"/>
  <c r="C18" i="192" s="1"/>
  <c r="C19" i="192" s="1"/>
  <c r="C20" i="192" s="1"/>
  <c r="C21" i="192" s="1"/>
  <c r="I22" i="192"/>
  <c r="K27" i="192"/>
  <c r="K52" i="192"/>
  <c r="K57" i="192" s="1"/>
  <c r="C62" i="192"/>
  <c r="N66" i="192"/>
  <c r="AA78" i="192"/>
  <c r="AB78" i="192" s="1"/>
  <c r="N82" i="192"/>
  <c r="K87" i="192"/>
  <c r="K90" i="192" s="1"/>
  <c r="J22" i="192"/>
  <c r="C48" i="192"/>
  <c r="W57" i="192"/>
  <c r="W92" i="192" s="1"/>
  <c r="AA71" i="192"/>
  <c r="AB71" i="192" s="1"/>
  <c r="AB89" i="192"/>
  <c r="AI89" i="192" s="1"/>
  <c r="O30" i="192"/>
  <c r="O35" i="192"/>
  <c r="P36" i="192"/>
  <c r="O36" i="192" s="1"/>
  <c r="F43" i="192"/>
  <c r="F92" i="192" s="1"/>
  <c r="O47" i="192"/>
  <c r="N52" i="192"/>
  <c r="C73" i="192"/>
  <c r="C74" i="192" s="1"/>
  <c r="I84" i="192"/>
  <c r="Y84" i="192"/>
  <c r="J90" i="192"/>
  <c r="L22" i="192"/>
  <c r="Y57" i="192"/>
  <c r="N60" i="192"/>
  <c r="AA66" i="192"/>
  <c r="O74" i="192"/>
  <c r="O87" i="192"/>
  <c r="AC25" i="192"/>
  <c r="AC43" i="192" s="1"/>
  <c r="N46" i="192"/>
  <c r="J57" i="192"/>
  <c r="H87" i="192"/>
  <c r="H90" i="192" s="1"/>
  <c r="AB87" i="192"/>
  <c r="K43" i="192" l="1"/>
  <c r="AF92" i="192"/>
  <c r="O90" i="192"/>
  <c r="H92" i="192"/>
  <c r="O53" i="192"/>
  <c r="P43" i="192"/>
  <c r="P92" i="192" s="1"/>
  <c r="L57" i="192"/>
  <c r="AC60" i="192"/>
  <c r="AC63" i="192" s="1"/>
  <c r="J92" i="192"/>
  <c r="Y92" i="192"/>
  <c r="I92" i="192"/>
  <c r="O75" i="192"/>
  <c r="AA90" i="192"/>
  <c r="AC87" i="192"/>
  <c r="AC90" i="192" s="1"/>
  <c r="L90" i="192"/>
  <c r="K92" i="192"/>
  <c r="N90" i="192"/>
  <c r="N79" i="192"/>
  <c r="O78" i="192"/>
  <c r="O79" i="192" s="1"/>
  <c r="AI13" i="192"/>
  <c r="AI22" i="192" s="1"/>
  <c r="AB22" i="192"/>
  <c r="AB82" i="192"/>
  <c r="O82" i="192"/>
  <c r="O84" i="192" s="1"/>
  <c r="N84" i="192"/>
  <c r="AA79" i="192"/>
  <c r="AC78" i="192"/>
  <c r="AC79" i="192" s="1"/>
  <c r="L10" i="192"/>
  <c r="AB25" i="192"/>
  <c r="N43" i="192"/>
  <c r="O25" i="192"/>
  <c r="O43" i="192" s="1"/>
  <c r="AC66" i="192"/>
  <c r="AC68" i="192" s="1"/>
  <c r="AA68" i="192"/>
  <c r="AI71" i="192"/>
  <c r="AI75" i="192" s="1"/>
  <c r="AB75" i="192"/>
  <c r="AI78" i="192"/>
  <c r="AI79" i="192" s="1"/>
  <c r="AB79" i="192"/>
  <c r="N68" i="192"/>
  <c r="AB66" i="192"/>
  <c r="O66" i="192"/>
  <c r="O68" i="192" s="1"/>
  <c r="AB9" i="192"/>
  <c r="AI9" i="192" s="1"/>
  <c r="O9" i="192"/>
  <c r="O10" i="192" s="1"/>
  <c r="AA22" i="192"/>
  <c r="BC8" i="191" s="1"/>
  <c r="AC13" i="192"/>
  <c r="AC22" i="192" s="1"/>
  <c r="O22" i="192"/>
  <c r="AB90" i="192"/>
  <c r="AI87" i="192"/>
  <c r="AI90" i="192" s="1"/>
  <c r="N63" i="192"/>
  <c r="O60" i="192"/>
  <c r="O63" i="192" s="1"/>
  <c r="AB60" i="192"/>
  <c r="AB52" i="192"/>
  <c r="O52" i="192"/>
  <c r="O57" i="192" s="1"/>
  <c r="N57" i="192"/>
  <c r="AC71" i="192"/>
  <c r="AC75" i="192" s="1"/>
  <c r="AA75" i="192"/>
  <c r="BC14" i="191" s="1"/>
  <c r="AA49" i="192"/>
  <c r="AC46" i="192"/>
  <c r="AC49" i="192" s="1"/>
  <c r="O46" i="192"/>
  <c r="O49" i="192" s="1"/>
  <c r="AB46" i="192"/>
  <c r="N49" i="192"/>
  <c r="AI8" i="192"/>
  <c r="BC19" i="191" l="1"/>
  <c r="AI10" i="192"/>
  <c r="L92" i="192"/>
  <c r="AA92" i="192"/>
  <c r="AB10" i="192"/>
  <c r="AC92" i="192"/>
  <c r="D22" i="40" s="1"/>
  <c r="N92" i="192"/>
  <c r="O92" i="192"/>
  <c r="AB63" i="192"/>
  <c r="AI60" i="192"/>
  <c r="AI63" i="192" s="1"/>
  <c r="AB49" i="192"/>
  <c r="AI46" i="192"/>
  <c r="AI49" i="192" s="1"/>
  <c r="AB68" i="192"/>
  <c r="AI66" i="192"/>
  <c r="AI68" i="192" s="1"/>
  <c r="AI25" i="192"/>
  <c r="AI43" i="192" s="1"/>
  <c r="AB43" i="192"/>
  <c r="AB84" i="192"/>
  <c r="AI82" i="192"/>
  <c r="AI84" i="192" s="1"/>
  <c r="AB57" i="192"/>
  <c r="AI52" i="192"/>
  <c r="AI57" i="192" s="1"/>
  <c r="AI92" i="192" l="1"/>
  <c r="AB92" i="192"/>
  <c r="AJ71" i="181" l="1"/>
  <c r="AG9" i="191" s="1"/>
  <c r="AI71" i="181"/>
  <c r="AH71" i="181"/>
  <c r="AG71" i="181"/>
  <c r="AF71" i="181"/>
  <c r="AC9" i="191" s="1"/>
  <c r="AE71" i="181"/>
  <c r="AD71" i="181"/>
  <c r="AL64" i="181"/>
  <c r="AL65" i="181"/>
  <c r="AL66" i="181"/>
  <c r="AL67" i="181"/>
  <c r="AL68" i="181"/>
  <c r="AL69" i="181"/>
  <c r="AL70" i="181"/>
  <c r="AL59" i="181"/>
  <c r="AL60" i="181"/>
  <c r="AL61" i="181"/>
  <c r="AL62" i="181"/>
  <c r="AL63" i="181"/>
  <c r="AL55" i="181"/>
  <c r="AL56" i="181"/>
  <c r="AL57" i="181"/>
  <c r="AL58" i="181"/>
  <c r="AL51" i="181"/>
  <c r="AL52" i="181"/>
  <c r="AL53" i="181"/>
  <c r="AL54" i="181"/>
  <c r="AL48" i="181"/>
  <c r="AL49" i="181"/>
  <c r="AL50" i="181"/>
  <c r="AL45" i="181"/>
  <c r="AL46" i="181"/>
  <c r="AL47" i="181"/>
  <c r="AL40" i="181"/>
  <c r="AL41" i="181"/>
  <c r="AL42" i="181"/>
  <c r="AL43" i="181"/>
  <c r="AL44" i="181"/>
  <c r="AL37" i="181"/>
  <c r="AL38" i="181"/>
  <c r="AL39" i="181"/>
  <c r="AL36" i="181"/>
  <c r="AL34" i="181"/>
  <c r="AL35" i="181"/>
  <c r="AL30" i="181"/>
  <c r="AL31" i="181"/>
  <c r="AL32" i="181"/>
  <c r="AL33" i="181"/>
  <c r="AL27" i="181"/>
  <c r="AL28" i="181"/>
  <c r="AL29" i="181"/>
  <c r="AL25" i="181"/>
  <c r="AL26" i="181"/>
  <c r="AL21" i="181"/>
  <c r="AL22" i="181"/>
  <c r="AL23" i="181"/>
  <c r="AL24" i="181"/>
  <c r="AL18" i="181"/>
  <c r="AL19" i="181"/>
  <c r="AL20" i="181"/>
  <c r="AL15" i="181"/>
  <c r="AL16" i="181"/>
  <c r="AL17" i="181"/>
  <c r="AL14" i="181"/>
  <c r="AL10" i="181"/>
  <c r="AL11" i="181"/>
  <c r="AL12" i="181"/>
  <c r="AL13" i="181"/>
  <c r="AL8" i="181"/>
  <c r="AL9" i="181"/>
  <c r="AB9" i="191"/>
  <c r="AD9" i="191"/>
  <c r="AE9" i="191"/>
  <c r="AF9" i="191"/>
  <c r="AH9" i="191"/>
  <c r="Z9" i="191"/>
  <c r="AJ9" i="191"/>
  <c r="AM9" i="191"/>
  <c r="AO9" i="191"/>
  <c r="AP9" i="191"/>
  <c r="AQ9" i="191"/>
  <c r="AR9" i="191"/>
  <c r="AS9" i="191"/>
  <c r="AT9" i="191"/>
  <c r="AU9" i="191"/>
  <c r="AV9" i="191"/>
  <c r="AW9" i="191"/>
  <c r="AY9" i="191"/>
  <c r="AZ9" i="191"/>
  <c r="BA9" i="191"/>
  <c r="AI11" i="191"/>
  <c r="AJ11" i="191"/>
  <c r="AK11" i="191"/>
  <c r="AM11" i="191"/>
  <c r="AN11" i="191"/>
  <c r="AO11" i="191"/>
  <c r="AP11" i="191"/>
  <c r="AQ11" i="191"/>
  <c r="AR11" i="191"/>
  <c r="AS11" i="191"/>
  <c r="AT11" i="191"/>
  <c r="AU11" i="191"/>
  <c r="AV11" i="191"/>
  <c r="AW11" i="191"/>
  <c r="AY11" i="191"/>
  <c r="AZ11" i="191"/>
  <c r="BA11" i="191"/>
  <c r="AI12" i="191"/>
  <c r="AJ12" i="191"/>
  <c r="AK12" i="191"/>
  <c r="AL12" i="191"/>
  <c r="AM12" i="191"/>
  <c r="AN12" i="191"/>
  <c r="AO12" i="191"/>
  <c r="AP12" i="191"/>
  <c r="AQ12" i="191"/>
  <c r="AR12" i="191"/>
  <c r="AS12" i="191"/>
  <c r="AT12" i="191"/>
  <c r="AU12" i="191"/>
  <c r="AV12" i="191"/>
  <c r="AW12" i="191"/>
  <c r="AX12" i="191"/>
  <c r="AY12" i="191"/>
  <c r="AZ12" i="191"/>
  <c r="BA12" i="191"/>
  <c r="AI13" i="191"/>
  <c r="AJ13" i="191"/>
  <c r="AK13" i="191"/>
  <c r="AL13" i="191"/>
  <c r="AM13" i="191"/>
  <c r="AN13" i="191"/>
  <c r="AO13" i="191"/>
  <c r="AP13" i="191"/>
  <c r="AQ13" i="191"/>
  <c r="AR13" i="191"/>
  <c r="AS13" i="191"/>
  <c r="AT13" i="191"/>
  <c r="AU13" i="191"/>
  <c r="AV13" i="191"/>
  <c r="AW13" i="191"/>
  <c r="AX13" i="191"/>
  <c r="AY13" i="191"/>
  <c r="AZ13" i="191"/>
  <c r="BA13" i="191"/>
  <c r="AM14" i="191"/>
  <c r="AP14" i="191"/>
  <c r="AI15" i="191"/>
  <c r="AJ15" i="191"/>
  <c r="AK15" i="191"/>
  <c r="AL15" i="191"/>
  <c r="AM15" i="191"/>
  <c r="AN15" i="191"/>
  <c r="AO15" i="191"/>
  <c r="AP15" i="191"/>
  <c r="AQ15" i="191"/>
  <c r="AR15" i="191"/>
  <c r="AS15" i="191"/>
  <c r="AT15" i="191"/>
  <c r="AU15" i="191"/>
  <c r="AV15" i="191"/>
  <c r="AW15" i="191"/>
  <c r="AX15" i="191"/>
  <c r="AY15" i="191"/>
  <c r="AZ15" i="191"/>
  <c r="BA15" i="191"/>
  <c r="AI16" i="191"/>
  <c r="AJ16" i="191"/>
  <c r="AK16" i="191"/>
  <c r="AL16" i="191"/>
  <c r="AM16" i="191"/>
  <c r="AN16" i="191"/>
  <c r="AO16" i="191"/>
  <c r="AP16" i="191"/>
  <c r="AQ16" i="191"/>
  <c r="AR16" i="191"/>
  <c r="AS16" i="191"/>
  <c r="AT16" i="191"/>
  <c r="AU16" i="191"/>
  <c r="AV16" i="191"/>
  <c r="AW16" i="191"/>
  <c r="AX16" i="191"/>
  <c r="AY16" i="191"/>
  <c r="AZ16" i="191"/>
  <c r="BA16" i="191"/>
  <c r="AJ17" i="191"/>
  <c r="AN17" i="191"/>
  <c r="AO17" i="191"/>
  <c r="AP17" i="191"/>
  <c r="AQ17" i="191"/>
  <c r="AR17" i="191"/>
  <c r="AS17" i="191"/>
  <c r="AT17" i="191"/>
  <c r="AU17" i="191"/>
  <c r="AV17" i="191"/>
  <c r="AX17" i="191"/>
  <c r="AY17" i="191"/>
  <c r="AZ17" i="191"/>
  <c r="BA17" i="191"/>
  <c r="AJ18" i="191"/>
  <c r="AO18" i="191"/>
  <c r="AP18" i="191"/>
  <c r="AQ18" i="191"/>
  <c r="AR18" i="191"/>
  <c r="AS18" i="191"/>
  <c r="AT18" i="191"/>
  <c r="AU18" i="191"/>
  <c r="AV18" i="191"/>
  <c r="AX18" i="191"/>
  <c r="AY18" i="191"/>
  <c r="AZ18" i="191"/>
  <c r="BA18" i="191"/>
  <c r="AA11" i="191"/>
  <c r="AB11" i="191"/>
  <c r="AC11" i="191"/>
  <c r="AD11" i="191"/>
  <c r="AE11" i="191"/>
  <c r="AF11" i="191"/>
  <c r="AG11" i="191"/>
  <c r="AH11" i="191"/>
  <c r="AA12" i="191"/>
  <c r="AB12" i="191"/>
  <c r="AC12" i="191"/>
  <c r="AD12" i="191"/>
  <c r="AE12" i="191"/>
  <c r="AF12" i="191"/>
  <c r="AG12" i="191"/>
  <c r="AH12" i="191"/>
  <c r="AA13" i="191"/>
  <c r="AB13" i="191"/>
  <c r="AC13" i="191"/>
  <c r="AD13" i="191"/>
  <c r="AE13" i="191"/>
  <c r="AF13" i="191"/>
  <c r="AG13" i="191"/>
  <c r="AH13" i="191"/>
  <c r="AA15" i="191"/>
  <c r="AB15" i="191"/>
  <c r="AC15" i="191"/>
  <c r="AD15" i="191"/>
  <c r="AE15" i="191"/>
  <c r="AF15" i="191"/>
  <c r="AG15" i="191"/>
  <c r="AH15" i="191"/>
  <c r="AA16" i="191"/>
  <c r="AB16" i="191"/>
  <c r="AC16" i="191"/>
  <c r="AD16" i="191"/>
  <c r="AE16" i="191"/>
  <c r="AF16" i="191"/>
  <c r="AG16" i="191"/>
  <c r="AH16" i="191"/>
  <c r="AA17" i="191"/>
  <c r="AB17" i="191"/>
  <c r="AC17" i="191"/>
  <c r="AD17" i="191"/>
  <c r="AE17" i="191"/>
  <c r="AF17" i="191"/>
  <c r="AG17" i="191"/>
  <c r="AA18" i="191"/>
  <c r="AB18" i="191"/>
  <c r="AC18" i="191"/>
  <c r="AD18" i="191"/>
  <c r="AE18" i="191"/>
  <c r="AF18" i="191"/>
  <c r="AG18" i="191"/>
  <c r="Z12" i="191"/>
  <c r="Z11" i="191"/>
  <c r="Z18" i="191"/>
  <c r="Z17" i="191"/>
  <c r="Z16" i="191"/>
  <c r="Z15" i="191"/>
  <c r="Z13" i="191"/>
  <c r="X18" i="191"/>
  <c r="W18" i="191"/>
  <c r="V18" i="191"/>
  <c r="U18" i="191"/>
  <c r="T18" i="191"/>
  <c r="S18" i="191"/>
  <c r="R18" i="191"/>
  <c r="Q18" i="191"/>
  <c r="P18" i="191"/>
  <c r="O18" i="191"/>
  <c r="N18" i="191"/>
  <c r="M18" i="191"/>
  <c r="L18" i="191"/>
  <c r="K18" i="191"/>
  <c r="J18" i="191"/>
  <c r="I18" i="191"/>
  <c r="H18" i="191"/>
  <c r="G18" i="191"/>
  <c r="F18" i="191"/>
  <c r="E18" i="191"/>
  <c r="D18" i="191"/>
  <c r="C18" i="191"/>
  <c r="B18" i="191"/>
  <c r="X17" i="191"/>
  <c r="W17" i="191"/>
  <c r="V17" i="191"/>
  <c r="U17" i="191"/>
  <c r="T17" i="191"/>
  <c r="S17" i="191"/>
  <c r="R17" i="191"/>
  <c r="Q17" i="191"/>
  <c r="P17" i="191"/>
  <c r="O17" i="191"/>
  <c r="N17" i="191"/>
  <c r="M17" i="191"/>
  <c r="L17" i="191"/>
  <c r="K17" i="191"/>
  <c r="J17" i="191"/>
  <c r="I17" i="191"/>
  <c r="H17" i="191"/>
  <c r="G17" i="191"/>
  <c r="F17" i="191"/>
  <c r="E17" i="191"/>
  <c r="D17" i="191"/>
  <c r="C17" i="191"/>
  <c r="B17" i="191"/>
  <c r="X16" i="191"/>
  <c r="W16" i="191"/>
  <c r="V16" i="191"/>
  <c r="U16" i="191"/>
  <c r="T16" i="191"/>
  <c r="S16" i="191"/>
  <c r="R16" i="191"/>
  <c r="Q16" i="191"/>
  <c r="P16" i="191"/>
  <c r="O16" i="191"/>
  <c r="N16" i="191"/>
  <c r="M16" i="191"/>
  <c r="L16" i="191"/>
  <c r="K16" i="191"/>
  <c r="J16" i="191"/>
  <c r="I16" i="191"/>
  <c r="H16" i="191"/>
  <c r="G16" i="191"/>
  <c r="F16" i="191"/>
  <c r="E16" i="191"/>
  <c r="D16" i="191"/>
  <c r="C16" i="191"/>
  <c r="B16" i="191"/>
  <c r="X15" i="191"/>
  <c r="W15" i="191"/>
  <c r="V15" i="191"/>
  <c r="U15" i="191"/>
  <c r="T15" i="191"/>
  <c r="S15" i="191"/>
  <c r="R15" i="191"/>
  <c r="Q15" i="191"/>
  <c r="P15" i="191"/>
  <c r="O15" i="191"/>
  <c r="N15" i="191"/>
  <c r="M15" i="191"/>
  <c r="L15" i="191"/>
  <c r="K15" i="191"/>
  <c r="J15" i="191"/>
  <c r="I15" i="191"/>
  <c r="H15" i="191"/>
  <c r="G15" i="191"/>
  <c r="F15" i="191"/>
  <c r="E15" i="191"/>
  <c r="D15" i="191"/>
  <c r="C15" i="191"/>
  <c r="B15" i="191"/>
  <c r="X14" i="191"/>
  <c r="W14" i="191"/>
  <c r="V14" i="191"/>
  <c r="U14" i="191"/>
  <c r="T14" i="191"/>
  <c r="S14" i="191"/>
  <c r="R14" i="191"/>
  <c r="Q14" i="191"/>
  <c r="P14" i="191"/>
  <c r="O14" i="191"/>
  <c r="N14" i="191"/>
  <c r="M14" i="191"/>
  <c r="L14" i="191"/>
  <c r="K14" i="191"/>
  <c r="J14" i="191"/>
  <c r="I14" i="191"/>
  <c r="H14" i="191"/>
  <c r="G14" i="191"/>
  <c r="F14" i="191"/>
  <c r="E14" i="191"/>
  <c r="D14" i="191"/>
  <c r="C14" i="191"/>
  <c r="B14" i="191"/>
  <c r="X13" i="191"/>
  <c r="W13" i="191"/>
  <c r="V13" i="191"/>
  <c r="U13" i="191"/>
  <c r="T13" i="191"/>
  <c r="S13" i="191"/>
  <c r="R13" i="191"/>
  <c r="Q13" i="191"/>
  <c r="P13" i="191"/>
  <c r="O13" i="191"/>
  <c r="N13" i="191"/>
  <c r="M13" i="191"/>
  <c r="L13" i="191"/>
  <c r="K13" i="191"/>
  <c r="J13" i="191"/>
  <c r="I13" i="191"/>
  <c r="H13" i="191"/>
  <c r="G13" i="191"/>
  <c r="F13" i="191"/>
  <c r="E13" i="191"/>
  <c r="D13" i="191"/>
  <c r="C13" i="191"/>
  <c r="B13" i="191"/>
  <c r="X12" i="191"/>
  <c r="W12" i="191"/>
  <c r="V12" i="191"/>
  <c r="U12" i="191"/>
  <c r="T12" i="191"/>
  <c r="S12" i="191"/>
  <c r="R12" i="191"/>
  <c r="Q12" i="191"/>
  <c r="P12" i="191"/>
  <c r="O12" i="191"/>
  <c r="N12" i="191"/>
  <c r="M12" i="191"/>
  <c r="L12" i="191"/>
  <c r="K12" i="191"/>
  <c r="J12" i="191"/>
  <c r="I12" i="191"/>
  <c r="H12" i="191"/>
  <c r="G12" i="191"/>
  <c r="F12" i="191"/>
  <c r="E12" i="191"/>
  <c r="D12" i="191"/>
  <c r="C12" i="191"/>
  <c r="B12" i="191"/>
  <c r="W11" i="191"/>
  <c r="V11" i="191"/>
  <c r="T11" i="191"/>
  <c r="R11" i="191"/>
  <c r="Q11" i="191"/>
  <c r="P11" i="191"/>
  <c r="O11" i="191"/>
  <c r="N11" i="191"/>
  <c r="K11" i="191"/>
  <c r="J11" i="191"/>
  <c r="I11" i="191"/>
  <c r="H11" i="191"/>
  <c r="G11" i="191"/>
  <c r="F11" i="191"/>
  <c r="E11" i="191"/>
  <c r="C11" i="191"/>
  <c r="X10" i="191"/>
  <c r="W10" i="191"/>
  <c r="V10" i="191"/>
  <c r="U10" i="191"/>
  <c r="T10" i="191"/>
  <c r="S10" i="191"/>
  <c r="R10" i="191"/>
  <c r="Q10" i="191"/>
  <c r="P10" i="191"/>
  <c r="O10" i="191"/>
  <c r="N10" i="191"/>
  <c r="M10" i="191"/>
  <c r="L10" i="191"/>
  <c r="K10" i="191"/>
  <c r="J10" i="191"/>
  <c r="I10" i="191"/>
  <c r="H10" i="191"/>
  <c r="G10" i="191"/>
  <c r="F10" i="191"/>
  <c r="E10" i="191"/>
  <c r="D10" i="191"/>
  <c r="C10" i="191"/>
  <c r="B10" i="191"/>
  <c r="X9" i="191"/>
  <c r="W9" i="191"/>
  <c r="V9" i="191"/>
  <c r="U9" i="191"/>
  <c r="T9" i="191"/>
  <c r="S9" i="191"/>
  <c r="R9" i="191"/>
  <c r="Q9" i="191"/>
  <c r="P9" i="191"/>
  <c r="O9" i="191"/>
  <c r="N9" i="191"/>
  <c r="M9" i="191"/>
  <c r="L9" i="191"/>
  <c r="K9" i="191"/>
  <c r="J9" i="191"/>
  <c r="I9" i="191"/>
  <c r="H9" i="191"/>
  <c r="G9" i="191"/>
  <c r="F9" i="191"/>
  <c r="E9" i="191"/>
  <c r="D9" i="191"/>
  <c r="C9" i="191"/>
  <c r="B9" i="191"/>
  <c r="AU8" i="190"/>
  <c r="AN9" i="190"/>
  <c r="AO9" i="190" s="1"/>
  <c r="AZ9" i="190" s="1"/>
  <c r="AP9" i="190"/>
  <c r="AU9" i="190"/>
  <c r="AN10" i="190"/>
  <c r="AP10" i="190" s="1"/>
  <c r="AO10" i="190"/>
  <c r="AZ10" i="190" s="1"/>
  <c r="AU10" i="190"/>
  <c r="AN11" i="190"/>
  <c r="AO11" i="190" s="1"/>
  <c r="AZ11" i="190" s="1"/>
  <c r="AU11" i="190"/>
  <c r="AN12" i="190"/>
  <c r="AP12" i="190" s="1"/>
  <c r="AO12" i="190"/>
  <c r="AU12" i="190"/>
  <c r="AZ12" i="190"/>
  <c r="AN13" i="190"/>
  <c r="AO13" i="190" s="1"/>
  <c r="AZ13" i="190" s="1"/>
  <c r="AP13" i="190"/>
  <c r="AU13" i="190"/>
  <c r="AN14" i="190"/>
  <c r="AO14" i="190"/>
  <c r="AZ14" i="190" s="1"/>
  <c r="AP14" i="190"/>
  <c r="AU14" i="190"/>
  <c r="AN15" i="190"/>
  <c r="AO15" i="190" s="1"/>
  <c r="AZ15" i="190" s="1"/>
  <c r="AU15" i="190"/>
  <c r="AN16" i="190"/>
  <c r="AP16" i="190" s="1"/>
  <c r="AO16" i="190"/>
  <c r="AZ16" i="190" s="1"/>
  <c r="AU16" i="190"/>
  <c r="AZ7" i="190"/>
  <c r="AU7" i="190"/>
  <c r="AP7" i="190"/>
  <c r="AO7" i="190"/>
  <c r="AN7" i="190"/>
  <c r="AY17" i="190"/>
  <c r="AX17" i="190"/>
  <c r="AW17" i="190"/>
  <c r="AT17" i="190"/>
  <c r="AS17" i="190"/>
  <c r="AR17" i="190"/>
  <c r="AQ17" i="190"/>
  <c r="AN18" i="191" s="1"/>
  <c r="BA17" i="190"/>
  <c r="AV17" i="190"/>
  <c r="AN8" i="189"/>
  <c r="AO8" i="189" s="1"/>
  <c r="AU8" i="189"/>
  <c r="AN9" i="189"/>
  <c r="AO9" i="189" s="1"/>
  <c r="AZ9" i="189" s="1"/>
  <c r="AP9" i="189"/>
  <c r="AU9" i="189"/>
  <c r="AN10" i="189"/>
  <c r="AO10" i="189"/>
  <c r="AP10" i="189"/>
  <c r="AU10" i="189"/>
  <c r="AZ10" i="189"/>
  <c r="AU11" i="189"/>
  <c r="AN12" i="189"/>
  <c r="AO12" i="189"/>
  <c r="AZ12" i="189" s="1"/>
  <c r="AP12" i="189"/>
  <c r="AU12" i="189"/>
  <c r="AN13" i="189"/>
  <c r="AO13" i="189"/>
  <c r="AP13" i="189"/>
  <c r="AU13" i="189"/>
  <c r="AZ13" i="189"/>
  <c r="AN14" i="189"/>
  <c r="AP14" i="189" s="1"/>
  <c r="AO14" i="189"/>
  <c r="AZ14" i="189" s="1"/>
  <c r="AU14" i="189"/>
  <c r="AN15" i="189"/>
  <c r="AO15" i="189"/>
  <c r="AP15" i="189"/>
  <c r="AU15" i="189"/>
  <c r="AZ15" i="189"/>
  <c r="AN16" i="189"/>
  <c r="AO16" i="189" s="1"/>
  <c r="AZ16" i="189" s="1"/>
  <c r="AU16" i="189"/>
  <c r="AN17" i="189"/>
  <c r="AO17" i="189"/>
  <c r="AZ17" i="189" s="1"/>
  <c r="AP17" i="189"/>
  <c r="AU17" i="189"/>
  <c r="AN18" i="189"/>
  <c r="AO18" i="189"/>
  <c r="AP18" i="189"/>
  <c r="AU18" i="189"/>
  <c r="AZ18" i="189"/>
  <c r="AN19" i="189"/>
  <c r="AO19" i="189" s="1"/>
  <c r="AZ19" i="189" s="1"/>
  <c r="AU19" i="189"/>
  <c r="AN20" i="189"/>
  <c r="AO20" i="189"/>
  <c r="AZ20" i="189" s="1"/>
  <c r="AP20" i="189"/>
  <c r="AU20" i="189"/>
  <c r="AN21" i="189"/>
  <c r="AP21" i="189" s="1"/>
  <c r="AO21" i="189"/>
  <c r="AU21" i="189"/>
  <c r="AZ21" i="189"/>
  <c r="AN22" i="189"/>
  <c r="AP22" i="189" s="1"/>
  <c r="AO22" i="189"/>
  <c r="AZ22" i="189" s="1"/>
  <c r="AU22" i="189"/>
  <c r="AN23" i="189"/>
  <c r="AO23" i="189"/>
  <c r="AP23" i="189"/>
  <c r="AU23" i="189"/>
  <c r="AZ23" i="189"/>
  <c r="AZ7" i="189"/>
  <c r="AU7" i="189"/>
  <c r="AP7" i="189"/>
  <c r="AO7" i="189"/>
  <c r="AN7" i="189"/>
  <c r="AS24" i="189"/>
  <c r="AR24" i="189"/>
  <c r="AQ24" i="189"/>
  <c r="AY24" i="189"/>
  <c r="AX24" i="189"/>
  <c r="AW24" i="189"/>
  <c r="AV24" i="189"/>
  <c r="AT24" i="189"/>
  <c r="AN8" i="188"/>
  <c r="AO8" i="188" s="1"/>
  <c r="BA8" i="188" s="1"/>
  <c r="AV8" i="188"/>
  <c r="AN9" i="188"/>
  <c r="AQ9" i="188" s="1"/>
  <c r="AO9" i="188"/>
  <c r="BA9" i="188" s="1"/>
  <c r="AV9" i="188"/>
  <c r="AN10" i="188"/>
  <c r="AO10" i="188"/>
  <c r="AQ10" i="188"/>
  <c r="AV10" i="188"/>
  <c r="BA10" i="188"/>
  <c r="AN11" i="188"/>
  <c r="AO11" i="188" s="1"/>
  <c r="BA11" i="188" s="1"/>
  <c r="AV11" i="188"/>
  <c r="AN12" i="188"/>
  <c r="AO12" i="188"/>
  <c r="BA12" i="188" s="1"/>
  <c r="AQ12" i="188"/>
  <c r="AV12" i="188"/>
  <c r="AN13" i="188"/>
  <c r="AO13" i="188"/>
  <c r="AQ13" i="188"/>
  <c r="AV13" i="188"/>
  <c r="BA13" i="188"/>
  <c r="AN14" i="188"/>
  <c r="AQ14" i="188" s="1"/>
  <c r="AV14" i="188"/>
  <c r="BA7" i="188"/>
  <c r="AV7" i="188"/>
  <c r="AQ7" i="188"/>
  <c r="AO7" i="188"/>
  <c r="AN7" i="188"/>
  <c r="AT15" i="188"/>
  <c r="AS15" i="188"/>
  <c r="AP15" i="188"/>
  <c r="AR15" i="188"/>
  <c r="AX15" i="188"/>
  <c r="AU15" i="188"/>
  <c r="AW15" i="188"/>
  <c r="AY15" i="188"/>
  <c r="AN8" i="187"/>
  <c r="AO8" i="187" s="1"/>
  <c r="AZ8" i="187" s="1"/>
  <c r="AU8" i="187"/>
  <c r="AN9" i="187"/>
  <c r="AP9" i="187" s="1"/>
  <c r="AO9" i="187"/>
  <c r="AZ9" i="187" s="1"/>
  <c r="AU9" i="187"/>
  <c r="AN10" i="187"/>
  <c r="AO10" i="187"/>
  <c r="AP10" i="187"/>
  <c r="AU10" i="187"/>
  <c r="AZ10" i="187"/>
  <c r="AN11" i="187"/>
  <c r="AO11" i="187" s="1"/>
  <c r="AZ11" i="187" s="1"/>
  <c r="AU11" i="187"/>
  <c r="AN12" i="187"/>
  <c r="AO12" i="187"/>
  <c r="AZ12" i="187" s="1"/>
  <c r="AP12" i="187"/>
  <c r="AU12" i="187"/>
  <c r="AN13" i="187"/>
  <c r="AO13" i="187"/>
  <c r="AP13" i="187"/>
  <c r="AU13" i="187"/>
  <c r="AZ13" i="187"/>
  <c r="AN14" i="187"/>
  <c r="AP14" i="187" s="1"/>
  <c r="AU14" i="187"/>
  <c r="AN15" i="187"/>
  <c r="AO15" i="187"/>
  <c r="AP15" i="187"/>
  <c r="AU15" i="187"/>
  <c r="AZ15" i="187"/>
  <c r="AN16" i="187"/>
  <c r="AO16" i="187" s="1"/>
  <c r="AZ16" i="187" s="1"/>
  <c r="AU16" i="187"/>
  <c r="AN17" i="187"/>
  <c r="AP17" i="187" s="1"/>
  <c r="AO17" i="187"/>
  <c r="AZ17" i="187" s="1"/>
  <c r="AU17" i="187"/>
  <c r="AN18" i="187"/>
  <c r="AO18" i="187"/>
  <c r="AP18" i="187"/>
  <c r="AU18" i="187"/>
  <c r="AZ18" i="187"/>
  <c r="AN19" i="187"/>
  <c r="AP19" i="187" s="1"/>
  <c r="AO19" i="187"/>
  <c r="AZ19" i="187" s="1"/>
  <c r="AU19" i="187"/>
  <c r="AZ7" i="187"/>
  <c r="AN7" i="187"/>
  <c r="AU7" i="187"/>
  <c r="AP7" i="187"/>
  <c r="AO7" i="187"/>
  <c r="AQ20" i="187"/>
  <c r="AS20" i="187"/>
  <c r="AR20" i="187"/>
  <c r="AT20" i="187"/>
  <c r="AX20" i="187"/>
  <c r="AW20" i="187"/>
  <c r="AV20" i="187"/>
  <c r="AY20" i="187"/>
  <c r="AV8" i="186"/>
  <c r="AV9" i="186"/>
  <c r="AV10" i="186"/>
  <c r="AV11" i="186"/>
  <c r="AV12" i="186"/>
  <c r="AV13" i="186"/>
  <c r="AV14" i="186"/>
  <c r="AV15" i="186"/>
  <c r="AV16" i="186"/>
  <c r="AV17" i="186"/>
  <c r="AV18" i="186"/>
  <c r="AV19" i="186"/>
  <c r="AV20" i="186"/>
  <c r="AV21" i="186"/>
  <c r="AV22" i="186"/>
  <c r="AV23" i="186"/>
  <c r="AV24" i="186"/>
  <c r="AV25" i="186"/>
  <c r="AV7" i="186"/>
  <c r="AP26" i="186"/>
  <c r="AS26" i="186"/>
  <c r="AR26" i="186"/>
  <c r="AO14" i="191" s="1"/>
  <c r="AT26" i="186"/>
  <c r="AQ14" i="191" s="1"/>
  <c r="AX26" i="186"/>
  <c r="AU14" i="191" s="1"/>
  <c r="AW26" i="186"/>
  <c r="AT14" i="191" s="1"/>
  <c r="AU26" i="186"/>
  <c r="AR14" i="191" s="1"/>
  <c r="AY26" i="186"/>
  <c r="AV14" i="191" s="1"/>
  <c r="BD16" i="191" l="1"/>
  <c r="BB16" i="191"/>
  <c r="BB15" i="191"/>
  <c r="BD15" i="191"/>
  <c r="BB13" i="191"/>
  <c r="BD13" i="191"/>
  <c r="BB12" i="191"/>
  <c r="BD12" i="191"/>
  <c r="AK74" i="181"/>
  <c r="AK75" i="181" s="1"/>
  <c r="AA9" i="191"/>
  <c r="AU17" i="190"/>
  <c r="AP15" i="190"/>
  <c r="AP11" i="190"/>
  <c r="AZ8" i="189"/>
  <c r="AP16" i="189"/>
  <c r="AP8" i="189"/>
  <c r="AP19" i="189"/>
  <c r="AN15" i="188"/>
  <c r="AO14" i="188"/>
  <c r="BA14" i="188" s="1"/>
  <c r="AQ8" i="188"/>
  <c r="AQ11" i="188"/>
  <c r="AQ15" i="188" s="1"/>
  <c r="AV15" i="188"/>
  <c r="AO14" i="187"/>
  <c r="AZ14" i="187" s="1"/>
  <c r="AP16" i="187"/>
  <c r="AP8" i="187"/>
  <c r="AP11" i="187"/>
  <c r="AN20" i="187"/>
  <c r="AU20" i="187"/>
  <c r="AP20" i="187"/>
  <c r="AV26" i="186"/>
  <c r="AS14" i="191" s="1"/>
  <c r="AO15" i="188" l="1"/>
  <c r="AO20" i="187"/>
  <c r="AV8" i="185" l="1"/>
  <c r="AV9" i="185"/>
  <c r="AV10" i="185"/>
  <c r="AV11" i="185"/>
  <c r="AV12" i="185"/>
  <c r="AV13" i="185"/>
  <c r="AV14" i="185"/>
  <c r="AV15" i="185"/>
  <c r="AV16" i="185"/>
  <c r="AV17" i="185"/>
  <c r="AV18" i="185"/>
  <c r="AV19" i="185"/>
  <c r="AV20" i="185"/>
  <c r="AV21" i="185"/>
  <c r="AV22" i="185"/>
  <c r="AV23" i="185"/>
  <c r="AV24" i="185"/>
  <c r="AV25" i="185"/>
  <c r="AV26" i="185"/>
  <c r="AV27" i="185"/>
  <c r="AV28" i="185"/>
  <c r="AV29" i="185"/>
  <c r="AV30" i="185"/>
  <c r="AV31" i="185"/>
  <c r="AV32" i="185"/>
  <c r="AV33" i="185"/>
  <c r="AV34" i="185"/>
  <c r="AV35" i="185"/>
  <c r="AV36" i="185"/>
  <c r="AV37" i="185"/>
  <c r="AV38" i="185"/>
  <c r="AV39" i="185"/>
  <c r="AV40" i="185"/>
  <c r="AV41" i="185"/>
  <c r="AV42" i="185"/>
  <c r="AV43" i="185"/>
  <c r="AV44" i="185"/>
  <c r="AV45" i="185"/>
  <c r="AV46" i="185"/>
  <c r="AV47" i="185"/>
  <c r="AV48" i="185"/>
  <c r="AR49" i="185"/>
  <c r="AS49" i="185"/>
  <c r="AT49" i="185"/>
  <c r="AU49" i="185"/>
  <c r="AW49" i="185"/>
  <c r="AX49" i="185"/>
  <c r="AY49" i="185"/>
  <c r="AZ49" i="185"/>
  <c r="BB49" i="185"/>
  <c r="BC49" i="185"/>
  <c r="BD49" i="185"/>
  <c r="AV7" i="185"/>
  <c r="AV49" i="185" s="1"/>
  <c r="AP49" i="185"/>
  <c r="AN8" i="184"/>
  <c r="AQ8" i="184" s="1"/>
  <c r="AO8" i="184"/>
  <c r="BA8" i="184" s="1"/>
  <c r="AV8" i="184"/>
  <c r="AN9" i="184"/>
  <c r="AQ9" i="184" s="1"/>
  <c r="AO9" i="184"/>
  <c r="AV9" i="184"/>
  <c r="BA9" i="184"/>
  <c r="AN10" i="184"/>
  <c r="AO10" i="184"/>
  <c r="AQ10" i="184"/>
  <c r="AV10" i="184"/>
  <c r="BA10" i="184"/>
  <c r="AN11" i="184"/>
  <c r="AO11" i="184"/>
  <c r="BA11" i="184" s="1"/>
  <c r="AQ11" i="184"/>
  <c r="AV11" i="184"/>
  <c r="AN12" i="184"/>
  <c r="AO12" i="184"/>
  <c r="BA12" i="184" s="1"/>
  <c r="AQ12" i="184"/>
  <c r="AV12" i="184"/>
  <c r="AN13" i="184"/>
  <c r="AQ13" i="184" s="1"/>
  <c r="AO13" i="184"/>
  <c r="AV13" i="184"/>
  <c r="BA13" i="184"/>
  <c r="AN14" i="184"/>
  <c r="AQ14" i="184" s="1"/>
  <c r="AO14" i="184"/>
  <c r="AV14" i="184"/>
  <c r="BA14" i="184"/>
  <c r="AN15" i="184"/>
  <c r="AO15" i="184"/>
  <c r="BA15" i="184" s="1"/>
  <c r="AQ15" i="184"/>
  <c r="AV15" i="184"/>
  <c r="AN16" i="184"/>
  <c r="AQ16" i="184" s="1"/>
  <c r="AO16" i="184"/>
  <c r="BA16" i="184" s="1"/>
  <c r="AV16" i="184"/>
  <c r="BA7" i="184"/>
  <c r="AV7" i="184"/>
  <c r="AQ7" i="184"/>
  <c r="AO7" i="184"/>
  <c r="AN7" i="184"/>
  <c r="AZ17" i="184"/>
  <c r="AT17" i="184"/>
  <c r="AS17" i="184"/>
  <c r="AR17" i="184"/>
  <c r="AY17" i="184"/>
  <c r="AX17" i="184"/>
  <c r="AW17" i="184"/>
  <c r="AR30" i="183"/>
  <c r="AS30" i="183"/>
  <c r="AT30" i="183"/>
  <c r="AU30" i="183"/>
  <c r="AV30" i="183"/>
  <c r="AW30" i="183"/>
  <c r="AX30" i="183"/>
  <c r="AY30" i="183"/>
  <c r="AZ30" i="183"/>
  <c r="BB30" i="183"/>
  <c r="BC30" i="183"/>
  <c r="BD30" i="183"/>
  <c r="AN8" i="183"/>
  <c r="AV8" i="183"/>
  <c r="AN9" i="183"/>
  <c r="AQ9" i="183" s="1"/>
  <c r="AV9" i="183"/>
  <c r="AN10" i="183"/>
  <c r="AQ10" i="183"/>
  <c r="AV10" i="183"/>
  <c r="AN11" i="183"/>
  <c r="AQ11" i="183"/>
  <c r="AV11" i="183"/>
  <c r="AN12" i="183"/>
  <c r="AQ12" i="183"/>
  <c r="AV12" i="183"/>
  <c r="AN13" i="183"/>
  <c r="AV13" i="183"/>
  <c r="AN14" i="183"/>
  <c r="AQ14" i="183" s="1"/>
  <c r="AV14" i="183"/>
  <c r="AN15" i="183"/>
  <c r="AQ15" i="183"/>
  <c r="AV15" i="183"/>
  <c r="AN16" i="183"/>
  <c r="AV16" i="183"/>
  <c r="AN17" i="183"/>
  <c r="AQ17" i="183" s="1"/>
  <c r="AV17" i="183"/>
  <c r="AN18" i="183"/>
  <c r="AQ18" i="183"/>
  <c r="AV18" i="183"/>
  <c r="AN19" i="183"/>
  <c r="AQ19" i="183"/>
  <c r="AV19" i="183"/>
  <c r="AN20" i="183"/>
  <c r="AQ20" i="183"/>
  <c r="AV20" i="183"/>
  <c r="AN21" i="183"/>
  <c r="AV21" i="183"/>
  <c r="AN22" i="183"/>
  <c r="AQ22" i="183" s="1"/>
  <c r="AV22" i="183"/>
  <c r="AN23" i="183"/>
  <c r="AQ23" i="183"/>
  <c r="AV23" i="183"/>
  <c r="AN24" i="183"/>
  <c r="AV24" i="183"/>
  <c r="AN25" i="183"/>
  <c r="AQ25" i="183" s="1"/>
  <c r="AV25" i="183"/>
  <c r="AN26" i="183"/>
  <c r="AO26" i="183" s="1"/>
  <c r="BA26" i="183" s="1"/>
  <c r="AQ26" i="183"/>
  <c r="AV26" i="183"/>
  <c r="AN27" i="183"/>
  <c r="AO27" i="183"/>
  <c r="BA27" i="183" s="1"/>
  <c r="AQ27" i="183"/>
  <c r="AV27" i="183"/>
  <c r="AN28" i="183"/>
  <c r="AO28" i="183" s="1"/>
  <c r="BA28" i="183" s="1"/>
  <c r="AQ28" i="183"/>
  <c r="AV28" i="183"/>
  <c r="AN29" i="183"/>
  <c r="AO29" i="183" s="1"/>
  <c r="BA29" i="183" s="1"/>
  <c r="AV29" i="183"/>
  <c r="AQ7" i="183"/>
  <c r="AV7" i="183"/>
  <c r="AN7" i="183"/>
  <c r="AP30" i="183"/>
  <c r="AP12" i="182"/>
  <c r="AM10" i="191" s="1"/>
  <c r="AR12" i="182"/>
  <c r="AO10" i="191" s="1"/>
  <c r="AS12" i="182"/>
  <c r="AP10" i="191" s="1"/>
  <c r="AT12" i="182"/>
  <c r="AQ10" i="191" s="1"/>
  <c r="AU12" i="182"/>
  <c r="AR10" i="191" s="1"/>
  <c r="AW12" i="182"/>
  <c r="AT10" i="191" s="1"/>
  <c r="AX12" i="182"/>
  <c r="AU10" i="191" s="1"/>
  <c r="AY12" i="182"/>
  <c r="AV10" i="191" s="1"/>
  <c r="AZ12" i="182"/>
  <c r="AW10" i="191" s="1"/>
  <c r="BB12" i="182"/>
  <c r="AY10" i="191" s="1"/>
  <c r="BC12" i="182"/>
  <c r="AZ10" i="191" s="1"/>
  <c r="BD12" i="182"/>
  <c r="BA10" i="191" s="1"/>
  <c r="AV8" i="182"/>
  <c r="AV9" i="182"/>
  <c r="AV10" i="182"/>
  <c r="AV11" i="182"/>
  <c r="AV12" i="182" s="1"/>
  <c r="AS10" i="191" s="1"/>
  <c r="AV7" i="182"/>
  <c r="AV8" i="181"/>
  <c r="AV9" i="181"/>
  <c r="AV10" i="181"/>
  <c r="AV11" i="181"/>
  <c r="BA11" i="181"/>
  <c r="AV12" i="181"/>
  <c r="AV13" i="181"/>
  <c r="AV14" i="181"/>
  <c r="AV15" i="181"/>
  <c r="AV16" i="181"/>
  <c r="BA16" i="181"/>
  <c r="AV17" i="181"/>
  <c r="AV18" i="181"/>
  <c r="AV19" i="181"/>
  <c r="AV20" i="181"/>
  <c r="AV21" i="181"/>
  <c r="AV22" i="181"/>
  <c r="AV23" i="181"/>
  <c r="AV24" i="181"/>
  <c r="BA24" i="181"/>
  <c r="AV25" i="181"/>
  <c r="AV26" i="181"/>
  <c r="AV27" i="181"/>
  <c r="AV28" i="181"/>
  <c r="AV29" i="181"/>
  <c r="BA29" i="181"/>
  <c r="AV30" i="181"/>
  <c r="BA30" i="181"/>
  <c r="AV31" i="181"/>
  <c r="AV32" i="181"/>
  <c r="AV33" i="181"/>
  <c r="AV34" i="181"/>
  <c r="AV35" i="181"/>
  <c r="AV36" i="181"/>
  <c r="AV37" i="181"/>
  <c r="BA37" i="181"/>
  <c r="AV38" i="181"/>
  <c r="AV39" i="181"/>
  <c r="AV40" i="181"/>
  <c r="AV41" i="181"/>
  <c r="AV42" i="181"/>
  <c r="AV43" i="181"/>
  <c r="AV44" i="181"/>
  <c r="AV45" i="181"/>
  <c r="BA45" i="181"/>
  <c r="AV46" i="181"/>
  <c r="AV47" i="181"/>
  <c r="AV48" i="181"/>
  <c r="AV49" i="181"/>
  <c r="AV50" i="181"/>
  <c r="AV51" i="181"/>
  <c r="AV52" i="181"/>
  <c r="AV53" i="181"/>
  <c r="AV54" i="181"/>
  <c r="BA54" i="181"/>
  <c r="AV55" i="181"/>
  <c r="BA55" i="181"/>
  <c r="AV56" i="181"/>
  <c r="AV57" i="181"/>
  <c r="AV58" i="181"/>
  <c r="AV59" i="181"/>
  <c r="BA59" i="181"/>
  <c r="AV60" i="181"/>
  <c r="AV61" i="181"/>
  <c r="AV62" i="181"/>
  <c r="BA62" i="181"/>
  <c r="AV63" i="181"/>
  <c r="AV64" i="181"/>
  <c r="AV65" i="181"/>
  <c r="AV66" i="181"/>
  <c r="AV67" i="181"/>
  <c r="BA67" i="181"/>
  <c r="AV68" i="181"/>
  <c r="AV69" i="181"/>
  <c r="AV70" i="181"/>
  <c r="BA7" i="181"/>
  <c r="AV7" i="181"/>
  <c r="AR71" i="181"/>
  <c r="AS71" i="181"/>
  <c r="AT71" i="181"/>
  <c r="AU71" i="181"/>
  <c r="AW71" i="181"/>
  <c r="AX71" i="181"/>
  <c r="AY71" i="181"/>
  <c r="AZ71" i="181"/>
  <c r="BB71" i="181"/>
  <c r="BC71" i="181"/>
  <c r="BD71" i="181"/>
  <c r="AQ8" i="181"/>
  <c r="AQ9" i="181"/>
  <c r="AQ10" i="181"/>
  <c r="AQ11" i="181"/>
  <c r="AQ12" i="181"/>
  <c r="AQ13" i="181"/>
  <c r="AQ14" i="181"/>
  <c r="AQ15" i="181"/>
  <c r="AQ16" i="181"/>
  <c r="AQ17" i="181"/>
  <c r="AQ18" i="181"/>
  <c r="AQ19" i="181"/>
  <c r="AQ20" i="181"/>
  <c r="AQ21" i="181"/>
  <c r="AQ22" i="181"/>
  <c r="AQ23" i="181"/>
  <c r="AQ24" i="181"/>
  <c r="AQ25" i="181"/>
  <c r="AQ26" i="181"/>
  <c r="AQ27" i="181"/>
  <c r="AQ28" i="181"/>
  <c r="AQ29" i="181"/>
  <c r="AQ30" i="181"/>
  <c r="AQ31" i="181"/>
  <c r="AQ32" i="181"/>
  <c r="AQ33" i="181"/>
  <c r="AQ34" i="181"/>
  <c r="AQ35" i="181"/>
  <c r="AQ36" i="181"/>
  <c r="AQ37" i="181"/>
  <c r="AQ38" i="181"/>
  <c r="AQ39" i="181"/>
  <c r="AQ40" i="181"/>
  <c r="AQ41" i="181"/>
  <c r="AQ42" i="181"/>
  <c r="AQ43" i="181"/>
  <c r="AQ44" i="181"/>
  <c r="AQ45" i="181"/>
  <c r="AQ46" i="181"/>
  <c r="AQ47" i="181"/>
  <c r="AQ48" i="181"/>
  <c r="AQ49" i="181"/>
  <c r="AQ50" i="181"/>
  <c r="AQ51" i="181"/>
  <c r="AQ52" i="181"/>
  <c r="AQ53" i="181"/>
  <c r="AQ54" i="181"/>
  <c r="AQ55" i="181"/>
  <c r="AQ56" i="181"/>
  <c r="AQ57" i="181"/>
  <c r="AQ58" i="181"/>
  <c r="AQ59" i="181"/>
  <c r="AQ60" i="181"/>
  <c r="AQ61" i="181"/>
  <c r="AQ62" i="181"/>
  <c r="AQ63" i="181"/>
  <c r="AQ64" i="181"/>
  <c r="AQ65" i="181"/>
  <c r="AQ66" i="181"/>
  <c r="AQ67" i="181"/>
  <c r="AQ68" i="181"/>
  <c r="AQ69" i="181"/>
  <c r="AQ70" i="181"/>
  <c r="AN8" i="181"/>
  <c r="AN9" i="181"/>
  <c r="AO9" i="181" s="1"/>
  <c r="BA9" i="181" s="1"/>
  <c r="AN11" i="181"/>
  <c r="AO11" i="181" s="1"/>
  <c r="AN13" i="181"/>
  <c r="AO13" i="181" s="1"/>
  <c r="BA13" i="181" s="1"/>
  <c r="AN14" i="181"/>
  <c r="AO14" i="181" s="1"/>
  <c r="BA14" i="181" s="1"/>
  <c r="AN15" i="181"/>
  <c r="AO15" i="181" s="1"/>
  <c r="BA15" i="181" s="1"/>
  <c r="AN16" i="181"/>
  <c r="AO16" i="181" s="1"/>
  <c r="AN17" i="181"/>
  <c r="AO17" i="181" s="1"/>
  <c r="BA17" i="181" s="1"/>
  <c r="AN19" i="181"/>
  <c r="AO19" i="181" s="1"/>
  <c r="BA19" i="181" s="1"/>
  <c r="AN21" i="181"/>
  <c r="AO21" i="181" s="1"/>
  <c r="BA21" i="181" s="1"/>
  <c r="AN22" i="181"/>
  <c r="AO22" i="181" s="1"/>
  <c r="BA22" i="181" s="1"/>
  <c r="AN23" i="181"/>
  <c r="AO23" i="181" s="1"/>
  <c r="BA23" i="181" s="1"/>
  <c r="AN24" i="181"/>
  <c r="AO24" i="181" s="1"/>
  <c r="AN25" i="181"/>
  <c r="AO25" i="181" s="1"/>
  <c r="BA25" i="181" s="1"/>
  <c r="AN27" i="181"/>
  <c r="AO27" i="181" s="1"/>
  <c r="BA27" i="181" s="1"/>
  <c r="AN29" i="181"/>
  <c r="AO29" i="181" s="1"/>
  <c r="AN30" i="181"/>
  <c r="AO30" i="181" s="1"/>
  <c r="AN31" i="181"/>
  <c r="AO31" i="181" s="1"/>
  <c r="BA31" i="181" s="1"/>
  <c r="AN32" i="181"/>
  <c r="AO32" i="181" s="1"/>
  <c r="BA32" i="181" s="1"/>
  <c r="AN33" i="181"/>
  <c r="AO33" i="181" s="1"/>
  <c r="BA33" i="181" s="1"/>
  <c r="AN35" i="181"/>
  <c r="AO35" i="181" s="1"/>
  <c r="BA35" i="181" s="1"/>
  <c r="AN37" i="181"/>
  <c r="AO37" i="181" s="1"/>
  <c r="AN38" i="181"/>
  <c r="AO38" i="181" s="1"/>
  <c r="BA38" i="181" s="1"/>
  <c r="AN39" i="181"/>
  <c r="AO39" i="181" s="1"/>
  <c r="BA39" i="181" s="1"/>
  <c r="AN40" i="181"/>
  <c r="AO40" i="181" s="1"/>
  <c r="BA40" i="181" s="1"/>
  <c r="AN41" i="181"/>
  <c r="AO41" i="181" s="1"/>
  <c r="BA41" i="181" s="1"/>
  <c r="AN43" i="181"/>
  <c r="AO43" i="181" s="1"/>
  <c r="BA43" i="181" s="1"/>
  <c r="AN45" i="181"/>
  <c r="AO45" i="181" s="1"/>
  <c r="AN46" i="181"/>
  <c r="AO46" i="181" s="1"/>
  <c r="BA46" i="181" s="1"/>
  <c r="AN47" i="181"/>
  <c r="AO47" i="181" s="1"/>
  <c r="BA47" i="181" s="1"/>
  <c r="AN48" i="181"/>
  <c r="AO48" i="181" s="1"/>
  <c r="BA48" i="181" s="1"/>
  <c r="AN49" i="181"/>
  <c r="AO49" i="181" s="1"/>
  <c r="BA49" i="181" s="1"/>
  <c r="AN51" i="181"/>
  <c r="AO51" i="181" s="1"/>
  <c r="BA51" i="181" s="1"/>
  <c r="AN53" i="181"/>
  <c r="AO53" i="181" s="1"/>
  <c r="BA53" i="181" s="1"/>
  <c r="AN54" i="181"/>
  <c r="AO54" i="181" s="1"/>
  <c r="AN55" i="181"/>
  <c r="AO55" i="181" s="1"/>
  <c r="AN56" i="181"/>
  <c r="AO56" i="181" s="1"/>
  <c r="BA56" i="181" s="1"/>
  <c r="AN57" i="181"/>
  <c r="AO57" i="181" s="1"/>
  <c r="BA57" i="181" s="1"/>
  <c r="AN59" i="181"/>
  <c r="AO59" i="181" s="1"/>
  <c r="AN61" i="181"/>
  <c r="AO61" i="181" s="1"/>
  <c r="BA61" i="181" s="1"/>
  <c r="AN62" i="181"/>
  <c r="AO62" i="181" s="1"/>
  <c r="AN63" i="181"/>
  <c r="AO63" i="181" s="1"/>
  <c r="BA63" i="181" s="1"/>
  <c r="AN64" i="181"/>
  <c r="AO64" i="181" s="1"/>
  <c r="BA64" i="181" s="1"/>
  <c r="AN65" i="181"/>
  <c r="AO65" i="181" s="1"/>
  <c r="BA65" i="181" s="1"/>
  <c r="AN67" i="181"/>
  <c r="AO67" i="181" s="1"/>
  <c r="AN69" i="181"/>
  <c r="AO69" i="181" s="1"/>
  <c r="BA69" i="181" s="1"/>
  <c r="AN70" i="181"/>
  <c r="AO70" i="181" s="1"/>
  <c r="BA70" i="181" s="1"/>
  <c r="AQ7" i="181"/>
  <c r="AU101" i="180"/>
  <c r="AU102" i="180"/>
  <c r="AU103" i="180"/>
  <c r="AU104" i="180"/>
  <c r="AU105" i="180"/>
  <c r="AU106" i="180"/>
  <c r="AU107" i="180"/>
  <c r="AU108" i="180"/>
  <c r="AU109" i="180"/>
  <c r="AU110" i="180"/>
  <c r="AU111" i="180"/>
  <c r="AU112" i="180"/>
  <c r="AU113" i="180"/>
  <c r="AU114" i="180"/>
  <c r="AU96" i="180"/>
  <c r="AU47" i="180"/>
  <c r="AU48" i="180"/>
  <c r="AU49" i="180"/>
  <c r="AU50" i="180"/>
  <c r="AU51" i="180"/>
  <c r="AU52" i="180"/>
  <c r="AU53" i="180"/>
  <c r="AU54" i="180"/>
  <c r="AU55" i="180"/>
  <c r="AU56" i="180"/>
  <c r="AU57" i="180"/>
  <c r="AU58" i="180"/>
  <c r="AU59" i="180"/>
  <c r="AU60" i="180"/>
  <c r="AU61" i="180"/>
  <c r="AU62" i="180"/>
  <c r="AU63" i="180"/>
  <c r="AU64" i="180"/>
  <c r="AU65" i="180"/>
  <c r="AU66" i="180"/>
  <c r="AU67" i="180"/>
  <c r="AU68" i="180"/>
  <c r="AU69" i="180"/>
  <c r="AU70" i="180"/>
  <c r="AU71" i="180"/>
  <c r="AU72" i="180"/>
  <c r="AU73" i="180"/>
  <c r="AU74" i="180"/>
  <c r="AU75" i="180"/>
  <c r="AU76" i="180"/>
  <c r="AU77" i="180"/>
  <c r="AU78" i="180"/>
  <c r="AU79" i="180"/>
  <c r="AU80" i="180"/>
  <c r="AU81" i="180"/>
  <c r="AU82" i="180"/>
  <c r="AU83" i="180"/>
  <c r="AU84" i="180"/>
  <c r="AU85" i="180"/>
  <c r="AU86" i="180"/>
  <c r="AU87" i="180"/>
  <c r="AU88" i="180"/>
  <c r="AU89" i="180"/>
  <c r="AU90" i="180"/>
  <c r="AU91" i="180"/>
  <c r="AU92" i="180"/>
  <c r="AU8" i="180"/>
  <c r="AU9" i="180"/>
  <c r="AU10" i="180"/>
  <c r="AU11" i="180"/>
  <c r="AU12" i="180"/>
  <c r="AU13" i="180"/>
  <c r="AU14" i="180"/>
  <c r="AU15" i="180"/>
  <c r="AU16" i="180"/>
  <c r="AU17" i="180"/>
  <c r="AU18" i="180"/>
  <c r="AU19" i="180"/>
  <c r="AU20" i="180"/>
  <c r="AU21" i="180"/>
  <c r="AU22" i="180"/>
  <c r="AU23" i="180"/>
  <c r="AU24" i="180"/>
  <c r="AU25" i="180"/>
  <c r="AU26" i="180"/>
  <c r="AU27" i="180"/>
  <c r="AU28" i="180"/>
  <c r="AU29" i="180"/>
  <c r="AU30" i="180"/>
  <c r="AU31" i="180"/>
  <c r="AU32" i="180"/>
  <c r="AU33" i="180"/>
  <c r="AU34" i="180"/>
  <c r="AU35" i="180"/>
  <c r="AU36" i="180"/>
  <c r="AU37" i="180"/>
  <c r="AU38" i="180"/>
  <c r="AU39" i="180"/>
  <c r="AU40" i="180"/>
  <c r="AU41" i="180"/>
  <c r="AU42" i="180"/>
  <c r="AU43" i="180"/>
  <c r="AU44" i="180"/>
  <c r="AU45" i="180"/>
  <c r="AU46" i="180"/>
  <c r="AU7" i="180"/>
  <c r="AN7" i="181"/>
  <c r="AO7" i="181" s="1"/>
  <c r="BA6" i="181" s="1"/>
  <c r="AP71" i="181"/>
  <c r="AQ93" i="180"/>
  <c r="AR93" i="180"/>
  <c r="AS93" i="180"/>
  <c r="AT93" i="180"/>
  <c r="AV93" i="180"/>
  <c r="AX93" i="180"/>
  <c r="AY93" i="180"/>
  <c r="BA93" i="180"/>
  <c r="BB93" i="180"/>
  <c r="BC93" i="180"/>
  <c r="BD93" i="180"/>
  <c r="AY115" i="180"/>
  <c r="BA115" i="180"/>
  <c r="AS115" i="180"/>
  <c r="AR115" i="180"/>
  <c r="AT115" i="180"/>
  <c r="AM93" i="180"/>
  <c r="Z96" i="180"/>
  <c r="Z97" i="180"/>
  <c r="AQ17" i="184" l="1"/>
  <c r="AN17" i="184"/>
  <c r="AO17" i="184"/>
  <c r="AU17" i="184"/>
  <c r="AV17" i="184"/>
  <c r="AQ29" i="183"/>
  <c r="AQ21" i="183"/>
  <c r="AQ13" i="183"/>
  <c r="AQ24" i="183"/>
  <c r="AQ16" i="183"/>
  <c r="AQ8" i="183"/>
  <c r="AQ30" i="183" s="1"/>
  <c r="AV71" i="181"/>
  <c r="AQ71" i="181"/>
  <c r="AN9" i="191" s="1"/>
  <c r="AO8" i="181"/>
  <c r="BA8" i="181" s="1"/>
  <c r="AN66" i="181"/>
  <c r="AO66" i="181" s="1"/>
  <c r="BA66" i="181" s="1"/>
  <c r="AN58" i="181"/>
  <c r="AO58" i="181" s="1"/>
  <c r="BA58" i="181" s="1"/>
  <c r="AN50" i="181"/>
  <c r="AO50" i="181" s="1"/>
  <c r="BA50" i="181" s="1"/>
  <c r="AN42" i="181"/>
  <c r="AO42" i="181" s="1"/>
  <c r="BA42" i="181" s="1"/>
  <c r="AN34" i="181"/>
  <c r="AO34" i="181" s="1"/>
  <c r="BA34" i="181" s="1"/>
  <c r="AN26" i="181"/>
  <c r="AO26" i="181" s="1"/>
  <c r="BA26" i="181" s="1"/>
  <c r="AN18" i="181"/>
  <c r="AO18" i="181" s="1"/>
  <c r="BA18" i="181" s="1"/>
  <c r="AN10" i="181"/>
  <c r="AO10" i="181" s="1"/>
  <c r="BA10" i="181" s="1"/>
  <c r="AN68" i="181"/>
  <c r="AO68" i="181" s="1"/>
  <c r="BA68" i="181" s="1"/>
  <c r="AN60" i="181"/>
  <c r="AO60" i="181" s="1"/>
  <c r="BA60" i="181" s="1"/>
  <c r="AN52" i="181"/>
  <c r="AO52" i="181" s="1"/>
  <c r="BA52" i="181" s="1"/>
  <c r="AN44" i="181"/>
  <c r="AO44" i="181" s="1"/>
  <c r="BA44" i="181" s="1"/>
  <c r="AN36" i="181"/>
  <c r="AO36" i="181" s="1"/>
  <c r="BA36" i="181" s="1"/>
  <c r="AN28" i="181"/>
  <c r="AO28" i="181" s="1"/>
  <c r="BA28" i="181" s="1"/>
  <c r="AN20" i="181"/>
  <c r="AO20" i="181" s="1"/>
  <c r="BA20" i="181" s="1"/>
  <c r="AN12" i="181"/>
  <c r="AO12" i="181" s="1"/>
  <c r="BA12" i="181" s="1"/>
  <c r="AY117" i="180"/>
  <c r="AV8" i="191" s="1"/>
  <c r="BA117" i="180"/>
  <c r="AX8" i="191" s="1"/>
  <c r="AS117" i="180"/>
  <c r="AP8" i="191" s="1"/>
  <c r="AT117" i="180"/>
  <c r="AQ8" i="191" s="1"/>
  <c r="BB115" i="180"/>
  <c r="BB117" i="180" s="1"/>
  <c r="AY8" i="191" s="1"/>
  <c r="AR117" i="180"/>
  <c r="AO8" i="191" s="1"/>
  <c r="AQ115" i="180"/>
  <c r="AQ117" i="180" s="1"/>
  <c r="AN8" i="191" s="1"/>
  <c r="AV115" i="180"/>
  <c r="AV117" i="180" s="1"/>
  <c r="AS8" i="191" s="1"/>
  <c r="BA71" i="181" l="1"/>
  <c r="AX9" i="191" s="1"/>
  <c r="AO71" i="181"/>
  <c r="AL9" i="191" s="1"/>
  <c r="AN71" i="181"/>
  <c r="AK9" i="191" s="1"/>
  <c r="BB9" i="191" l="1"/>
  <c r="BD9" i="191"/>
  <c r="AN7" i="191"/>
  <c r="AO7" i="191"/>
  <c r="AO19" i="191" s="1"/>
  <c r="F20" i="40" s="1"/>
  <c r="AP7" i="191"/>
  <c r="AP19" i="191" s="1"/>
  <c r="G20" i="40" s="1"/>
  <c r="AQ7" i="191"/>
  <c r="AQ19" i="191" s="1"/>
  <c r="H20" i="40" s="1"/>
  <c r="AW105" i="179"/>
  <c r="AT7" i="191" s="1"/>
  <c r="AX105" i="179"/>
  <c r="AU7" i="191" s="1"/>
  <c r="AY105" i="179"/>
  <c r="AV7" i="191" s="1"/>
  <c r="AV19" i="191" s="1"/>
  <c r="BA105" i="179"/>
  <c r="AX7" i="191" s="1"/>
  <c r="BB105" i="179"/>
  <c r="AY7" i="191" s="1"/>
  <c r="BC105" i="179"/>
  <c r="AZ7" i="191" s="1"/>
  <c r="BD105" i="179"/>
  <c r="BA7" i="191" s="1"/>
  <c r="AV10" i="179"/>
  <c r="AU10" i="179" s="1"/>
  <c r="AV11" i="179"/>
  <c r="AU11" i="179" s="1"/>
  <c r="AV12" i="179"/>
  <c r="AU12" i="179" s="1"/>
  <c r="AU13" i="179"/>
  <c r="AV13" i="179"/>
  <c r="AU14" i="179"/>
  <c r="AV14" i="179"/>
  <c r="AV15" i="179"/>
  <c r="AU15" i="179" s="1"/>
  <c r="AV16" i="179"/>
  <c r="AU16" i="179" s="1"/>
  <c r="AU17" i="179"/>
  <c r="AV17" i="179"/>
  <c r="AU18" i="179"/>
  <c r="AV18" i="179"/>
  <c r="AV19" i="179"/>
  <c r="AU19" i="179" s="1"/>
  <c r="AV20" i="179"/>
  <c r="AU20" i="179" s="1"/>
  <c r="AV21" i="179"/>
  <c r="AU21" i="179" s="1"/>
  <c r="AU22" i="179"/>
  <c r="AV22" i="179"/>
  <c r="AV23" i="179"/>
  <c r="AU23" i="179" s="1"/>
  <c r="AU24" i="179"/>
  <c r="AV24" i="179"/>
  <c r="AV25" i="179"/>
  <c r="AU25" i="179" s="1"/>
  <c r="AV26" i="179"/>
  <c r="AU26" i="179" s="1"/>
  <c r="AV27" i="179"/>
  <c r="AU27" i="179" s="1"/>
  <c r="AU28" i="179"/>
  <c r="AV28" i="179"/>
  <c r="AV29" i="179"/>
  <c r="AU29" i="179" s="1"/>
  <c r="AV30" i="179"/>
  <c r="AU30" i="179" s="1"/>
  <c r="AV31" i="179"/>
  <c r="AU31" i="179" s="1"/>
  <c r="AU32" i="179"/>
  <c r="AV32" i="179"/>
  <c r="AV33" i="179"/>
  <c r="AU33" i="179" s="1"/>
  <c r="AV34" i="179"/>
  <c r="AU34" i="179" s="1"/>
  <c r="AV35" i="179"/>
  <c r="AU35" i="179" s="1"/>
  <c r="AV36" i="179"/>
  <c r="AU36" i="179" s="1"/>
  <c r="AV37" i="179"/>
  <c r="AU37" i="179" s="1"/>
  <c r="AV38" i="179"/>
  <c r="AU38" i="179" s="1"/>
  <c r="AV39" i="179"/>
  <c r="AU39" i="179" s="1"/>
  <c r="AV40" i="179"/>
  <c r="AU40" i="179" s="1"/>
  <c r="AU41" i="179"/>
  <c r="AV41" i="179"/>
  <c r="AV42" i="179"/>
  <c r="AU42" i="179" s="1"/>
  <c r="AV43" i="179"/>
  <c r="AU43" i="179" s="1"/>
  <c r="AV44" i="179"/>
  <c r="AU44" i="179" s="1"/>
  <c r="AU45" i="179"/>
  <c r="AV45" i="179"/>
  <c r="AU46" i="179"/>
  <c r="AV46" i="179"/>
  <c r="AV47" i="179"/>
  <c r="AU47" i="179" s="1"/>
  <c r="AV48" i="179"/>
  <c r="AU48" i="179" s="1"/>
  <c r="AU49" i="179"/>
  <c r="AV49" i="179"/>
  <c r="AU50" i="179"/>
  <c r="AV50" i="179"/>
  <c r="AV51" i="179"/>
  <c r="AU51" i="179" s="1"/>
  <c r="AV52" i="179"/>
  <c r="AU52" i="179" s="1"/>
  <c r="AU53" i="179"/>
  <c r="AV53" i="179"/>
  <c r="AU54" i="179"/>
  <c r="AV54" i="179"/>
  <c r="AV55" i="179"/>
  <c r="AU55" i="179" s="1"/>
  <c r="AV56" i="179"/>
  <c r="AU56" i="179" s="1"/>
  <c r="AV57" i="179"/>
  <c r="AU57" i="179" s="1"/>
  <c r="AU58" i="179"/>
  <c r="AV58" i="179"/>
  <c r="AV59" i="179"/>
  <c r="AU59" i="179" s="1"/>
  <c r="AU60" i="179"/>
  <c r="AV60" i="179"/>
  <c r="AV61" i="179"/>
  <c r="AU61" i="179" s="1"/>
  <c r="AV62" i="179"/>
  <c r="AU62" i="179" s="1"/>
  <c r="AV63" i="179"/>
  <c r="AU63" i="179" s="1"/>
  <c r="AU64" i="179"/>
  <c r="AV64" i="179"/>
  <c r="AV65" i="179"/>
  <c r="AU65" i="179" s="1"/>
  <c r="AV66" i="179"/>
  <c r="AU66" i="179" s="1"/>
  <c r="AV67" i="179"/>
  <c r="AU67" i="179" s="1"/>
  <c r="AU68" i="179"/>
  <c r="AV68" i="179"/>
  <c r="AV69" i="179"/>
  <c r="AU69" i="179" s="1"/>
  <c r="AV70" i="179"/>
  <c r="AU70" i="179" s="1"/>
  <c r="AV71" i="179"/>
  <c r="AU71" i="179" s="1"/>
  <c r="AV72" i="179"/>
  <c r="AU72" i="179" s="1"/>
  <c r="AV73" i="179"/>
  <c r="AU73" i="179" s="1"/>
  <c r="AV74" i="179"/>
  <c r="AU74" i="179" s="1"/>
  <c r="AV75" i="179"/>
  <c r="AU75" i="179" s="1"/>
  <c r="AV76" i="179"/>
  <c r="AU76" i="179" s="1"/>
  <c r="AU77" i="179"/>
  <c r="AV77" i="179"/>
  <c r="AV78" i="179"/>
  <c r="AU78" i="179" s="1"/>
  <c r="AV79" i="179"/>
  <c r="AU79" i="179" s="1"/>
  <c r="AV80" i="179"/>
  <c r="AU80" i="179" s="1"/>
  <c r="AU81" i="179"/>
  <c r="AV81" i="179"/>
  <c r="AU82" i="179"/>
  <c r="AV82" i="179"/>
  <c r="AV83" i="179"/>
  <c r="AU83" i="179" s="1"/>
  <c r="AV84" i="179"/>
  <c r="AU84" i="179" s="1"/>
  <c r="AU85" i="179"/>
  <c r="AV85" i="179"/>
  <c r="AU86" i="179"/>
  <c r="AV86" i="179"/>
  <c r="AV87" i="179"/>
  <c r="AU87" i="179" s="1"/>
  <c r="AV88" i="179"/>
  <c r="AU88" i="179" s="1"/>
  <c r="AV89" i="179"/>
  <c r="AU89" i="179" s="1"/>
  <c r="AU90" i="179"/>
  <c r="AV90" i="179"/>
  <c r="AV91" i="179"/>
  <c r="AU91" i="179" s="1"/>
  <c r="AU92" i="179"/>
  <c r="AV92" i="179"/>
  <c r="AV93" i="179"/>
  <c r="AU93" i="179" s="1"/>
  <c r="AV94" i="179"/>
  <c r="AU94" i="179" s="1"/>
  <c r="AV95" i="179"/>
  <c r="AU95" i="179" s="1"/>
  <c r="AU96" i="179"/>
  <c r="AV96" i="179"/>
  <c r="AV97" i="179"/>
  <c r="AU97" i="179" s="1"/>
  <c r="AV98" i="179"/>
  <c r="AU98" i="179" s="1"/>
  <c r="AV99" i="179"/>
  <c r="AU99" i="179" s="1"/>
  <c r="AU100" i="179"/>
  <c r="AV100" i="179"/>
  <c r="AV101" i="179"/>
  <c r="AU101" i="179" s="1"/>
  <c r="AV102" i="179"/>
  <c r="AU102" i="179" s="1"/>
  <c r="AV103" i="179"/>
  <c r="AU103" i="179" s="1"/>
  <c r="AV104" i="179"/>
  <c r="AU104" i="179" s="1"/>
  <c r="AN8" i="179" l="1"/>
  <c r="AP8" i="179" s="1"/>
  <c r="AV8" i="179"/>
  <c r="AU8" i="179" s="1"/>
  <c r="AV9" i="179"/>
  <c r="AU9" i="179" s="1"/>
  <c r="AU7" i="179"/>
  <c r="AL8" i="179"/>
  <c r="AL9" i="179"/>
  <c r="AN9" i="179" s="1"/>
  <c r="AP9" i="179" s="1"/>
  <c r="AL10" i="179"/>
  <c r="AN10" i="179" s="1"/>
  <c r="AP10" i="179" s="1"/>
  <c r="AL11" i="179"/>
  <c r="AN11" i="179" s="1"/>
  <c r="AP11" i="179" s="1"/>
  <c r="AL12" i="179"/>
  <c r="AN12" i="179" s="1"/>
  <c r="AP12" i="179" s="1"/>
  <c r="AL13" i="179"/>
  <c r="AN13" i="179" s="1"/>
  <c r="AP13" i="179" s="1"/>
  <c r="AL14" i="179"/>
  <c r="AN14" i="179" s="1"/>
  <c r="AP14" i="179" s="1"/>
  <c r="AL15" i="179"/>
  <c r="AN15" i="179" s="1"/>
  <c r="AP15" i="179" s="1"/>
  <c r="AL16" i="179"/>
  <c r="AN16" i="179" s="1"/>
  <c r="AP16" i="179" s="1"/>
  <c r="AL17" i="179"/>
  <c r="AN17" i="179" s="1"/>
  <c r="AP17" i="179" s="1"/>
  <c r="AL18" i="179"/>
  <c r="AN18" i="179" s="1"/>
  <c r="AP18" i="179" s="1"/>
  <c r="AL19" i="179"/>
  <c r="AN19" i="179" s="1"/>
  <c r="AP19" i="179" s="1"/>
  <c r="AL20" i="179"/>
  <c r="AN20" i="179" s="1"/>
  <c r="AP20" i="179" s="1"/>
  <c r="AL21" i="179"/>
  <c r="AN21" i="179" s="1"/>
  <c r="AP21" i="179" s="1"/>
  <c r="AL22" i="179"/>
  <c r="AN22" i="179" s="1"/>
  <c r="AP22" i="179" s="1"/>
  <c r="AL23" i="179"/>
  <c r="AN23" i="179" s="1"/>
  <c r="AP23" i="179" s="1"/>
  <c r="AL24" i="179"/>
  <c r="AN24" i="179" s="1"/>
  <c r="AP24" i="179" s="1"/>
  <c r="AL25" i="179"/>
  <c r="AN25" i="179" s="1"/>
  <c r="AP25" i="179" s="1"/>
  <c r="AL26" i="179"/>
  <c r="AN26" i="179" s="1"/>
  <c r="AP26" i="179" s="1"/>
  <c r="AL27" i="179"/>
  <c r="AN27" i="179" s="1"/>
  <c r="AP27" i="179" s="1"/>
  <c r="AL28" i="179"/>
  <c r="AN28" i="179" s="1"/>
  <c r="AP28" i="179" s="1"/>
  <c r="AL29" i="179"/>
  <c r="AN29" i="179" s="1"/>
  <c r="AP29" i="179" s="1"/>
  <c r="AL30" i="179"/>
  <c r="AN30" i="179" s="1"/>
  <c r="AP30" i="179" s="1"/>
  <c r="AL31" i="179"/>
  <c r="AN31" i="179" s="1"/>
  <c r="AP31" i="179" s="1"/>
  <c r="AL32" i="179"/>
  <c r="AN32" i="179" s="1"/>
  <c r="AP32" i="179" s="1"/>
  <c r="AL33" i="179"/>
  <c r="AN33" i="179" s="1"/>
  <c r="AP33" i="179" s="1"/>
  <c r="AL34" i="179"/>
  <c r="AN34" i="179" s="1"/>
  <c r="AP34" i="179" s="1"/>
  <c r="AL35" i="179"/>
  <c r="AN35" i="179" s="1"/>
  <c r="AP35" i="179" s="1"/>
  <c r="AL36" i="179"/>
  <c r="AN36" i="179" s="1"/>
  <c r="AP36" i="179" s="1"/>
  <c r="AL37" i="179"/>
  <c r="AN37" i="179" s="1"/>
  <c r="AP37" i="179" s="1"/>
  <c r="AL38" i="179"/>
  <c r="AN38" i="179" s="1"/>
  <c r="AP38" i="179" s="1"/>
  <c r="AL39" i="179"/>
  <c r="AN39" i="179" s="1"/>
  <c r="AP39" i="179" s="1"/>
  <c r="AL40" i="179"/>
  <c r="AN40" i="179" s="1"/>
  <c r="AP40" i="179" s="1"/>
  <c r="AL41" i="179"/>
  <c r="AN41" i="179" s="1"/>
  <c r="AP41" i="179" s="1"/>
  <c r="AL42" i="179"/>
  <c r="AN42" i="179" s="1"/>
  <c r="AP42" i="179" s="1"/>
  <c r="AL43" i="179"/>
  <c r="AN43" i="179" s="1"/>
  <c r="AP43" i="179" s="1"/>
  <c r="AL44" i="179"/>
  <c r="AN44" i="179" s="1"/>
  <c r="AP44" i="179" s="1"/>
  <c r="AL45" i="179"/>
  <c r="AN45" i="179" s="1"/>
  <c r="AP45" i="179" s="1"/>
  <c r="AL46" i="179"/>
  <c r="AN46" i="179" s="1"/>
  <c r="AP46" i="179" s="1"/>
  <c r="AL47" i="179"/>
  <c r="AN47" i="179" s="1"/>
  <c r="AL48" i="179"/>
  <c r="AN48" i="179" s="1"/>
  <c r="AP48" i="179" s="1"/>
  <c r="AP105" i="179" s="1"/>
  <c r="AL49" i="179"/>
  <c r="AN49" i="179" s="1"/>
  <c r="AP49" i="179" s="1"/>
  <c r="AL50" i="179"/>
  <c r="AN50" i="179" s="1"/>
  <c r="AP50" i="179" s="1"/>
  <c r="AL51" i="179"/>
  <c r="AN51" i="179" s="1"/>
  <c r="AP51" i="179" s="1"/>
  <c r="AL52" i="179"/>
  <c r="AN52" i="179" s="1"/>
  <c r="AP52" i="179" s="1"/>
  <c r="AL53" i="179"/>
  <c r="AN53" i="179" s="1"/>
  <c r="AP53" i="179" s="1"/>
  <c r="AL54" i="179"/>
  <c r="AN54" i="179" s="1"/>
  <c r="AP54" i="179" s="1"/>
  <c r="AL55" i="179"/>
  <c r="AN55" i="179" s="1"/>
  <c r="AP55" i="179" s="1"/>
  <c r="AL56" i="179"/>
  <c r="AN56" i="179" s="1"/>
  <c r="AP56" i="179" s="1"/>
  <c r="AL57" i="179"/>
  <c r="AN57" i="179" s="1"/>
  <c r="AP57" i="179" s="1"/>
  <c r="AL58" i="179"/>
  <c r="AN58" i="179" s="1"/>
  <c r="AP58" i="179" s="1"/>
  <c r="AL59" i="179"/>
  <c r="AN59" i="179" s="1"/>
  <c r="AP59" i="179" s="1"/>
  <c r="AL60" i="179"/>
  <c r="AN60" i="179" s="1"/>
  <c r="AP60" i="179" s="1"/>
  <c r="AL61" i="179"/>
  <c r="AN61" i="179" s="1"/>
  <c r="AP61" i="179" s="1"/>
  <c r="AL62" i="179"/>
  <c r="AN62" i="179" s="1"/>
  <c r="AP62" i="179" s="1"/>
  <c r="AL63" i="179"/>
  <c r="AN63" i="179" s="1"/>
  <c r="AP63" i="179" s="1"/>
  <c r="AL64" i="179"/>
  <c r="AN64" i="179" s="1"/>
  <c r="AP64" i="179" s="1"/>
  <c r="AL65" i="179"/>
  <c r="AN65" i="179" s="1"/>
  <c r="AP65" i="179" s="1"/>
  <c r="AL67" i="179"/>
  <c r="AN67" i="179" s="1"/>
  <c r="AP67" i="179" s="1"/>
  <c r="AL68" i="179"/>
  <c r="AN68" i="179" s="1"/>
  <c r="AP68" i="179" s="1"/>
  <c r="AL69" i="179"/>
  <c r="AN69" i="179" s="1"/>
  <c r="AP69" i="179" s="1"/>
  <c r="AL70" i="179"/>
  <c r="AN70" i="179" s="1"/>
  <c r="AP70" i="179" s="1"/>
  <c r="AL71" i="179"/>
  <c r="AN71" i="179" s="1"/>
  <c r="AP71" i="179" s="1"/>
  <c r="AL72" i="179"/>
  <c r="AN72" i="179" s="1"/>
  <c r="AP72" i="179" s="1"/>
  <c r="AL73" i="179"/>
  <c r="AN73" i="179" s="1"/>
  <c r="AP73" i="179" s="1"/>
  <c r="AL74" i="179"/>
  <c r="AN74" i="179" s="1"/>
  <c r="AP74" i="179" s="1"/>
  <c r="AL75" i="179"/>
  <c r="AN75" i="179" s="1"/>
  <c r="AP75" i="179" s="1"/>
  <c r="AL76" i="179"/>
  <c r="AN76" i="179" s="1"/>
  <c r="AP76" i="179" s="1"/>
  <c r="AL77" i="179"/>
  <c r="AN77" i="179" s="1"/>
  <c r="AP77" i="179" s="1"/>
  <c r="AL78" i="179"/>
  <c r="AN78" i="179" s="1"/>
  <c r="AP78" i="179" s="1"/>
  <c r="AL79" i="179"/>
  <c r="AN79" i="179" s="1"/>
  <c r="AP79" i="179" s="1"/>
  <c r="AL80" i="179"/>
  <c r="AN80" i="179" s="1"/>
  <c r="AP80" i="179" s="1"/>
  <c r="AL81" i="179"/>
  <c r="AN81" i="179" s="1"/>
  <c r="AP81" i="179" s="1"/>
  <c r="AL82" i="179"/>
  <c r="AN82" i="179" s="1"/>
  <c r="AP82" i="179" s="1"/>
  <c r="AL83" i="179"/>
  <c r="AN83" i="179" s="1"/>
  <c r="AP83" i="179" s="1"/>
  <c r="AL84" i="179"/>
  <c r="AN84" i="179" s="1"/>
  <c r="AP84" i="179" s="1"/>
  <c r="AL85" i="179"/>
  <c r="AN85" i="179" s="1"/>
  <c r="AP85" i="179" s="1"/>
  <c r="AL86" i="179"/>
  <c r="AN86" i="179" s="1"/>
  <c r="AP86" i="179" s="1"/>
  <c r="AL87" i="179"/>
  <c r="AN87" i="179" s="1"/>
  <c r="AP87" i="179" s="1"/>
  <c r="AL88" i="179"/>
  <c r="AN88" i="179" s="1"/>
  <c r="AP88" i="179" s="1"/>
  <c r="AL89" i="179"/>
  <c r="AN89" i="179" s="1"/>
  <c r="AP89" i="179" s="1"/>
  <c r="AL90" i="179"/>
  <c r="AN90" i="179" s="1"/>
  <c r="AP90" i="179" s="1"/>
  <c r="AL91" i="179"/>
  <c r="AN91" i="179" s="1"/>
  <c r="AP91" i="179" s="1"/>
  <c r="AL92" i="179"/>
  <c r="AN92" i="179" s="1"/>
  <c r="AP92" i="179" s="1"/>
  <c r="AL93" i="179"/>
  <c r="AN93" i="179" s="1"/>
  <c r="AP93" i="179" s="1"/>
  <c r="AL94" i="179"/>
  <c r="AN94" i="179" s="1"/>
  <c r="AP94" i="179" s="1"/>
  <c r="AL95" i="179"/>
  <c r="AN95" i="179" s="1"/>
  <c r="AP95" i="179" s="1"/>
  <c r="AL96" i="179"/>
  <c r="AN96" i="179" s="1"/>
  <c r="AP96" i="179" s="1"/>
  <c r="AL97" i="179"/>
  <c r="AN97" i="179" s="1"/>
  <c r="AP97" i="179" s="1"/>
  <c r="AL98" i="179"/>
  <c r="AN98" i="179" s="1"/>
  <c r="AP98" i="179" s="1"/>
  <c r="AL99" i="179"/>
  <c r="AN99" i="179" s="1"/>
  <c r="AP99" i="179" s="1"/>
  <c r="AL100" i="179"/>
  <c r="AN100" i="179" s="1"/>
  <c r="AP100" i="179" s="1"/>
  <c r="AL101" i="179"/>
  <c r="AN101" i="179" s="1"/>
  <c r="AP101" i="179" s="1"/>
  <c r="AL102" i="179"/>
  <c r="AN102" i="179" s="1"/>
  <c r="AP102" i="179" s="1"/>
  <c r="AL103" i="179"/>
  <c r="AN103" i="179" s="1"/>
  <c r="AP103" i="179" s="1"/>
  <c r="AL104" i="179"/>
  <c r="AN104" i="179" s="1"/>
  <c r="AP104" i="179" s="1"/>
  <c r="AL7" i="179"/>
  <c r="AN7" i="179" s="1"/>
  <c r="AP7" i="179" s="1"/>
  <c r="AV7" i="179"/>
  <c r="AV105" i="179" s="1"/>
  <c r="AS7" i="191" s="1"/>
  <c r="AS19" i="191" s="1"/>
  <c r="AU105" i="179" l="1"/>
  <c r="AR7" i="191" s="1"/>
  <c r="AP47" i="179"/>
  <c r="AJ7" i="191"/>
  <c r="BD17" i="190"/>
  <c r="BC17" i="190"/>
  <c r="BB17" i="190"/>
  <c r="AK17" i="190"/>
  <c r="AH18" i="191" s="1"/>
  <c r="AI17" i="190"/>
  <c r="AH17" i="190"/>
  <c r="AG17" i="190"/>
  <c r="AF17" i="190"/>
  <c r="AE17" i="190"/>
  <c r="AC17" i="190"/>
  <c r="AB17" i="190"/>
  <c r="AA17" i="190"/>
  <c r="Z17" i="190"/>
  <c r="Y17" i="190"/>
  <c r="X17" i="190"/>
  <c r="W17" i="190"/>
  <c r="R17" i="190"/>
  <c r="Q17" i="190"/>
  <c r="I17" i="190"/>
  <c r="H17" i="190"/>
  <c r="G17" i="190"/>
  <c r="AD16" i="190"/>
  <c r="AL16" i="190" s="1"/>
  <c r="W16" i="190"/>
  <c r="S16" i="190"/>
  <c r="N16" i="190"/>
  <c r="K16" i="190"/>
  <c r="L16" i="190" s="1"/>
  <c r="F16" i="190"/>
  <c r="AL15" i="190"/>
  <c r="W15" i="190"/>
  <c r="S15" i="190"/>
  <c r="J15" i="190"/>
  <c r="K15" i="190" s="1"/>
  <c r="L15" i="190" s="1"/>
  <c r="F15" i="190"/>
  <c r="AL14" i="190"/>
  <c r="S14" i="190"/>
  <c r="L14" i="190"/>
  <c r="P14" i="190" s="1"/>
  <c r="K14" i="190"/>
  <c r="E14" i="190"/>
  <c r="D14" i="190"/>
  <c r="F14" i="190" s="1"/>
  <c r="AL13" i="190"/>
  <c r="S13" i="190"/>
  <c r="L13" i="190"/>
  <c r="P13" i="190" s="1"/>
  <c r="K13" i="190"/>
  <c r="F13" i="190"/>
  <c r="AL12" i="190"/>
  <c r="S12" i="190"/>
  <c r="K12" i="190"/>
  <c r="L12" i="190" s="1"/>
  <c r="F12" i="190"/>
  <c r="AL11" i="190"/>
  <c r="S11" i="190"/>
  <c r="L11" i="190"/>
  <c r="P11" i="190" s="1"/>
  <c r="K11" i="190"/>
  <c r="F11" i="190"/>
  <c r="AL10" i="190"/>
  <c r="S10" i="190"/>
  <c r="K10" i="190"/>
  <c r="L10" i="190" s="1"/>
  <c r="F10" i="190"/>
  <c r="AL9" i="190"/>
  <c r="S9" i="190"/>
  <c r="S17" i="190" s="1"/>
  <c r="L9" i="190"/>
  <c r="P9" i="190" s="1"/>
  <c r="K9" i="190"/>
  <c r="F9" i="190"/>
  <c r="AJ8" i="190"/>
  <c r="AJ17" i="190" s="1"/>
  <c r="S8" i="190"/>
  <c r="N8" i="190"/>
  <c r="N17" i="190" s="1"/>
  <c r="L8" i="190"/>
  <c r="P8" i="190" s="1"/>
  <c r="K8" i="190"/>
  <c r="G8" i="190"/>
  <c r="F8" i="190"/>
  <c r="A8" i="190"/>
  <c r="A9" i="190" s="1"/>
  <c r="A10" i="190" s="1"/>
  <c r="A11" i="190" s="1"/>
  <c r="A12" i="190" s="1"/>
  <c r="A13" i="190" s="1"/>
  <c r="A14" i="190" s="1"/>
  <c r="A15" i="190" s="1"/>
  <c r="A16" i="190" s="1"/>
  <c r="A17" i="190" s="1"/>
  <c r="AL7" i="190"/>
  <c r="S7" i="190"/>
  <c r="K7" i="190"/>
  <c r="L7" i="190" s="1"/>
  <c r="G7" i="190"/>
  <c r="E7" i="190"/>
  <c r="E17" i="190" s="1"/>
  <c r="D7" i="190"/>
  <c r="F7" i="190" s="1"/>
  <c r="F17" i="190" s="1"/>
  <c r="U6" i="190"/>
  <c r="O6" i="190"/>
  <c r="BD24" i="189"/>
  <c r="BC24" i="189"/>
  <c r="BB24" i="189"/>
  <c r="BA24" i="189"/>
  <c r="AK24" i="189"/>
  <c r="AH17" i="191" s="1"/>
  <c r="AJ24" i="189"/>
  <c r="AI24" i="189"/>
  <c r="AH24" i="189"/>
  <c r="AG24" i="189"/>
  <c r="AF24" i="189"/>
  <c r="AE24" i="189"/>
  <c r="AD24" i="189"/>
  <c r="AC24" i="189"/>
  <c r="AB24" i="189"/>
  <c r="AA24" i="189"/>
  <c r="Z24" i="189"/>
  <c r="Y24" i="189"/>
  <c r="X24" i="189"/>
  <c r="W24" i="189"/>
  <c r="R24" i="189"/>
  <c r="Q24" i="189"/>
  <c r="J24" i="189"/>
  <c r="I24" i="189"/>
  <c r="H24" i="189"/>
  <c r="E24" i="189"/>
  <c r="AL23" i="189"/>
  <c r="S23" i="189"/>
  <c r="K23" i="189"/>
  <c r="L23" i="189" s="1"/>
  <c r="F23" i="189"/>
  <c r="AL22" i="189"/>
  <c r="S22" i="189"/>
  <c r="N22" i="189"/>
  <c r="L22" i="189"/>
  <c r="P22" i="189" s="1"/>
  <c r="K22" i="189"/>
  <c r="F22" i="189"/>
  <c r="AL21" i="189"/>
  <c r="S21" i="189"/>
  <c r="L21" i="189"/>
  <c r="P21" i="189" s="1"/>
  <c r="K21" i="189"/>
  <c r="F21" i="189"/>
  <c r="AL20" i="189"/>
  <c r="S20" i="189"/>
  <c r="N20" i="189"/>
  <c r="K20" i="189"/>
  <c r="L20" i="189" s="1"/>
  <c r="F20" i="189"/>
  <c r="AL19" i="189"/>
  <c r="S19" i="189"/>
  <c r="K19" i="189"/>
  <c r="L19" i="189" s="1"/>
  <c r="F19" i="189"/>
  <c r="AL18" i="189"/>
  <c r="S18" i="189"/>
  <c r="N18" i="189"/>
  <c r="N24" i="189" s="1"/>
  <c r="L18" i="189"/>
  <c r="P18" i="189" s="1"/>
  <c r="K18" i="189"/>
  <c r="F18" i="189"/>
  <c r="AL17" i="189"/>
  <c r="S17" i="189"/>
  <c r="L17" i="189"/>
  <c r="K17" i="189"/>
  <c r="G17" i="189"/>
  <c r="G24" i="189" s="1"/>
  <c r="F17" i="189"/>
  <c r="AL16" i="189"/>
  <c r="S16" i="189"/>
  <c r="K16" i="189"/>
  <c r="L16" i="189" s="1"/>
  <c r="F16" i="189"/>
  <c r="AL15" i="189"/>
  <c r="S15" i="189"/>
  <c r="K15" i="189"/>
  <c r="L15" i="189" s="1"/>
  <c r="F15" i="189"/>
  <c r="AL14" i="189"/>
  <c r="S14" i="189"/>
  <c r="K14" i="189"/>
  <c r="L14" i="189" s="1"/>
  <c r="F14" i="189"/>
  <c r="AL13" i="189"/>
  <c r="S13" i="189"/>
  <c r="K13" i="189"/>
  <c r="L13" i="189" s="1"/>
  <c r="P13" i="189" s="1"/>
  <c r="D13" i="189"/>
  <c r="F13" i="189" s="1"/>
  <c r="AL12" i="189"/>
  <c r="S12" i="189"/>
  <c r="L12" i="189"/>
  <c r="P12" i="189" s="1"/>
  <c r="K12" i="189"/>
  <c r="F12" i="189"/>
  <c r="AL11" i="189"/>
  <c r="AN11" i="189" s="1"/>
  <c r="S11" i="189"/>
  <c r="L11" i="189"/>
  <c r="P11" i="189" s="1"/>
  <c r="K11" i="189"/>
  <c r="F11" i="189"/>
  <c r="AL10" i="189"/>
  <c r="S10" i="189"/>
  <c r="L10" i="189"/>
  <c r="P10" i="189" s="1"/>
  <c r="K10" i="189"/>
  <c r="F10" i="189"/>
  <c r="AL9" i="189"/>
  <c r="S9" i="189"/>
  <c r="L9" i="189"/>
  <c r="P9" i="189" s="1"/>
  <c r="K9" i="189"/>
  <c r="F9" i="189"/>
  <c r="AL8" i="189"/>
  <c r="S8" i="189"/>
  <c r="L8" i="189"/>
  <c r="P8" i="189" s="1"/>
  <c r="K8" i="189"/>
  <c r="K24" i="189" s="1"/>
  <c r="L25" i="189" s="1"/>
  <c r="F8" i="189"/>
  <c r="AU24" i="189"/>
  <c r="AL7" i="189"/>
  <c r="S7" i="189"/>
  <c r="S24" i="189" s="1"/>
  <c r="L7" i="189"/>
  <c r="P7" i="189" s="1"/>
  <c r="K7" i="189"/>
  <c r="F7" i="189"/>
  <c r="A7" i="189"/>
  <c r="A8" i="189" s="1"/>
  <c r="A9" i="189" s="1"/>
  <c r="A10" i="189" s="1"/>
  <c r="A11" i="189" s="1"/>
  <c r="A12" i="189" s="1"/>
  <c r="A13" i="189" s="1"/>
  <c r="A14" i="189" s="1"/>
  <c r="A15" i="189" s="1"/>
  <c r="A16" i="189" s="1"/>
  <c r="A17" i="189" s="1"/>
  <c r="A18" i="189" s="1"/>
  <c r="A19" i="189" s="1"/>
  <c r="A20" i="189" s="1"/>
  <c r="A21" i="189" s="1"/>
  <c r="A22" i="189" s="1"/>
  <c r="A23" i="189" s="1"/>
  <c r="A24" i="189" s="1"/>
  <c r="U6" i="189"/>
  <c r="T6" i="189"/>
  <c r="O6" i="189"/>
  <c r="BD15" i="188"/>
  <c r="BC15" i="188"/>
  <c r="BB15" i="188"/>
  <c r="BA15" i="188"/>
  <c r="AK15" i="188"/>
  <c r="AJ15" i="188"/>
  <c r="AI15" i="188"/>
  <c r="AH15" i="188"/>
  <c r="AG15" i="188"/>
  <c r="AE15" i="188"/>
  <c r="AD15" i="188"/>
  <c r="AC15" i="188"/>
  <c r="AB15" i="188"/>
  <c r="AA15" i="188"/>
  <c r="Z15" i="188"/>
  <c r="Y15" i="188"/>
  <c r="X15" i="188"/>
  <c r="Q15" i="188"/>
  <c r="J15" i="188"/>
  <c r="I15" i="188"/>
  <c r="H15" i="188"/>
  <c r="G15" i="188"/>
  <c r="E15" i="188"/>
  <c r="D15" i="188"/>
  <c r="AL14" i="188"/>
  <c r="S14" i="188"/>
  <c r="N14" i="188"/>
  <c r="K14" i="188"/>
  <c r="L14" i="188" s="1"/>
  <c r="F14" i="188"/>
  <c r="AL13" i="188"/>
  <c r="S13" i="188"/>
  <c r="N13" i="188"/>
  <c r="L13" i="188"/>
  <c r="P13" i="188" s="1"/>
  <c r="K13" i="188"/>
  <c r="F13" i="188"/>
  <c r="AL12" i="188"/>
  <c r="S12" i="188"/>
  <c r="N12" i="188"/>
  <c r="L12" i="188"/>
  <c r="P12" i="188" s="1"/>
  <c r="K12" i="188"/>
  <c r="F12" i="188"/>
  <c r="AL11" i="188"/>
  <c r="AF11" i="188"/>
  <c r="S11" i="188"/>
  <c r="R11" i="188"/>
  <c r="R15" i="188" s="1"/>
  <c r="N11" i="188"/>
  <c r="K11" i="188"/>
  <c r="L11" i="188" s="1"/>
  <c r="F11" i="188"/>
  <c r="AZ15" i="188"/>
  <c r="AL10" i="188"/>
  <c r="AF10" i="188"/>
  <c r="S10" i="188"/>
  <c r="N10" i="188"/>
  <c r="K10" i="188"/>
  <c r="L10" i="188" s="1"/>
  <c r="F10" i="188"/>
  <c r="AL9" i="188"/>
  <c r="S9" i="188"/>
  <c r="N9" i="188"/>
  <c r="M9" i="188"/>
  <c r="K9" i="188"/>
  <c r="L9" i="188" s="1"/>
  <c r="F9" i="188"/>
  <c r="AL8" i="188"/>
  <c r="AF8" i="188"/>
  <c r="S8" i="188"/>
  <c r="N8" i="188"/>
  <c r="N15" i="188" s="1"/>
  <c r="M8" i="188"/>
  <c r="K8" i="188"/>
  <c r="L8" i="188" s="1"/>
  <c r="F8" i="188"/>
  <c r="AL7" i="188"/>
  <c r="AL15" i="188" s="1"/>
  <c r="AF7" i="188"/>
  <c r="AF15" i="188" s="1"/>
  <c r="S7" i="188"/>
  <c r="S15" i="188" s="1"/>
  <c r="L7" i="188"/>
  <c r="K7" i="188"/>
  <c r="K15" i="188" s="1"/>
  <c r="F7" i="188"/>
  <c r="F15" i="188" s="1"/>
  <c r="A7" i="188"/>
  <c r="A8" i="188" s="1"/>
  <c r="A9" i="188" s="1"/>
  <c r="A10" i="188" s="1"/>
  <c r="A11" i="188" s="1"/>
  <c r="A12" i="188" s="1"/>
  <c r="A13" i="188" s="1"/>
  <c r="A14" i="188" s="1"/>
  <c r="A15" i="188" s="1"/>
  <c r="T6" i="188"/>
  <c r="U6" i="188" s="1"/>
  <c r="BC20" i="187"/>
  <c r="BB20" i="187"/>
  <c r="BA20" i="187"/>
  <c r="AK20" i="187"/>
  <c r="AJ20" i="187"/>
  <c r="AI20" i="187"/>
  <c r="AH20" i="187"/>
  <c r="AG20" i="187"/>
  <c r="AF20" i="187"/>
  <c r="AE20" i="187"/>
  <c r="AD20" i="187"/>
  <c r="AC20" i="187"/>
  <c r="AB20" i="187"/>
  <c r="AA20" i="187"/>
  <c r="Z20" i="187"/>
  <c r="Y20" i="187"/>
  <c r="X20" i="187"/>
  <c r="W20" i="187"/>
  <c r="R20" i="187"/>
  <c r="Q20" i="187"/>
  <c r="J20" i="187"/>
  <c r="I20" i="187"/>
  <c r="H20" i="187"/>
  <c r="E20" i="187"/>
  <c r="D20" i="187"/>
  <c r="AL19" i="187"/>
  <c r="S19" i="187"/>
  <c r="K19" i="187"/>
  <c r="L19" i="187" s="1"/>
  <c r="F19" i="187"/>
  <c r="AL18" i="187"/>
  <c r="S18" i="187"/>
  <c r="N18" i="187"/>
  <c r="L18" i="187"/>
  <c r="P18" i="187" s="1"/>
  <c r="K18" i="187"/>
  <c r="F18" i="187"/>
  <c r="AL17" i="187"/>
  <c r="S17" i="187"/>
  <c r="N17" i="187"/>
  <c r="K17" i="187"/>
  <c r="L17" i="187" s="1"/>
  <c r="F17" i="187"/>
  <c r="AL16" i="187"/>
  <c r="S16" i="187"/>
  <c r="K16" i="187"/>
  <c r="L16" i="187" s="1"/>
  <c r="F16" i="187"/>
  <c r="AL15" i="187"/>
  <c r="S15" i="187"/>
  <c r="K15" i="187"/>
  <c r="L15" i="187" s="1"/>
  <c r="F15" i="187"/>
  <c r="AL14" i="187"/>
  <c r="S14" i="187"/>
  <c r="N14" i="187"/>
  <c r="L14" i="187"/>
  <c r="P14" i="187" s="1"/>
  <c r="K14" i="187"/>
  <c r="F14" i="187"/>
  <c r="AL13" i="187"/>
  <c r="S13" i="187"/>
  <c r="L13" i="187"/>
  <c r="P13" i="187" s="1"/>
  <c r="K13" i="187"/>
  <c r="F13" i="187"/>
  <c r="AL12" i="187"/>
  <c r="S12" i="187"/>
  <c r="L12" i="187"/>
  <c r="P12" i="187" s="1"/>
  <c r="K12" i="187"/>
  <c r="F12" i="187"/>
  <c r="BD20" i="187"/>
  <c r="AL11" i="187"/>
  <c r="S11" i="187"/>
  <c r="L11" i="187"/>
  <c r="P11" i="187" s="1"/>
  <c r="K11" i="187"/>
  <c r="F11" i="187"/>
  <c r="AL10" i="187"/>
  <c r="S10" i="187"/>
  <c r="L10" i="187"/>
  <c r="P10" i="187" s="1"/>
  <c r="K10" i="187"/>
  <c r="F10" i="187"/>
  <c r="AZ20" i="187"/>
  <c r="AL9" i="187"/>
  <c r="S9" i="187"/>
  <c r="S20" i="187" s="1"/>
  <c r="N9" i="187"/>
  <c r="K9" i="187"/>
  <c r="L9" i="187" s="1"/>
  <c r="F9" i="187"/>
  <c r="AL8" i="187"/>
  <c r="S8" i="187"/>
  <c r="N8" i="187"/>
  <c r="L8" i="187"/>
  <c r="K8" i="187"/>
  <c r="G8" i="187"/>
  <c r="G20" i="187" s="1"/>
  <c r="F8" i="187"/>
  <c r="A8" i="187"/>
  <c r="A9" i="187" s="1"/>
  <c r="A10" i="187" s="1"/>
  <c r="A11" i="187" s="1"/>
  <c r="A12" i="187" s="1"/>
  <c r="A13" i="187" s="1"/>
  <c r="A14" i="187" s="1"/>
  <c r="A15" i="187" s="1"/>
  <c r="A16" i="187" s="1"/>
  <c r="A17" i="187" s="1"/>
  <c r="A18" i="187" s="1"/>
  <c r="A19" i="187" s="1"/>
  <c r="A20" i="187" s="1"/>
  <c r="AL7" i="187"/>
  <c r="AL20" i="187" s="1"/>
  <c r="S7" i="187"/>
  <c r="N7" i="187"/>
  <c r="L7" i="187"/>
  <c r="P7" i="187" s="1"/>
  <c r="K7" i="187"/>
  <c r="K20" i="187" s="1"/>
  <c r="L21" i="187" s="1"/>
  <c r="F7" i="187"/>
  <c r="F20" i="187" s="1"/>
  <c r="A7" i="187"/>
  <c r="BC26" i="186"/>
  <c r="AZ14" i="191" s="1"/>
  <c r="BB26" i="186"/>
  <c r="AY14" i="191" s="1"/>
  <c r="AY19" i="191" s="1"/>
  <c r="AZ26" i="186"/>
  <c r="AW14" i="191" s="1"/>
  <c r="AK26" i="186"/>
  <c r="AH14" i="191" s="1"/>
  <c r="AJ26" i="186"/>
  <c r="AG14" i="191" s="1"/>
  <c r="AI26" i="186"/>
  <c r="AF14" i="191" s="1"/>
  <c r="AH26" i="186"/>
  <c r="AE14" i="191" s="1"/>
  <c r="AG26" i="186"/>
  <c r="AD14" i="191" s="1"/>
  <c r="AF26" i="186"/>
  <c r="AC14" i="191" s="1"/>
  <c r="AE26" i="186"/>
  <c r="AB14" i="191" s="1"/>
  <c r="AD26" i="186"/>
  <c r="AA14" i="191" s="1"/>
  <c r="AC26" i="186"/>
  <c r="Z14" i="191" s="1"/>
  <c r="AB26" i="186"/>
  <c r="AA26" i="186"/>
  <c r="Z26" i="186"/>
  <c r="Y26" i="186"/>
  <c r="X26" i="186"/>
  <c r="V26" i="186"/>
  <c r="R26" i="186"/>
  <c r="Q26" i="186"/>
  <c r="J26" i="186"/>
  <c r="I26" i="186"/>
  <c r="H26" i="186"/>
  <c r="G26" i="186"/>
  <c r="E26" i="186"/>
  <c r="AL25" i="186"/>
  <c r="AN25" i="186" s="1"/>
  <c r="AQ25" i="186" s="1"/>
  <c r="S25" i="186"/>
  <c r="L25" i="186"/>
  <c r="P25" i="186" s="1"/>
  <c r="K25" i="186"/>
  <c r="F25" i="186"/>
  <c r="BD26" i="186"/>
  <c r="BA14" i="191" s="1"/>
  <c r="AL24" i="186"/>
  <c r="AN24" i="186" s="1"/>
  <c r="S24" i="186"/>
  <c r="K24" i="186"/>
  <c r="L24" i="186" s="1"/>
  <c r="F24" i="186"/>
  <c r="AL23" i="186"/>
  <c r="AN23" i="186" s="1"/>
  <c r="S23" i="186"/>
  <c r="L23" i="186"/>
  <c r="P23" i="186" s="1"/>
  <c r="K23" i="186"/>
  <c r="F23" i="186"/>
  <c r="AL22" i="186"/>
  <c r="AN22" i="186" s="1"/>
  <c r="AQ22" i="186" s="1"/>
  <c r="S22" i="186"/>
  <c r="K22" i="186"/>
  <c r="L22" i="186" s="1"/>
  <c r="P22" i="186" s="1"/>
  <c r="F22" i="186"/>
  <c r="AL21" i="186"/>
  <c r="AN21" i="186" s="1"/>
  <c r="S21" i="186"/>
  <c r="K21" i="186"/>
  <c r="L21" i="186" s="1"/>
  <c r="P21" i="186" s="1"/>
  <c r="F21" i="186"/>
  <c r="AL20" i="186"/>
  <c r="AN20" i="186" s="1"/>
  <c r="AQ20" i="186" s="1"/>
  <c r="S20" i="186"/>
  <c r="K20" i="186"/>
  <c r="L20" i="186" s="1"/>
  <c r="F20" i="186"/>
  <c r="AL19" i="186"/>
  <c r="AN19" i="186" s="1"/>
  <c r="AQ19" i="186" s="1"/>
  <c r="S19" i="186"/>
  <c r="K19" i="186"/>
  <c r="L19" i="186" s="1"/>
  <c r="P19" i="186" s="1"/>
  <c r="F19" i="186"/>
  <c r="AL18" i="186"/>
  <c r="AN18" i="186" s="1"/>
  <c r="AQ18" i="186" s="1"/>
  <c r="S18" i="186"/>
  <c r="L18" i="186"/>
  <c r="P18" i="186" s="1"/>
  <c r="K18" i="186"/>
  <c r="F18" i="186"/>
  <c r="AL17" i="186"/>
  <c r="AN17" i="186" s="1"/>
  <c r="AQ17" i="186" s="1"/>
  <c r="S17" i="186"/>
  <c r="K17" i="186"/>
  <c r="L17" i="186" s="1"/>
  <c r="P17" i="186" s="1"/>
  <c r="F17" i="186"/>
  <c r="AL16" i="186"/>
  <c r="AN16" i="186" s="1"/>
  <c r="S16" i="186"/>
  <c r="K16" i="186"/>
  <c r="L16" i="186" s="1"/>
  <c r="F16" i="186"/>
  <c r="AL15" i="186"/>
  <c r="AN15" i="186" s="1"/>
  <c r="S15" i="186"/>
  <c r="N15" i="186"/>
  <c r="K15" i="186"/>
  <c r="L15" i="186" s="1"/>
  <c r="P15" i="186" s="1"/>
  <c r="D15" i="186"/>
  <c r="F15" i="186" s="1"/>
  <c r="AL14" i="186"/>
  <c r="AN14" i="186" s="1"/>
  <c r="S14" i="186"/>
  <c r="K14" i="186"/>
  <c r="L14" i="186" s="1"/>
  <c r="P14" i="186" s="1"/>
  <c r="F14" i="186"/>
  <c r="AL13" i="186"/>
  <c r="AN13" i="186" s="1"/>
  <c r="S13" i="186"/>
  <c r="L13" i="186"/>
  <c r="P13" i="186" s="1"/>
  <c r="K13" i="186"/>
  <c r="F13" i="186"/>
  <c r="AL12" i="186"/>
  <c r="AN12" i="186" s="1"/>
  <c r="AQ12" i="186" s="1"/>
  <c r="S12" i="186"/>
  <c r="K12" i="186"/>
  <c r="L12" i="186" s="1"/>
  <c r="P12" i="186" s="1"/>
  <c r="F12" i="186"/>
  <c r="AL11" i="186"/>
  <c r="AN11" i="186" s="1"/>
  <c r="AQ11" i="186" s="1"/>
  <c r="S11" i="186"/>
  <c r="K11" i="186"/>
  <c r="L11" i="186" s="1"/>
  <c r="D11" i="186"/>
  <c r="F11" i="186" s="1"/>
  <c r="AL10" i="186"/>
  <c r="AN10" i="186" s="1"/>
  <c r="AQ10" i="186" s="1"/>
  <c r="S10" i="186"/>
  <c r="K10" i="186"/>
  <c r="L10" i="186" s="1"/>
  <c r="P10" i="186" s="1"/>
  <c r="D10" i="186"/>
  <c r="F10" i="186" s="1"/>
  <c r="AL9" i="186"/>
  <c r="AN9" i="186" s="1"/>
  <c r="AQ9" i="186" s="1"/>
  <c r="S9" i="186"/>
  <c r="K9" i="186"/>
  <c r="L9" i="186" s="1"/>
  <c r="P9" i="186" s="1"/>
  <c r="F9" i="186"/>
  <c r="AL8" i="186"/>
  <c r="AN8" i="186" s="1"/>
  <c r="S8" i="186"/>
  <c r="K8" i="186"/>
  <c r="L8" i="186" s="1"/>
  <c r="P8" i="186" s="1"/>
  <c r="F8" i="186"/>
  <c r="AL7" i="186"/>
  <c r="S7" i="186"/>
  <c r="N7" i="186"/>
  <c r="N26" i="186" s="1"/>
  <c r="K7" i="186"/>
  <c r="L7" i="186" s="1"/>
  <c r="D7" i="186"/>
  <c r="F7" i="186" s="1"/>
  <c r="A7" i="186"/>
  <c r="A8" i="186" s="1"/>
  <c r="A9" i="186" s="1"/>
  <c r="A10" i="186" s="1"/>
  <c r="A11" i="186" s="1"/>
  <c r="A12" i="186" s="1"/>
  <c r="A13" i="186" s="1"/>
  <c r="A14" i="186" s="1"/>
  <c r="A15" i="186" s="1"/>
  <c r="A16" i="186" s="1"/>
  <c r="A17" i="186" s="1"/>
  <c r="A18" i="186" s="1"/>
  <c r="A19" i="186" s="1"/>
  <c r="A20" i="186" s="1"/>
  <c r="A21" i="186" s="1"/>
  <c r="A22" i="186" s="1"/>
  <c r="A23" i="186" s="1"/>
  <c r="A24" i="186" s="1"/>
  <c r="A25" i="186" s="1"/>
  <c r="A26" i="186" s="1"/>
  <c r="AK49" i="185"/>
  <c r="AJ49" i="185"/>
  <c r="AI49" i="185"/>
  <c r="AE49" i="185"/>
  <c r="AD49" i="185"/>
  <c r="AB49" i="185"/>
  <c r="AA49" i="185"/>
  <c r="Y49" i="185"/>
  <c r="X49" i="185"/>
  <c r="R49" i="185"/>
  <c r="Q49" i="185"/>
  <c r="J49" i="185"/>
  <c r="I49" i="185"/>
  <c r="H49" i="185"/>
  <c r="E49" i="185"/>
  <c r="AL48" i="185"/>
  <c r="AN48" i="185" s="1"/>
  <c r="AQ48" i="185" s="1"/>
  <c r="S48" i="185"/>
  <c r="N48" i="185"/>
  <c r="K48" i="185"/>
  <c r="L48" i="185" s="1"/>
  <c r="D48" i="185"/>
  <c r="F48" i="185" s="1"/>
  <c r="AL47" i="185"/>
  <c r="AN47" i="185" s="1"/>
  <c r="AQ47" i="185" s="1"/>
  <c r="S47" i="185"/>
  <c r="K47" i="185"/>
  <c r="L47" i="185" s="1"/>
  <c r="P47" i="185" s="1"/>
  <c r="F47" i="185"/>
  <c r="AL46" i="185"/>
  <c r="AN46" i="185" s="1"/>
  <c r="AQ46" i="185" s="1"/>
  <c r="S46" i="185"/>
  <c r="K46" i="185"/>
  <c r="L46" i="185" s="1"/>
  <c r="F46" i="185"/>
  <c r="AL45" i="185"/>
  <c r="AN45" i="185" s="1"/>
  <c r="S45" i="185"/>
  <c r="L45" i="185"/>
  <c r="P45" i="185" s="1"/>
  <c r="K45" i="185"/>
  <c r="F45" i="185"/>
  <c r="AL44" i="185"/>
  <c r="AN44" i="185" s="1"/>
  <c r="S44" i="185"/>
  <c r="K44" i="185"/>
  <c r="L44" i="185" s="1"/>
  <c r="F44" i="185"/>
  <c r="AL43" i="185"/>
  <c r="AN43" i="185" s="1"/>
  <c r="S43" i="185"/>
  <c r="K43" i="185"/>
  <c r="L43" i="185" s="1"/>
  <c r="P43" i="185" s="1"/>
  <c r="F43" i="185"/>
  <c r="AL42" i="185"/>
  <c r="AN42" i="185" s="1"/>
  <c r="S42" i="185"/>
  <c r="K42" i="185"/>
  <c r="L42" i="185" s="1"/>
  <c r="F42" i="185"/>
  <c r="AL41" i="185"/>
  <c r="AN41" i="185" s="1"/>
  <c r="AQ41" i="185" s="1"/>
  <c r="S41" i="185"/>
  <c r="K41" i="185"/>
  <c r="L41" i="185" s="1"/>
  <c r="P41" i="185" s="1"/>
  <c r="F41" i="185"/>
  <c r="AL40" i="185"/>
  <c r="AN40" i="185" s="1"/>
  <c r="AQ40" i="185" s="1"/>
  <c r="S40" i="185"/>
  <c r="L40" i="185"/>
  <c r="P40" i="185" s="1"/>
  <c r="M40" i="185" s="1"/>
  <c r="O40" i="185" s="1"/>
  <c r="K40" i="185"/>
  <c r="F40" i="185"/>
  <c r="AL39" i="185"/>
  <c r="AN39" i="185" s="1"/>
  <c r="AQ39" i="185" s="1"/>
  <c r="S39" i="185"/>
  <c r="N39" i="185"/>
  <c r="K39" i="185"/>
  <c r="L39" i="185" s="1"/>
  <c r="G39" i="185"/>
  <c r="F39" i="185"/>
  <c r="D39" i="185"/>
  <c r="AF38" i="185"/>
  <c r="AL38" i="185" s="1"/>
  <c r="AN38" i="185" s="1"/>
  <c r="AQ38" i="185" s="1"/>
  <c r="S38" i="185"/>
  <c r="N38" i="185"/>
  <c r="K38" i="185"/>
  <c r="L38" i="185" s="1"/>
  <c r="F38" i="185"/>
  <c r="AL37" i="185"/>
  <c r="AN37" i="185" s="1"/>
  <c r="S37" i="185"/>
  <c r="K37" i="185"/>
  <c r="L37" i="185" s="1"/>
  <c r="F37" i="185"/>
  <c r="AL36" i="185"/>
  <c r="AN36" i="185" s="1"/>
  <c r="S36" i="185"/>
  <c r="L36" i="185"/>
  <c r="P36" i="185" s="1"/>
  <c r="K36" i="185"/>
  <c r="F36" i="185"/>
  <c r="AL35" i="185"/>
  <c r="AN35" i="185" s="1"/>
  <c r="AQ35" i="185" s="1"/>
  <c r="V35" i="185"/>
  <c r="S35" i="185"/>
  <c r="K35" i="185"/>
  <c r="L35" i="185" s="1"/>
  <c r="F35" i="185"/>
  <c r="AL34" i="185"/>
  <c r="AN34" i="185" s="1"/>
  <c r="S34" i="185"/>
  <c r="K34" i="185"/>
  <c r="L34" i="185" s="1"/>
  <c r="P34" i="185" s="1"/>
  <c r="F34" i="185"/>
  <c r="AL33" i="185"/>
  <c r="AN33" i="185" s="1"/>
  <c r="AQ33" i="185" s="1"/>
  <c r="S33" i="185"/>
  <c r="L33" i="185"/>
  <c r="P33" i="185" s="1"/>
  <c r="M33" i="185" s="1"/>
  <c r="O33" i="185" s="1"/>
  <c r="K33" i="185"/>
  <c r="D33" i="185"/>
  <c r="F33" i="185" s="1"/>
  <c r="AL32" i="185"/>
  <c r="AN32" i="185" s="1"/>
  <c r="AQ32" i="185" s="1"/>
  <c r="S32" i="185"/>
  <c r="N32" i="185"/>
  <c r="L32" i="185"/>
  <c r="P32" i="185" s="1"/>
  <c r="M32" i="185" s="1"/>
  <c r="O32" i="185" s="1"/>
  <c r="K32" i="185"/>
  <c r="F32" i="185"/>
  <c r="AL31" i="185"/>
  <c r="AN31" i="185" s="1"/>
  <c r="AQ31" i="185" s="1"/>
  <c r="S31" i="185"/>
  <c r="L31" i="185"/>
  <c r="P31" i="185" s="1"/>
  <c r="K31" i="185"/>
  <c r="F31" i="185"/>
  <c r="AL30" i="185"/>
  <c r="AN30" i="185" s="1"/>
  <c r="AQ30" i="185" s="1"/>
  <c r="S30" i="185"/>
  <c r="K30" i="185"/>
  <c r="L30" i="185" s="1"/>
  <c r="F30" i="185"/>
  <c r="AL29" i="185"/>
  <c r="AN29" i="185" s="1"/>
  <c r="S29" i="185"/>
  <c r="N29" i="185"/>
  <c r="K29" i="185"/>
  <c r="L29" i="185" s="1"/>
  <c r="P29" i="185" s="1"/>
  <c r="F29" i="185"/>
  <c r="D29" i="185"/>
  <c r="AL28" i="185"/>
  <c r="AN28" i="185" s="1"/>
  <c r="S28" i="185"/>
  <c r="K28" i="185"/>
  <c r="L28" i="185" s="1"/>
  <c r="P28" i="185" s="1"/>
  <c r="F28" i="185"/>
  <c r="AL27" i="185"/>
  <c r="AN27" i="185" s="1"/>
  <c r="S27" i="185"/>
  <c r="K27" i="185"/>
  <c r="L27" i="185" s="1"/>
  <c r="P27" i="185" s="1"/>
  <c r="M27" i="185" s="1"/>
  <c r="O27" i="185" s="1"/>
  <c r="F27" i="185"/>
  <c r="AL26" i="185"/>
  <c r="AN26" i="185" s="1"/>
  <c r="S26" i="185"/>
  <c r="K26" i="185"/>
  <c r="L26" i="185" s="1"/>
  <c r="P26" i="185" s="1"/>
  <c r="D26" i="185"/>
  <c r="F26" i="185" s="1"/>
  <c r="AL25" i="185"/>
  <c r="AN25" i="185" s="1"/>
  <c r="AQ25" i="185" s="1"/>
  <c r="S25" i="185"/>
  <c r="N25" i="185"/>
  <c r="K25" i="185"/>
  <c r="L25" i="185" s="1"/>
  <c r="P25" i="185" s="1"/>
  <c r="F25" i="185"/>
  <c r="AL24" i="185"/>
  <c r="AN24" i="185" s="1"/>
  <c r="AQ24" i="185" s="1"/>
  <c r="S24" i="185"/>
  <c r="N24" i="185"/>
  <c r="K24" i="185"/>
  <c r="L24" i="185" s="1"/>
  <c r="P24" i="185" s="1"/>
  <c r="D24" i="185"/>
  <c r="F24" i="185" s="1"/>
  <c r="AH23" i="185"/>
  <c r="AH49" i="185" s="1"/>
  <c r="AG23" i="185"/>
  <c r="AG49" i="185" s="1"/>
  <c r="AF23" i="185"/>
  <c r="AF49" i="185" s="1"/>
  <c r="S23" i="185"/>
  <c r="P23" i="185"/>
  <c r="M23" i="185" s="1"/>
  <c r="O23" i="185" s="1"/>
  <c r="N23" i="185"/>
  <c r="L23" i="185"/>
  <c r="K23" i="185"/>
  <c r="D23" i="185"/>
  <c r="F23" i="185" s="1"/>
  <c r="AL22" i="185"/>
  <c r="AN22" i="185" s="1"/>
  <c r="AQ22" i="185" s="1"/>
  <c r="S22" i="185"/>
  <c r="K22" i="185"/>
  <c r="L22" i="185" s="1"/>
  <c r="F22" i="185"/>
  <c r="AL21" i="185"/>
  <c r="AN21" i="185" s="1"/>
  <c r="S21" i="185"/>
  <c r="K21" i="185"/>
  <c r="L21" i="185" s="1"/>
  <c r="P21" i="185" s="1"/>
  <c r="F21" i="185"/>
  <c r="AL20" i="185"/>
  <c r="AN20" i="185" s="1"/>
  <c r="S20" i="185"/>
  <c r="K20" i="185"/>
  <c r="L20" i="185" s="1"/>
  <c r="P20" i="185" s="1"/>
  <c r="F20" i="185"/>
  <c r="D20" i="185"/>
  <c r="AC19" i="185"/>
  <c r="AC49" i="185" s="1"/>
  <c r="V19" i="185"/>
  <c r="S19" i="185"/>
  <c r="K19" i="185"/>
  <c r="L19" i="185" s="1"/>
  <c r="G19" i="185"/>
  <c r="G49" i="185" s="1"/>
  <c r="D19" i="185"/>
  <c r="F19" i="185" s="1"/>
  <c r="AL18" i="185"/>
  <c r="AN18" i="185" s="1"/>
  <c r="S18" i="185"/>
  <c r="K18" i="185"/>
  <c r="L18" i="185" s="1"/>
  <c r="F18" i="185"/>
  <c r="AL17" i="185"/>
  <c r="AN17" i="185" s="1"/>
  <c r="AQ17" i="185" s="1"/>
  <c r="S17" i="185"/>
  <c r="K17" i="185"/>
  <c r="L17" i="185" s="1"/>
  <c r="P17" i="185" s="1"/>
  <c r="F17" i="185"/>
  <c r="AL16" i="185"/>
  <c r="AN16" i="185" s="1"/>
  <c r="AQ16" i="185" s="1"/>
  <c r="S16" i="185"/>
  <c r="N16" i="185"/>
  <c r="K16" i="185"/>
  <c r="L16" i="185" s="1"/>
  <c r="P16" i="185" s="1"/>
  <c r="D16" i="185"/>
  <c r="AL15" i="185"/>
  <c r="AN15" i="185" s="1"/>
  <c r="AQ15" i="185" s="1"/>
  <c r="S15" i="185"/>
  <c r="K15" i="185"/>
  <c r="L15" i="185" s="1"/>
  <c r="P15" i="185" s="1"/>
  <c r="M15" i="185" s="1"/>
  <c r="O15" i="185" s="1"/>
  <c r="F15" i="185"/>
  <c r="AL14" i="185"/>
  <c r="AN14" i="185" s="1"/>
  <c r="AQ14" i="185" s="1"/>
  <c r="S14" i="185"/>
  <c r="N14" i="185"/>
  <c r="K14" i="185"/>
  <c r="L14" i="185" s="1"/>
  <c r="P14" i="185" s="1"/>
  <c r="M14" i="185" s="1"/>
  <c r="O14" i="185" s="1"/>
  <c r="F14" i="185"/>
  <c r="D14" i="185"/>
  <c r="AL13" i="185"/>
  <c r="AN13" i="185" s="1"/>
  <c r="S13" i="185"/>
  <c r="N13" i="185"/>
  <c r="N49" i="185" s="1"/>
  <c r="K13" i="185"/>
  <c r="L13" i="185" s="1"/>
  <c r="P13" i="185" s="1"/>
  <c r="M13" i="185" s="1"/>
  <c r="O13" i="185" s="1"/>
  <c r="F13" i="185"/>
  <c r="D13" i="185"/>
  <c r="AL12" i="185"/>
  <c r="AN12" i="185" s="1"/>
  <c r="S12" i="185"/>
  <c r="K12" i="185"/>
  <c r="L12" i="185" s="1"/>
  <c r="F12" i="185"/>
  <c r="AL11" i="185"/>
  <c r="AN11" i="185" s="1"/>
  <c r="S11" i="185"/>
  <c r="L11" i="185"/>
  <c r="P11" i="185" s="1"/>
  <c r="K11" i="185"/>
  <c r="D11" i="185"/>
  <c r="F11" i="185" s="1"/>
  <c r="AL10" i="185"/>
  <c r="AN10" i="185" s="1"/>
  <c r="AQ10" i="185" s="1"/>
  <c r="S10" i="185"/>
  <c r="K10" i="185"/>
  <c r="L10" i="185" s="1"/>
  <c r="F10" i="185"/>
  <c r="D10" i="185"/>
  <c r="AL9" i="185"/>
  <c r="AN9" i="185" s="1"/>
  <c r="AQ9" i="185" s="1"/>
  <c r="S9" i="185"/>
  <c r="K9" i="185"/>
  <c r="L9" i="185" s="1"/>
  <c r="P9" i="185" s="1"/>
  <c r="F9" i="185"/>
  <c r="D9" i="185"/>
  <c r="AL8" i="185"/>
  <c r="AN8" i="185" s="1"/>
  <c r="AQ8" i="185" s="1"/>
  <c r="S8" i="185"/>
  <c r="K8" i="185"/>
  <c r="L8" i="185" s="1"/>
  <c r="P8" i="185" s="1"/>
  <c r="F8" i="185"/>
  <c r="A8" i="185"/>
  <c r="A9" i="185" s="1"/>
  <c r="A10" i="185" s="1"/>
  <c r="A11" i="185" s="1"/>
  <c r="A12" i="185" s="1"/>
  <c r="A13" i="185" s="1"/>
  <c r="A14" i="185" s="1"/>
  <c r="A15" i="185" s="1"/>
  <c r="A16" i="185" s="1"/>
  <c r="A17" i="185" s="1"/>
  <c r="A18" i="185" s="1"/>
  <c r="A19" i="185" s="1"/>
  <c r="A20" i="185" s="1"/>
  <c r="A21" i="185" s="1"/>
  <c r="A22" i="185" s="1"/>
  <c r="A23" i="185" s="1"/>
  <c r="A24" i="185" s="1"/>
  <c r="A25" i="185" s="1"/>
  <c r="A26" i="185" s="1"/>
  <c r="A27" i="185" s="1"/>
  <c r="A28" i="185" s="1"/>
  <c r="A29" i="185" s="1"/>
  <c r="A30" i="185" s="1"/>
  <c r="A31" i="185" s="1"/>
  <c r="A32" i="185" s="1"/>
  <c r="A33" i="185" s="1"/>
  <c r="A34" i="185" s="1"/>
  <c r="A35" i="185" s="1"/>
  <c r="A36" i="185" s="1"/>
  <c r="A37" i="185" s="1"/>
  <c r="A38" i="185" s="1"/>
  <c r="A39" i="185" s="1"/>
  <c r="A40" i="185" s="1"/>
  <c r="A41" i="185" s="1"/>
  <c r="A42" i="185" s="1"/>
  <c r="A43" i="185" s="1"/>
  <c r="A44" i="185" s="1"/>
  <c r="A45" i="185" s="1"/>
  <c r="A46" i="185" s="1"/>
  <c r="A47" i="185" s="1"/>
  <c r="A48" i="185" s="1"/>
  <c r="A49" i="185" s="1"/>
  <c r="AL7" i="185"/>
  <c r="AN7" i="185" s="1"/>
  <c r="S7" i="185"/>
  <c r="L7" i="185"/>
  <c r="K7" i="185"/>
  <c r="F7" i="185"/>
  <c r="D7" i="185"/>
  <c r="BD17" i="184"/>
  <c r="BC17" i="184"/>
  <c r="BB17" i="184"/>
  <c r="AP17" i="184"/>
  <c r="AK17" i="184"/>
  <c r="AJ17" i="184"/>
  <c r="AI17" i="184"/>
  <c r="AH17" i="184"/>
  <c r="AG17" i="184"/>
  <c r="AF17" i="184"/>
  <c r="AE17" i="184"/>
  <c r="AD17" i="184"/>
  <c r="AC17" i="184"/>
  <c r="AB17" i="184"/>
  <c r="AA17" i="184"/>
  <c r="Z17" i="184"/>
  <c r="Y17" i="184"/>
  <c r="X17" i="184"/>
  <c r="R17" i="184"/>
  <c r="J17" i="184"/>
  <c r="I17" i="184"/>
  <c r="H17" i="184"/>
  <c r="L18" i="184" s="1"/>
  <c r="AL16" i="184"/>
  <c r="Q16" i="184"/>
  <c r="S16" i="184" s="1"/>
  <c r="K16" i="184"/>
  <c r="L16" i="184" s="1"/>
  <c r="F16" i="184"/>
  <c r="AL15" i="184"/>
  <c r="V15" i="184"/>
  <c r="V17" i="184" s="1"/>
  <c r="S15" i="184"/>
  <c r="P15" i="184"/>
  <c r="T15" i="184" s="1"/>
  <c r="U15" i="184" s="1"/>
  <c r="M15" i="184"/>
  <c r="O15" i="184" s="1"/>
  <c r="L15" i="184"/>
  <c r="K15" i="184"/>
  <c r="F15" i="184"/>
  <c r="AL14" i="184"/>
  <c r="W14" i="184"/>
  <c r="U14" i="184"/>
  <c r="Q14" i="184"/>
  <c r="S14" i="184" s="1"/>
  <c r="K14" i="184"/>
  <c r="K17" i="184" s="1"/>
  <c r="F14" i="184"/>
  <c r="AL13" i="184"/>
  <c r="S13" i="184"/>
  <c r="K13" i="184"/>
  <c r="L13" i="184" s="1"/>
  <c r="G13" i="184"/>
  <c r="F13" i="184"/>
  <c r="AL12" i="184"/>
  <c r="S12" i="184"/>
  <c r="N12" i="184"/>
  <c r="N17" i="184" s="1"/>
  <c r="K12" i="184"/>
  <c r="L12" i="184" s="1"/>
  <c r="P12" i="184" s="1"/>
  <c r="D12" i="184"/>
  <c r="AL11" i="184"/>
  <c r="S11" i="184"/>
  <c r="K11" i="184"/>
  <c r="L11" i="184" s="1"/>
  <c r="P11" i="184" s="1"/>
  <c r="F11" i="184"/>
  <c r="D11" i="184"/>
  <c r="AL10" i="184"/>
  <c r="S10" i="184"/>
  <c r="K10" i="184"/>
  <c r="L10" i="184" s="1"/>
  <c r="F10" i="184"/>
  <c r="AL9" i="184"/>
  <c r="S9" i="184"/>
  <c r="P9" i="184"/>
  <c r="T9" i="184" s="1"/>
  <c r="U9" i="184" s="1"/>
  <c r="M9" i="184"/>
  <c r="O9" i="184" s="1"/>
  <c r="L9" i="184"/>
  <c r="K9" i="184"/>
  <c r="D9" i="184"/>
  <c r="F9" i="184" s="1"/>
  <c r="BA17" i="184"/>
  <c r="AL8" i="184"/>
  <c r="S8" i="184"/>
  <c r="L8" i="184"/>
  <c r="K8" i="184"/>
  <c r="F8" i="184"/>
  <c r="AL7" i="184"/>
  <c r="AL17" i="184" s="1"/>
  <c r="S7" i="184"/>
  <c r="L7" i="184"/>
  <c r="K7" i="184"/>
  <c r="G7" i="184"/>
  <c r="G17" i="184" s="1"/>
  <c r="F7" i="184"/>
  <c r="E7" i="184"/>
  <c r="E17" i="184" s="1"/>
  <c r="D7" i="184"/>
  <c r="A7" i="184"/>
  <c r="A8" i="184" s="1"/>
  <c r="A9" i="184" s="1"/>
  <c r="A10" i="184" s="1"/>
  <c r="A11" i="184" s="1"/>
  <c r="A12" i="184" s="1"/>
  <c r="A13" i="184" s="1"/>
  <c r="A14" i="184" s="1"/>
  <c r="A15" i="184" s="1"/>
  <c r="A16" i="184" s="1"/>
  <c r="A17" i="184" s="1"/>
  <c r="T6" i="184"/>
  <c r="U6" i="184" s="1"/>
  <c r="AN30" i="183"/>
  <c r="AK30" i="183"/>
  <c r="AJ30" i="183"/>
  <c r="AI30" i="183"/>
  <c r="AH30" i="183"/>
  <c r="AG30" i="183"/>
  <c r="AF30" i="183"/>
  <c r="AE30" i="183"/>
  <c r="AD30" i="183"/>
  <c r="AC30" i="183"/>
  <c r="AB30" i="183"/>
  <c r="AA30" i="183"/>
  <c r="Y30" i="183"/>
  <c r="X30" i="183"/>
  <c r="V30" i="183"/>
  <c r="R30" i="183"/>
  <c r="Q30" i="183"/>
  <c r="J30" i="183"/>
  <c r="I30" i="183"/>
  <c r="H30" i="183"/>
  <c r="G30" i="183"/>
  <c r="P31" i="183" s="1"/>
  <c r="E30" i="183"/>
  <c r="AL29" i="183"/>
  <c r="S29" i="183"/>
  <c r="L29" i="183"/>
  <c r="P29" i="183" s="1"/>
  <c r="K29" i="183"/>
  <c r="F29" i="183"/>
  <c r="AL28" i="183"/>
  <c r="S28" i="183"/>
  <c r="K28" i="183"/>
  <c r="L28" i="183" s="1"/>
  <c r="F28" i="183"/>
  <c r="AL27" i="183"/>
  <c r="S27" i="183"/>
  <c r="L27" i="183"/>
  <c r="P27" i="183" s="1"/>
  <c r="K27" i="183"/>
  <c r="F27" i="183"/>
  <c r="AL26" i="183"/>
  <c r="S26" i="183"/>
  <c r="L26" i="183"/>
  <c r="P26" i="183" s="1"/>
  <c r="K26" i="183"/>
  <c r="F26" i="183"/>
  <c r="AL25" i="183"/>
  <c r="Z25" i="183"/>
  <c r="Z30" i="183" s="1"/>
  <c r="S25" i="183"/>
  <c r="N25" i="183"/>
  <c r="L25" i="183"/>
  <c r="P25" i="183" s="1"/>
  <c r="K25" i="183"/>
  <c r="F25" i="183"/>
  <c r="AL24" i="183"/>
  <c r="S24" i="183"/>
  <c r="L24" i="183"/>
  <c r="P24" i="183" s="1"/>
  <c r="K24" i="183"/>
  <c r="F24" i="183"/>
  <c r="AL23" i="183"/>
  <c r="S23" i="183"/>
  <c r="K23" i="183"/>
  <c r="L23" i="183" s="1"/>
  <c r="P23" i="183" s="1"/>
  <c r="D23" i="183"/>
  <c r="F23" i="183" s="1"/>
  <c r="AL22" i="183"/>
  <c r="S22" i="183"/>
  <c r="N22" i="183"/>
  <c r="K22" i="183"/>
  <c r="L22" i="183" s="1"/>
  <c r="P22" i="183" s="1"/>
  <c r="D22" i="183"/>
  <c r="F22" i="183" s="1"/>
  <c r="AL21" i="183"/>
  <c r="S21" i="183"/>
  <c r="N21" i="183"/>
  <c r="K21" i="183"/>
  <c r="L21" i="183" s="1"/>
  <c r="P21" i="183" s="1"/>
  <c r="D21" i="183"/>
  <c r="F21" i="183" s="1"/>
  <c r="AL20" i="183"/>
  <c r="S20" i="183"/>
  <c r="K20" i="183"/>
  <c r="L20" i="183" s="1"/>
  <c r="F20" i="183"/>
  <c r="AL19" i="183"/>
  <c r="S19" i="183"/>
  <c r="L19" i="183"/>
  <c r="P19" i="183" s="1"/>
  <c r="K19" i="183"/>
  <c r="F19" i="183"/>
  <c r="AL18" i="183"/>
  <c r="S18" i="183"/>
  <c r="L18" i="183"/>
  <c r="P18" i="183" s="1"/>
  <c r="K18" i="183"/>
  <c r="F18" i="183"/>
  <c r="AL17" i="183"/>
  <c r="S17" i="183"/>
  <c r="L17" i="183"/>
  <c r="P17" i="183" s="1"/>
  <c r="K17" i="183"/>
  <c r="F17" i="183"/>
  <c r="AL16" i="183"/>
  <c r="S16" i="183"/>
  <c r="N16" i="183"/>
  <c r="K16" i="183"/>
  <c r="L16" i="183" s="1"/>
  <c r="P16" i="183" s="1"/>
  <c r="D16" i="183"/>
  <c r="F16" i="183" s="1"/>
  <c r="AL15" i="183"/>
  <c r="S15" i="183"/>
  <c r="M15" i="183" s="1"/>
  <c r="P15" i="183"/>
  <c r="L15" i="183"/>
  <c r="K15" i="183"/>
  <c r="F15" i="183"/>
  <c r="AL14" i="183"/>
  <c r="AG14" i="183"/>
  <c r="S14" i="183"/>
  <c r="P14" i="183"/>
  <c r="M14" i="183" s="1"/>
  <c r="T14" i="183" s="1"/>
  <c r="N14" i="183"/>
  <c r="U14" i="183" s="1"/>
  <c r="AO14" i="183" s="1"/>
  <c r="BA14" i="183" s="1"/>
  <c r="L14" i="183"/>
  <c r="K14" i="183"/>
  <c r="D14" i="183"/>
  <c r="F14" i="183" s="1"/>
  <c r="AL13" i="183"/>
  <c r="S13" i="183"/>
  <c r="P13" i="183"/>
  <c r="M13" i="183" s="1"/>
  <c r="T13" i="183" s="1"/>
  <c r="U13" i="183" s="1"/>
  <c r="AO13" i="183" s="1"/>
  <c r="BA13" i="183" s="1"/>
  <c r="L13" i="183"/>
  <c r="K13" i="183"/>
  <c r="D13" i="183"/>
  <c r="AL12" i="183"/>
  <c r="S12" i="183"/>
  <c r="N12" i="183"/>
  <c r="L12" i="183"/>
  <c r="P12" i="183" s="1"/>
  <c r="K12" i="183"/>
  <c r="D12" i="183"/>
  <c r="AL11" i="183"/>
  <c r="S11" i="183"/>
  <c r="L11" i="183"/>
  <c r="P11" i="183" s="1"/>
  <c r="K11" i="183"/>
  <c r="F11" i="183"/>
  <c r="AL10" i="183"/>
  <c r="S10" i="183"/>
  <c r="N10" i="183"/>
  <c r="K10" i="183"/>
  <c r="L10" i="183" s="1"/>
  <c r="F10" i="183"/>
  <c r="D10" i="183"/>
  <c r="AL9" i="183"/>
  <c r="S9" i="183"/>
  <c r="L9" i="183"/>
  <c r="P9" i="183" s="1"/>
  <c r="K9" i="183"/>
  <c r="F9" i="183"/>
  <c r="AL8" i="183"/>
  <c r="S8" i="183"/>
  <c r="L8" i="183"/>
  <c r="L30" i="183" s="1"/>
  <c r="K8" i="183"/>
  <c r="F8" i="183"/>
  <c r="AL7" i="183"/>
  <c r="AL30" i="183" s="1"/>
  <c r="S7" i="183"/>
  <c r="M7" i="183" s="1"/>
  <c r="P7" i="183"/>
  <c r="L7" i="183"/>
  <c r="K7" i="183"/>
  <c r="K30" i="183" s="1"/>
  <c r="L31" i="183" s="1"/>
  <c r="F7" i="183"/>
  <c r="D7" i="183"/>
  <c r="A7" i="183"/>
  <c r="A8" i="183" s="1"/>
  <c r="A9" i="183" s="1"/>
  <c r="A10" i="183" s="1"/>
  <c r="A11" i="183" s="1"/>
  <c r="A12" i="183" s="1"/>
  <c r="A13" i="183" s="1"/>
  <c r="A14" i="183" s="1"/>
  <c r="A15" i="183" s="1"/>
  <c r="A16" i="183" s="1"/>
  <c r="A17" i="183" s="1"/>
  <c r="A18" i="183" s="1"/>
  <c r="A19" i="183" s="1"/>
  <c r="A20" i="183" s="1"/>
  <c r="A21" i="183" s="1"/>
  <c r="A22" i="183" s="1"/>
  <c r="A23" i="183" s="1"/>
  <c r="A24" i="183" s="1"/>
  <c r="A25" i="183" s="1"/>
  <c r="A26" i="183" s="1"/>
  <c r="A27" i="183" s="1"/>
  <c r="A28" i="183" s="1"/>
  <c r="A29" i="183" s="1"/>
  <c r="A30" i="183" s="1"/>
  <c r="AK12" i="182"/>
  <c r="AH10" i="191" s="1"/>
  <c r="AJ12" i="182"/>
  <c r="AG10" i="191" s="1"/>
  <c r="AI12" i="182"/>
  <c r="AF10" i="191" s="1"/>
  <c r="AH12" i="182"/>
  <c r="AE10" i="191" s="1"/>
  <c r="AG12" i="182"/>
  <c r="AD10" i="191" s="1"/>
  <c r="AF12" i="182"/>
  <c r="AC10" i="191" s="1"/>
  <c r="AE12" i="182"/>
  <c r="AB10" i="191" s="1"/>
  <c r="AD12" i="182"/>
  <c r="AA10" i="191" s="1"/>
  <c r="AB12" i="182"/>
  <c r="AA12" i="182"/>
  <c r="Z12" i="182"/>
  <c r="Y12" i="182"/>
  <c r="X12" i="182"/>
  <c r="V12" i="182"/>
  <c r="R12" i="182"/>
  <c r="Q12" i="182"/>
  <c r="J12" i="182"/>
  <c r="I12" i="182"/>
  <c r="H12" i="182"/>
  <c r="G12" i="182"/>
  <c r="E12" i="182"/>
  <c r="AC11" i="182"/>
  <c r="AC12" i="182" s="1"/>
  <c r="Z10" i="191" s="1"/>
  <c r="S11" i="182"/>
  <c r="K11" i="182"/>
  <c r="L11" i="182" s="1"/>
  <c r="P11" i="182" s="1"/>
  <c r="D11" i="182"/>
  <c r="F11" i="182" s="1"/>
  <c r="AL10" i="182"/>
  <c r="AN10" i="182" s="1"/>
  <c r="AQ10" i="182" s="1"/>
  <c r="S10" i="182"/>
  <c r="K10" i="182"/>
  <c r="L10" i="182" s="1"/>
  <c r="F10" i="182"/>
  <c r="AL9" i="182"/>
  <c r="AN9" i="182" s="1"/>
  <c r="AQ9" i="182" s="1"/>
  <c r="S9" i="182"/>
  <c r="K9" i="182"/>
  <c r="L9" i="182" s="1"/>
  <c r="F9" i="182"/>
  <c r="A9" i="182"/>
  <c r="A10" i="182" s="1"/>
  <c r="A11" i="182" s="1"/>
  <c r="A12" i="182" s="1"/>
  <c r="AL8" i="182"/>
  <c r="AN8" i="182" s="1"/>
  <c r="AQ8" i="182" s="1"/>
  <c r="S8" i="182"/>
  <c r="P8" i="182"/>
  <c r="M8" i="182" s="1"/>
  <c r="L8" i="182"/>
  <c r="K8" i="182"/>
  <c r="D8" i="182"/>
  <c r="A8" i="182"/>
  <c r="AL7" i="182"/>
  <c r="AN7" i="182" s="1"/>
  <c r="S7" i="182"/>
  <c r="N7" i="182"/>
  <c r="N12" i="182" s="1"/>
  <c r="L7" i="182"/>
  <c r="K7" i="182"/>
  <c r="K12" i="182" s="1"/>
  <c r="D7" i="182"/>
  <c r="AC71" i="181"/>
  <c r="AB71" i="181"/>
  <c r="AA71" i="181"/>
  <c r="Z71" i="181"/>
  <c r="Y71" i="181"/>
  <c r="X71" i="181"/>
  <c r="R71" i="181"/>
  <c r="Q71" i="181"/>
  <c r="H71" i="181"/>
  <c r="G71" i="181"/>
  <c r="V70" i="181"/>
  <c r="S70" i="181"/>
  <c r="P70" i="181"/>
  <c r="M70" i="181" s="1"/>
  <c r="N70" i="181"/>
  <c r="L70" i="181"/>
  <c r="K70" i="181"/>
  <c r="D70" i="181"/>
  <c r="F70" i="181" s="1"/>
  <c r="S69" i="181"/>
  <c r="K69" i="181"/>
  <c r="L69" i="181" s="1"/>
  <c r="F69" i="181"/>
  <c r="S68" i="181"/>
  <c r="N68" i="181"/>
  <c r="K68" i="181"/>
  <c r="L68" i="181" s="1"/>
  <c r="F68" i="181"/>
  <c r="D68" i="181"/>
  <c r="S67" i="181"/>
  <c r="L67" i="181"/>
  <c r="K67" i="181"/>
  <c r="F67" i="181"/>
  <c r="S66" i="181"/>
  <c r="L66" i="181"/>
  <c r="P66" i="181" s="1"/>
  <c r="K66" i="181"/>
  <c r="F66" i="181"/>
  <c r="S65" i="181"/>
  <c r="K65" i="181"/>
  <c r="L65" i="181" s="1"/>
  <c r="F65" i="181"/>
  <c r="S64" i="181"/>
  <c r="L64" i="181"/>
  <c r="P64" i="181" s="1"/>
  <c r="K64" i="181"/>
  <c r="F64" i="181"/>
  <c r="S63" i="181"/>
  <c r="N63" i="181"/>
  <c r="K63" i="181"/>
  <c r="L63" i="181" s="1"/>
  <c r="J63" i="181"/>
  <c r="F63" i="181"/>
  <c r="S62" i="181"/>
  <c r="L62" i="181"/>
  <c r="K62" i="181"/>
  <c r="F62" i="181"/>
  <c r="S61" i="181"/>
  <c r="L61" i="181"/>
  <c r="P61" i="181" s="1"/>
  <c r="K61" i="181"/>
  <c r="F61" i="181"/>
  <c r="S60" i="181"/>
  <c r="I60" i="181"/>
  <c r="K60" i="181" s="1"/>
  <c r="L60" i="181" s="1"/>
  <c r="F60" i="181"/>
  <c r="S59" i="181"/>
  <c r="N59" i="181"/>
  <c r="K59" i="181"/>
  <c r="L59" i="181" s="1"/>
  <c r="F59" i="181"/>
  <c r="S58" i="181"/>
  <c r="L58" i="181"/>
  <c r="P58" i="181" s="1"/>
  <c r="K58" i="181"/>
  <c r="F58" i="181"/>
  <c r="S57" i="181"/>
  <c r="P57" i="181"/>
  <c r="M57" i="181" s="1"/>
  <c r="N57" i="181"/>
  <c r="L57" i="181"/>
  <c r="K57" i="181"/>
  <c r="D57" i="181"/>
  <c r="F57" i="181" s="1"/>
  <c r="S56" i="181"/>
  <c r="P56" i="181"/>
  <c r="M56" i="181" s="1"/>
  <c r="N56" i="181"/>
  <c r="L56" i="181"/>
  <c r="K56" i="181"/>
  <c r="D56" i="181"/>
  <c r="F56" i="181" s="1"/>
  <c r="S55" i="181"/>
  <c r="N55" i="181"/>
  <c r="K55" i="181"/>
  <c r="L55" i="181" s="1"/>
  <c r="P55" i="181" s="1"/>
  <c r="D55" i="181"/>
  <c r="F55" i="181" s="1"/>
  <c r="AF54" i="181"/>
  <c r="S54" i="181"/>
  <c r="N54" i="181"/>
  <c r="K54" i="181"/>
  <c r="L54" i="181" s="1"/>
  <c r="F54" i="181"/>
  <c r="S53" i="181"/>
  <c r="L53" i="181"/>
  <c r="P53" i="181" s="1"/>
  <c r="K53" i="181"/>
  <c r="F53" i="181"/>
  <c r="S52" i="181"/>
  <c r="L52" i="181"/>
  <c r="K52" i="181"/>
  <c r="F52" i="181"/>
  <c r="E52" i="181"/>
  <c r="D52" i="181"/>
  <c r="S51" i="181"/>
  <c r="L51" i="181"/>
  <c r="K51" i="181"/>
  <c r="F51" i="181"/>
  <c r="S50" i="181"/>
  <c r="L50" i="181"/>
  <c r="P50" i="181" s="1"/>
  <c r="K50" i="181"/>
  <c r="F50" i="181"/>
  <c r="S49" i="181"/>
  <c r="N49" i="181"/>
  <c r="K49" i="181"/>
  <c r="L49" i="181" s="1"/>
  <c r="P49" i="181" s="1"/>
  <c r="D49" i="181"/>
  <c r="S48" i="181"/>
  <c r="K48" i="181"/>
  <c r="L48" i="181" s="1"/>
  <c r="F48" i="181"/>
  <c r="S47" i="181"/>
  <c r="L47" i="181"/>
  <c r="P47" i="181" s="1"/>
  <c r="K47" i="181"/>
  <c r="F47" i="181"/>
  <c r="S46" i="181"/>
  <c r="N46" i="181"/>
  <c r="K46" i="181"/>
  <c r="L46" i="181" s="1"/>
  <c r="F46" i="181"/>
  <c r="S45" i="181"/>
  <c r="K45" i="181"/>
  <c r="L45" i="181" s="1"/>
  <c r="F45" i="181"/>
  <c r="T44" i="181"/>
  <c r="U44" i="181" s="1"/>
  <c r="S44" i="181"/>
  <c r="K44" i="181"/>
  <c r="L44" i="181" s="1"/>
  <c r="P44" i="181" s="1"/>
  <c r="M44" i="181" s="1"/>
  <c r="D44" i="181"/>
  <c r="AK43" i="181"/>
  <c r="AK71" i="181" s="1"/>
  <c r="AJ43" i="181"/>
  <c r="AI43" i="181"/>
  <c r="AH43" i="181"/>
  <c r="S43" i="181"/>
  <c r="L43" i="181"/>
  <c r="P43" i="181" s="1"/>
  <c r="K43" i="181"/>
  <c r="F43" i="181"/>
  <c r="S42" i="181"/>
  <c r="L42" i="181"/>
  <c r="K42" i="181"/>
  <c r="F42" i="181"/>
  <c r="S41" i="181"/>
  <c r="K41" i="181"/>
  <c r="L41" i="181" s="1"/>
  <c r="P41" i="181" s="1"/>
  <c r="F41" i="181"/>
  <c r="S40" i="181"/>
  <c r="L40" i="181"/>
  <c r="P40" i="181" s="1"/>
  <c r="K40" i="181"/>
  <c r="S39" i="181"/>
  <c r="K39" i="181"/>
  <c r="L39" i="181" s="1"/>
  <c r="E39" i="181"/>
  <c r="F39" i="181" s="1"/>
  <c r="D39" i="181"/>
  <c r="S38" i="181"/>
  <c r="K38" i="181"/>
  <c r="L38" i="181" s="1"/>
  <c r="F38" i="181"/>
  <c r="K37" i="181"/>
  <c r="L37" i="181" s="1"/>
  <c r="P37" i="181" s="1"/>
  <c r="M37" i="181" s="1"/>
  <c r="F37" i="181"/>
  <c r="N36" i="181"/>
  <c r="L36" i="181"/>
  <c r="P36" i="181" s="1"/>
  <c r="K36" i="181"/>
  <c r="F36" i="181"/>
  <c r="S35" i="181"/>
  <c r="P35" i="181"/>
  <c r="M35" i="181" s="1"/>
  <c r="K35" i="181"/>
  <c r="L35" i="181" s="1"/>
  <c r="F35" i="181"/>
  <c r="S34" i="181"/>
  <c r="K34" i="181"/>
  <c r="L34" i="181" s="1"/>
  <c r="F34" i="181"/>
  <c r="S33" i="181"/>
  <c r="K33" i="181"/>
  <c r="L33" i="181" s="1"/>
  <c r="P33" i="181" s="1"/>
  <c r="E33" i="181"/>
  <c r="E71" i="181" s="1"/>
  <c r="D33" i="181"/>
  <c r="S32" i="181"/>
  <c r="P32" i="181"/>
  <c r="M32" i="181" s="1"/>
  <c r="K32" i="181"/>
  <c r="L32" i="181" s="1"/>
  <c r="F32" i="181"/>
  <c r="S31" i="181"/>
  <c r="J31" i="181"/>
  <c r="K31" i="181" s="1"/>
  <c r="L31" i="181" s="1"/>
  <c r="P31" i="181" s="1"/>
  <c r="F31" i="181"/>
  <c r="S30" i="181"/>
  <c r="L30" i="181"/>
  <c r="P30" i="181" s="1"/>
  <c r="K30" i="181"/>
  <c r="F30" i="181"/>
  <c r="S29" i="181"/>
  <c r="L29" i="181"/>
  <c r="P29" i="181" s="1"/>
  <c r="K29" i="181"/>
  <c r="F29" i="181"/>
  <c r="D29" i="181"/>
  <c r="S28" i="181"/>
  <c r="K28" i="181"/>
  <c r="L28" i="181" s="1"/>
  <c r="F28" i="181"/>
  <c r="S27" i="181"/>
  <c r="K27" i="181"/>
  <c r="L27" i="181" s="1"/>
  <c r="F27" i="181"/>
  <c r="S26" i="181"/>
  <c r="P26" i="181"/>
  <c r="M26" i="181" s="1"/>
  <c r="T26" i="181" s="1"/>
  <c r="U26" i="181" s="1"/>
  <c r="L26" i="181"/>
  <c r="K26" i="181"/>
  <c r="D26" i="181"/>
  <c r="S25" i="181"/>
  <c r="L25" i="181"/>
  <c r="P25" i="181" s="1"/>
  <c r="K25" i="181"/>
  <c r="F25" i="181"/>
  <c r="S24" i="181"/>
  <c r="N24" i="181"/>
  <c r="K24" i="181"/>
  <c r="L24" i="181" s="1"/>
  <c r="P24" i="181" s="1"/>
  <c r="M24" i="181" s="1"/>
  <c r="F24" i="181"/>
  <c r="D24" i="181"/>
  <c r="S23" i="181"/>
  <c r="N23" i="181"/>
  <c r="K23" i="181"/>
  <c r="L23" i="181" s="1"/>
  <c r="P23" i="181" s="1"/>
  <c r="F23" i="181"/>
  <c r="D23" i="181"/>
  <c r="S22" i="181"/>
  <c r="L22" i="181"/>
  <c r="P22" i="181" s="1"/>
  <c r="K22" i="181"/>
  <c r="F22" i="181"/>
  <c r="S21" i="181"/>
  <c r="L21" i="181"/>
  <c r="K21" i="181"/>
  <c r="F21" i="181"/>
  <c r="S20" i="181"/>
  <c r="K20" i="181"/>
  <c r="L20" i="181" s="1"/>
  <c r="P20" i="181" s="1"/>
  <c r="F20" i="181"/>
  <c r="S19" i="181"/>
  <c r="N19" i="181"/>
  <c r="M19" i="181"/>
  <c r="L19" i="181"/>
  <c r="P19" i="181" s="1"/>
  <c r="K19" i="181"/>
  <c r="D19" i="181"/>
  <c r="F19" i="181" s="1"/>
  <c r="S18" i="181"/>
  <c r="L18" i="181"/>
  <c r="P18" i="181" s="1"/>
  <c r="K18" i="181"/>
  <c r="F18" i="181"/>
  <c r="S17" i="181"/>
  <c r="L17" i="181"/>
  <c r="P17" i="181" s="1"/>
  <c r="K17" i="181"/>
  <c r="F17" i="181"/>
  <c r="S16" i="181"/>
  <c r="L16" i="181"/>
  <c r="P16" i="181" s="1"/>
  <c r="K16" i="181"/>
  <c r="F16" i="181"/>
  <c r="D16" i="181"/>
  <c r="S15" i="181"/>
  <c r="K15" i="181"/>
  <c r="L15" i="181" s="1"/>
  <c r="F15" i="181"/>
  <c r="S14" i="181"/>
  <c r="P14" i="181"/>
  <c r="M14" i="181" s="1"/>
  <c r="N14" i="181"/>
  <c r="K14" i="181"/>
  <c r="L14" i="181" s="1"/>
  <c r="F14" i="181"/>
  <c r="D14" i="181"/>
  <c r="S13" i="181"/>
  <c r="N13" i="181"/>
  <c r="K13" i="181"/>
  <c r="L13" i="181" s="1"/>
  <c r="F13" i="181"/>
  <c r="D13" i="181"/>
  <c r="S12" i="181"/>
  <c r="N12" i="181"/>
  <c r="K12" i="181"/>
  <c r="L12" i="181" s="1"/>
  <c r="F12" i="181"/>
  <c r="D12" i="181"/>
  <c r="S11" i="181"/>
  <c r="P11" i="181"/>
  <c r="M11" i="181" s="1"/>
  <c r="L11" i="181"/>
  <c r="K11" i="181"/>
  <c r="D11" i="181"/>
  <c r="S10" i="181"/>
  <c r="L10" i="181"/>
  <c r="P10" i="181" s="1"/>
  <c r="K10" i="181"/>
  <c r="F10" i="181"/>
  <c r="S9" i="181"/>
  <c r="L9" i="181"/>
  <c r="P9" i="181" s="1"/>
  <c r="K9" i="181"/>
  <c r="F9" i="181"/>
  <c r="S8" i="181"/>
  <c r="N8" i="181"/>
  <c r="M8" i="181"/>
  <c r="K8" i="181"/>
  <c r="L8" i="181" s="1"/>
  <c r="P8" i="181" s="1"/>
  <c r="T8" i="181" s="1"/>
  <c r="D8" i="181"/>
  <c r="A8" i="181"/>
  <c r="A9" i="181" s="1"/>
  <c r="A10" i="181" s="1"/>
  <c r="A11" i="181" s="1"/>
  <c r="A12" i="181" s="1"/>
  <c r="A13" i="181" s="1"/>
  <c r="A14" i="181" s="1"/>
  <c r="A15" i="181" s="1"/>
  <c r="A16" i="181" s="1"/>
  <c r="A17" i="181" s="1"/>
  <c r="A18" i="181" s="1"/>
  <c r="A19" i="181" s="1"/>
  <c r="A20" i="181" s="1"/>
  <c r="A21" i="181" s="1"/>
  <c r="A22" i="181" s="1"/>
  <c r="A23" i="181" s="1"/>
  <c r="A24" i="181" s="1"/>
  <c r="A25" i="181" s="1"/>
  <c r="A26" i="181" s="1"/>
  <c r="A27" i="181" s="1"/>
  <c r="A28" i="181" s="1"/>
  <c r="A29" i="181" s="1"/>
  <c r="A30" i="181" s="1"/>
  <c r="A31" i="181" s="1"/>
  <c r="A32" i="181" s="1"/>
  <c r="A33" i="181" s="1"/>
  <c r="A34" i="181" s="1"/>
  <c r="A35" i="181" s="1"/>
  <c r="A36" i="181" s="1"/>
  <c r="A37" i="181" s="1"/>
  <c r="A38" i="181" s="1"/>
  <c r="A39" i="181" s="1"/>
  <c r="A40" i="181" s="1"/>
  <c r="A41" i="181" s="1"/>
  <c r="A42" i="181" s="1"/>
  <c r="A43" i="181" s="1"/>
  <c r="A44" i="181" s="1"/>
  <c r="A45" i="181" s="1"/>
  <c r="A46" i="181" s="1"/>
  <c r="A47" i="181" s="1"/>
  <c r="A48" i="181" s="1"/>
  <c r="A49" i="181" s="1"/>
  <c r="A50" i="181" s="1"/>
  <c r="A51" i="181" s="1"/>
  <c r="A52" i="181" s="1"/>
  <c r="A53" i="181" s="1"/>
  <c r="A54" i="181" s="1"/>
  <c r="A55" i="181" s="1"/>
  <c r="A56" i="181" s="1"/>
  <c r="A57" i="181" s="1"/>
  <c r="A58" i="181" s="1"/>
  <c r="A59" i="181" s="1"/>
  <c r="A60" i="181" s="1"/>
  <c r="A61" i="181" s="1"/>
  <c r="A62" i="181" s="1"/>
  <c r="A63" i="181" s="1"/>
  <c r="A64" i="181" s="1"/>
  <c r="A65" i="181" s="1"/>
  <c r="A66" i="181" s="1"/>
  <c r="A67" i="181" s="1"/>
  <c r="A68" i="181" s="1"/>
  <c r="A69" i="181" s="1"/>
  <c r="A70" i="181" s="1"/>
  <c r="A71" i="181" s="1"/>
  <c r="AL7" i="181"/>
  <c r="S7" i="181"/>
  <c r="N7" i="181"/>
  <c r="K7" i="181"/>
  <c r="F7" i="181"/>
  <c r="AK126" i="180"/>
  <c r="BD115" i="180"/>
  <c r="BC115" i="180"/>
  <c r="AX115" i="180"/>
  <c r="AK115" i="180"/>
  <c r="AJ115" i="180"/>
  <c r="AI115" i="180"/>
  <c r="AH115" i="180"/>
  <c r="AG115" i="180"/>
  <c r="AF115" i="180"/>
  <c r="AE115" i="180"/>
  <c r="AD115" i="180"/>
  <c r="AC115" i="180"/>
  <c r="AB115" i="180"/>
  <c r="AA115" i="180"/>
  <c r="X115" i="180"/>
  <c r="W115" i="180"/>
  <c r="R115" i="180"/>
  <c r="I115" i="180"/>
  <c r="E115" i="180"/>
  <c r="AL114" i="180"/>
  <c r="AN114" i="180" s="1"/>
  <c r="S114" i="180"/>
  <c r="K114" i="180"/>
  <c r="L114" i="180" s="1"/>
  <c r="F114" i="180"/>
  <c r="AL113" i="180"/>
  <c r="AN113" i="180" s="1"/>
  <c r="AP113" i="180" s="1"/>
  <c r="Q113" i="180"/>
  <c r="S113" i="180" s="1"/>
  <c r="K113" i="180"/>
  <c r="L113" i="180" s="1"/>
  <c r="F113" i="180"/>
  <c r="AL112" i="180"/>
  <c r="AN112" i="180" s="1"/>
  <c r="AP112" i="180" s="1"/>
  <c r="S112" i="180"/>
  <c r="K112" i="180"/>
  <c r="L112" i="180" s="1"/>
  <c r="F112" i="180"/>
  <c r="AL111" i="180"/>
  <c r="AN111" i="180" s="1"/>
  <c r="AP111" i="180" s="1"/>
  <c r="S111" i="180"/>
  <c r="K111" i="180"/>
  <c r="L111" i="180" s="1"/>
  <c r="P111" i="180" s="1"/>
  <c r="F111" i="180"/>
  <c r="AL110" i="180"/>
  <c r="AN110" i="180" s="1"/>
  <c r="S110" i="180"/>
  <c r="K110" i="180"/>
  <c r="L110" i="180" s="1"/>
  <c r="P110" i="180" s="1"/>
  <c r="D110" i="180"/>
  <c r="F110" i="180" s="1"/>
  <c r="AL109" i="180"/>
  <c r="AN109" i="180" s="1"/>
  <c r="AP109" i="180" s="1"/>
  <c r="S109" i="180"/>
  <c r="J109" i="180"/>
  <c r="J115" i="180" s="1"/>
  <c r="H109" i="180"/>
  <c r="D109" i="180"/>
  <c r="F109" i="180" s="1"/>
  <c r="AL108" i="180"/>
  <c r="AN108" i="180" s="1"/>
  <c r="S108" i="180"/>
  <c r="N108" i="180"/>
  <c r="K108" i="180"/>
  <c r="L108" i="180" s="1"/>
  <c r="F108" i="180"/>
  <c r="AL107" i="180"/>
  <c r="AN107" i="180" s="1"/>
  <c r="S107" i="180"/>
  <c r="K107" i="180"/>
  <c r="L107" i="180" s="1"/>
  <c r="F107" i="180"/>
  <c r="AL106" i="180"/>
  <c r="AN106" i="180" s="1"/>
  <c r="AP106" i="180" s="1"/>
  <c r="S106" i="180"/>
  <c r="K106" i="180"/>
  <c r="L106" i="180" s="1"/>
  <c r="P106" i="180" s="1"/>
  <c r="D106" i="180"/>
  <c r="AL105" i="180"/>
  <c r="AN105" i="180" s="1"/>
  <c r="AP105" i="180" s="1"/>
  <c r="S105" i="180"/>
  <c r="K105" i="180"/>
  <c r="L105" i="180" s="1"/>
  <c r="P105" i="180" s="1"/>
  <c r="F105" i="180"/>
  <c r="AL104" i="180"/>
  <c r="AN104" i="180" s="1"/>
  <c r="AP104" i="180" s="1"/>
  <c r="S104" i="180"/>
  <c r="K104" i="180"/>
  <c r="L104" i="180" s="1"/>
  <c r="P104" i="180" s="1"/>
  <c r="F104" i="180"/>
  <c r="AL103" i="180"/>
  <c r="AN103" i="180" s="1"/>
  <c r="S103" i="180"/>
  <c r="K103" i="180"/>
  <c r="L103" i="180" s="1"/>
  <c r="P103" i="180" s="1"/>
  <c r="M103" i="180" s="1"/>
  <c r="O103" i="180" s="1"/>
  <c r="F103" i="180"/>
  <c r="D103" i="180"/>
  <c r="D115" i="180" s="1"/>
  <c r="AL102" i="180"/>
  <c r="AN102" i="180" s="1"/>
  <c r="AP102" i="180" s="1"/>
  <c r="S102" i="180"/>
  <c r="K102" i="180"/>
  <c r="L102" i="180" s="1"/>
  <c r="H102" i="180"/>
  <c r="H115" i="180" s="1"/>
  <c r="F102" i="180"/>
  <c r="AL101" i="180"/>
  <c r="AN101" i="180" s="1"/>
  <c r="AP101" i="180" s="1"/>
  <c r="S101" i="180"/>
  <c r="K101" i="180"/>
  <c r="L101" i="180" s="1"/>
  <c r="F101" i="180"/>
  <c r="AL100" i="180"/>
  <c r="S100" i="180"/>
  <c r="K100" i="180"/>
  <c r="L100" i="180" s="1"/>
  <c r="F100" i="180"/>
  <c r="AL99" i="180"/>
  <c r="S99" i="180"/>
  <c r="K99" i="180"/>
  <c r="L99" i="180" s="1"/>
  <c r="P99" i="180" s="1"/>
  <c r="G99" i="180"/>
  <c r="F99" i="180"/>
  <c r="AL98" i="180"/>
  <c r="S98" i="180"/>
  <c r="K98" i="180"/>
  <c r="L98" i="180" s="1"/>
  <c r="P98" i="180" s="1"/>
  <c r="F98" i="180"/>
  <c r="AL97" i="180"/>
  <c r="S97" i="180"/>
  <c r="N97" i="180"/>
  <c r="K97" i="180"/>
  <c r="L97" i="180" s="1"/>
  <c r="F97" i="180"/>
  <c r="AL96" i="180"/>
  <c r="AN96" i="180" s="1"/>
  <c r="Z115" i="180"/>
  <c r="Q96" i="180"/>
  <c r="Q115" i="180" s="1"/>
  <c r="N96" i="180"/>
  <c r="N115" i="180" s="1"/>
  <c r="K96" i="180"/>
  <c r="L96" i="180" s="1"/>
  <c r="G96" i="180"/>
  <c r="G115" i="180" s="1"/>
  <c r="F96" i="180"/>
  <c r="AK93" i="180"/>
  <c r="AJ93" i="180"/>
  <c r="AI93" i="180"/>
  <c r="AI117" i="180" s="1"/>
  <c r="AF8" i="191" s="1"/>
  <c r="AH93" i="180"/>
  <c r="AG93" i="180"/>
  <c r="AF93" i="180"/>
  <c r="AE93" i="180"/>
  <c r="AD93" i="180"/>
  <c r="AC93" i="180"/>
  <c r="AB93" i="180"/>
  <c r="AA93" i="180"/>
  <c r="AA117" i="180" s="1"/>
  <c r="Y93" i="180"/>
  <c r="X93" i="180"/>
  <c r="J93" i="180"/>
  <c r="I93" i="180"/>
  <c r="H93" i="180"/>
  <c r="E93" i="180"/>
  <c r="AL92" i="180"/>
  <c r="AN92" i="180" s="1"/>
  <c r="AP92" i="180" s="1"/>
  <c r="N92" i="180"/>
  <c r="U92" i="180" s="1"/>
  <c r="D92" i="180"/>
  <c r="AL91" i="180"/>
  <c r="AN91" i="180" s="1"/>
  <c r="AP91" i="180" s="1"/>
  <c r="U91" i="180"/>
  <c r="O91" i="180"/>
  <c r="F91" i="180"/>
  <c r="AL90" i="180"/>
  <c r="AN90" i="180" s="1"/>
  <c r="AP90" i="180" s="1"/>
  <c r="U90" i="180"/>
  <c r="O90" i="180"/>
  <c r="F90" i="180"/>
  <c r="AL89" i="180"/>
  <c r="AN89" i="180" s="1"/>
  <c r="AP89" i="180" s="1"/>
  <c r="S89" i="180"/>
  <c r="N89" i="180"/>
  <c r="K89" i="180"/>
  <c r="L89" i="180" s="1"/>
  <c r="F89" i="180"/>
  <c r="AL88" i="180"/>
  <c r="AN88" i="180" s="1"/>
  <c r="AP88" i="180" s="1"/>
  <c r="S88" i="180"/>
  <c r="K88" i="180"/>
  <c r="L88" i="180" s="1"/>
  <c r="P88" i="180" s="1"/>
  <c r="F88" i="180"/>
  <c r="AL87" i="180"/>
  <c r="AN87" i="180" s="1"/>
  <c r="AP87" i="180" s="1"/>
  <c r="S87" i="180"/>
  <c r="K87" i="180"/>
  <c r="L87" i="180" s="1"/>
  <c r="P87" i="180" s="1"/>
  <c r="F87" i="180"/>
  <c r="AL86" i="180"/>
  <c r="AN86" i="180" s="1"/>
  <c r="AP86" i="180" s="1"/>
  <c r="S86" i="180"/>
  <c r="K86" i="180"/>
  <c r="L86" i="180" s="1"/>
  <c r="F86" i="180"/>
  <c r="AL85" i="180"/>
  <c r="AN85" i="180" s="1"/>
  <c r="AP85" i="180" s="1"/>
  <c r="S85" i="180"/>
  <c r="K85" i="180"/>
  <c r="L85" i="180" s="1"/>
  <c r="F85" i="180"/>
  <c r="AL84" i="180"/>
  <c r="AN84" i="180" s="1"/>
  <c r="AP84" i="180" s="1"/>
  <c r="S84" i="180"/>
  <c r="K84" i="180"/>
  <c r="L84" i="180" s="1"/>
  <c r="P84" i="180" s="1"/>
  <c r="F84" i="180"/>
  <c r="AL83" i="180"/>
  <c r="AN83" i="180" s="1"/>
  <c r="S83" i="180"/>
  <c r="N83" i="180"/>
  <c r="K83" i="180"/>
  <c r="L83" i="180" s="1"/>
  <c r="P83" i="180" s="1"/>
  <c r="D83" i="180"/>
  <c r="F83" i="180" s="1"/>
  <c r="AL82" i="180"/>
  <c r="AN82" i="180" s="1"/>
  <c r="AP82" i="180" s="1"/>
  <c r="S82" i="180"/>
  <c r="K82" i="180"/>
  <c r="L82" i="180" s="1"/>
  <c r="P82" i="180" s="1"/>
  <c r="F82" i="180"/>
  <c r="AL81" i="180"/>
  <c r="AN81" i="180" s="1"/>
  <c r="AP81" i="180" s="1"/>
  <c r="S81" i="180"/>
  <c r="N81" i="180"/>
  <c r="K81" i="180"/>
  <c r="L81" i="180" s="1"/>
  <c r="F81" i="180"/>
  <c r="AL80" i="180"/>
  <c r="AN80" i="180" s="1"/>
  <c r="AP80" i="180" s="1"/>
  <c r="S80" i="180"/>
  <c r="K80" i="180"/>
  <c r="L80" i="180" s="1"/>
  <c r="F80" i="180"/>
  <c r="AL79" i="180"/>
  <c r="AN79" i="180" s="1"/>
  <c r="S79" i="180"/>
  <c r="N79" i="180"/>
  <c r="K79" i="180"/>
  <c r="L79" i="180" s="1"/>
  <c r="F79" i="180"/>
  <c r="AL78" i="180"/>
  <c r="AN78" i="180" s="1"/>
  <c r="AP78" i="180" s="1"/>
  <c r="S78" i="180"/>
  <c r="K78" i="180"/>
  <c r="L78" i="180" s="1"/>
  <c r="P78" i="180" s="1"/>
  <c r="F78" i="180"/>
  <c r="AL77" i="180"/>
  <c r="AN77" i="180" s="1"/>
  <c r="AP77" i="180" s="1"/>
  <c r="S77" i="180"/>
  <c r="K77" i="180"/>
  <c r="L77" i="180" s="1"/>
  <c r="P77" i="180" s="1"/>
  <c r="F77" i="180"/>
  <c r="AL76" i="180"/>
  <c r="AN76" i="180" s="1"/>
  <c r="AP76" i="180" s="1"/>
  <c r="S76" i="180"/>
  <c r="K76" i="180"/>
  <c r="L76" i="180" s="1"/>
  <c r="F76" i="180"/>
  <c r="AL75" i="180"/>
  <c r="AN75" i="180" s="1"/>
  <c r="S75" i="180"/>
  <c r="N75" i="180"/>
  <c r="K75" i="180"/>
  <c r="L75" i="180" s="1"/>
  <c r="F75" i="180"/>
  <c r="AL74" i="180"/>
  <c r="AN74" i="180" s="1"/>
  <c r="AP74" i="180" s="1"/>
  <c r="S74" i="180"/>
  <c r="K74" i="180"/>
  <c r="L74" i="180" s="1"/>
  <c r="F74" i="180"/>
  <c r="AL73" i="180"/>
  <c r="AN73" i="180" s="1"/>
  <c r="AP73" i="180" s="1"/>
  <c r="Q73" i="180"/>
  <c r="S73" i="180" s="1"/>
  <c r="L73" i="180"/>
  <c r="P73" i="180" s="1"/>
  <c r="K73" i="180"/>
  <c r="F73" i="180"/>
  <c r="AL72" i="180"/>
  <c r="AN72" i="180" s="1"/>
  <c r="AP72" i="180" s="1"/>
  <c r="S72" i="180"/>
  <c r="N72" i="180"/>
  <c r="K72" i="180"/>
  <c r="L72" i="180" s="1"/>
  <c r="P72" i="180" s="1"/>
  <c r="F72" i="180"/>
  <c r="AL71" i="180"/>
  <c r="AN71" i="180" s="1"/>
  <c r="S71" i="180"/>
  <c r="K71" i="180"/>
  <c r="L71" i="180" s="1"/>
  <c r="F71" i="180"/>
  <c r="AL70" i="180"/>
  <c r="AN70" i="180" s="1"/>
  <c r="AP70" i="180" s="1"/>
  <c r="Q70" i="180"/>
  <c r="S70" i="180" s="1"/>
  <c r="N70" i="180"/>
  <c r="K70" i="180"/>
  <c r="L70" i="180" s="1"/>
  <c r="G70" i="180"/>
  <c r="F70" i="180"/>
  <c r="AL69" i="180"/>
  <c r="AN69" i="180" s="1"/>
  <c r="AP69" i="180" s="1"/>
  <c r="S69" i="180"/>
  <c r="L69" i="180"/>
  <c r="K69" i="180"/>
  <c r="F69" i="180"/>
  <c r="AL68" i="180"/>
  <c r="AN68" i="180" s="1"/>
  <c r="AP68" i="180" s="1"/>
  <c r="S68" i="180"/>
  <c r="K68" i="180"/>
  <c r="L68" i="180" s="1"/>
  <c r="F68" i="180"/>
  <c r="AL67" i="180"/>
  <c r="AN67" i="180" s="1"/>
  <c r="S67" i="180"/>
  <c r="K67" i="180"/>
  <c r="L67" i="180" s="1"/>
  <c r="P67" i="180" s="1"/>
  <c r="F67" i="180"/>
  <c r="AL66" i="180"/>
  <c r="AN66" i="180" s="1"/>
  <c r="AP66" i="180" s="1"/>
  <c r="S66" i="180"/>
  <c r="L66" i="180"/>
  <c r="P66" i="180" s="1"/>
  <c r="K66" i="180"/>
  <c r="F66" i="180"/>
  <c r="AL65" i="180"/>
  <c r="AN65" i="180" s="1"/>
  <c r="AP65" i="180" s="1"/>
  <c r="S65" i="180"/>
  <c r="K65" i="180"/>
  <c r="L65" i="180" s="1"/>
  <c r="P65" i="180" s="1"/>
  <c r="D65" i="180"/>
  <c r="F65" i="180" s="1"/>
  <c r="AL64" i="180"/>
  <c r="AN64" i="180" s="1"/>
  <c r="AP64" i="180" s="1"/>
  <c r="S64" i="180"/>
  <c r="K64" i="180"/>
  <c r="L64" i="180" s="1"/>
  <c r="F64" i="180"/>
  <c r="AL63" i="180"/>
  <c r="AN63" i="180" s="1"/>
  <c r="S63" i="180"/>
  <c r="L63" i="180"/>
  <c r="P63" i="180" s="1"/>
  <c r="M63" i="180" s="1"/>
  <c r="T63" i="180" s="1"/>
  <c r="U63" i="180" s="1"/>
  <c r="K63" i="180"/>
  <c r="F63" i="180"/>
  <c r="AL62" i="180"/>
  <c r="AN62" i="180" s="1"/>
  <c r="AP62" i="180" s="1"/>
  <c r="Q62" i="180"/>
  <c r="S62" i="180" s="1"/>
  <c r="L62" i="180"/>
  <c r="K62" i="180"/>
  <c r="G62" i="180"/>
  <c r="F62" i="180"/>
  <c r="AL61" i="180"/>
  <c r="AN61" i="180" s="1"/>
  <c r="AP61" i="180" s="1"/>
  <c r="S61" i="180"/>
  <c r="P61" i="180"/>
  <c r="K61" i="180"/>
  <c r="L61" i="180" s="1"/>
  <c r="F61" i="180"/>
  <c r="AL60" i="180"/>
  <c r="AN60" i="180" s="1"/>
  <c r="AP60" i="180" s="1"/>
  <c r="S60" i="180"/>
  <c r="K60" i="180"/>
  <c r="L60" i="180" s="1"/>
  <c r="F60" i="180"/>
  <c r="AL59" i="180"/>
  <c r="AN59" i="180" s="1"/>
  <c r="S59" i="180"/>
  <c r="K59" i="180"/>
  <c r="L59" i="180" s="1"/>
  <c r="F59" i="180"/>
  <c r="AL58" i="180"/>
  <c r="AN58" i="180" s="1"/>
  <c r="AP58" i="180" s="1"/>
  <c r="S58" i="180"/>
  <c r="L58" i="180"/>
  <c r="P58" i="180" s="1"/>
  <c r="K58" i="180"/>
  <c r="F58" i="180"/>
  <c r="AL57" i="180"/>
  <c r="AN57" i="180" s="1"/>
  <c r="AP57" i="180" s="1"/>
  <c r="S57" i="180"/>
  <c r="L57" i="180"/>
  <c r="P57" i="180" s="1"/>
  <c r="K57" i="180"/>
  <c r="F57" i="180"/>
  <c r="AL56" i="180"/>
  <c r="AN56" i="180" s="1"/>
  <c r="AP56" i="180" s="1"/>
  <c r="S56" i="180"/>
  <c r="N56" i="180"/>
  <c r="K56" i="180"/>
  <c r="L56" i="180" s="1"/>
  <c r="P56" i="180" s="1"/>
  <c r="D56" i="180"/>
  <c r="F56" i="180" s="1"/>
  <c r="AL55" i="180"/>
  <c r="AN55" i="180" s="1"/>
  <c r="Z55" i="180"/>
  <c r="S55" i="180"/>
  <c r="K55" i="180"/>
  <c r="L55" i="180" s="1"/>
  <c r="P55" i="180" s="1"/>
  <c r="F55" i="180"/>
  <c r="AL54" i="180"/>
  <c r="AN54" i="180" s="1"/>
  <c r="AP54" i="180" s="1"/>
  <c r="S54" i="180"/>
  <c r="K54" i="180"/>
  <c r="L54" i="180" s="1"/>
  <c r="F54" i="180"/>
  <c r="AL53" i="180"/>
  <c r="AN53" i="180" s="1"/>
  <c r="AP53" i="180" s="1"/>
  <c r="S53" i="180"/>
  <c r="K53" i="180"/>
  <c r="L53" i="180" s="1"/>
  <c r="F53" i="180"/>
  <c r="AL52" i="180"/>
  <c r="AN52" i="180" s="1"/>
  <c r="AP52" i="180" s="1"/>
  <c r="S52" i="180"/>
  <c r="K52" i="180"/>
  <c r="L52" i="180" s="1"/>
  <c r="P52" i="180" s="1"/>
  <c r="M52" i="180" s="1"/>
  <c r="F52" i="180"/>
  <c r="AL51" i="180"/>
  <c r="AN51" i="180" s="1"/>
  <c r="S51" i="180"/>
  <c r="K51" i="180"/>
  <c r="L51" i="180" s="1"/>
  <c r="F51" i="180"/>
  <c r="AL50" i="180"/>
  <c r="AN50" i="180" s="1"/>
  <c r="AP50" i="180" s="1"/>
  <c r="S50" i="180"/>
  <c r="K50" i="180"/>
  <c r="L50" i="180" s="1"/>
  <c r="F50" i="180"/>
  <c r="AL49" i="180"/>
  <c r="AN49" i="180" s="1"/>
  <c r="AP49" i="180" s="1"/>
  <c r="S49" i="180"/>
  <c r="K49" i="180"/>
  <c r="L49" i="180" s="1"/>
  <c r="F49" i="180"/>
  <c r="AL48" i="180"/>
  <c r="AN48" i="180" s="1"/>
  <c r="AP48" i="180" s="1"/>
  <c r="S48" i="180"/>
  <c r="K48" i="180"/>
  <c r="L48" i="180" s="1"/>
  <c r="P48" i="180" s="1"/>
  <c r="D48" i="180"/>
  <c r="F48" i="180" s="1"/>
  <c r="AL47" i="180"/>
  <c r="AN47" i="180" s="1"/>
  <c r="S47" i="180"/>
  <c r="L47" i="180"/>
  <c r="P47" i="180" s="1"/>
  <c r="K47" i="180"/>
  <c r="F47" i="180"/>
  <c r="AL46" i="180"/>
  <c r="AN46" i="180" s="1"/>
  <c r="AP46" i="180" s="1"/>
  <c r="S46" i="180"/>
  <c r="K46" i="180"/>
  <c r="L46" i="180" s="1"/>
  <c r="P46" i="180" s="1"/>
  <c r="F46" i="180"/>
  <c r="AL45" i="180"/>
  <c r="AN45" i="180" s="1"/>
  <c r="AP45" i="180" s="1"/>
  <c r="S45" i="180"/>
  <c r="K45" i="180"/>
  <c r="L45" i="180" s="1"/>
  <c r="P45" i="180" s="1"/>
  <c r="F45" i="180"/>
  <c r="AL44" i="180"/>
  <c r="AN44" i="180" s="1"/>
  <c r="AP44" i="180" s="1"/>
  <c r="S44" i="180"/>
  <c r="K44" i="180"/>
  <c r="L44" i="180" s="1"/>
  <c r="F44" i="180"/>
  <c r="AL43" i="180"/>
  <c r="AN43" i="180" s="1"/>
  <c r="S43" i="180"/>
  <c r="N43" i="180"/>
  <c r="K43" i="180"/>
  <c r="L43" i="180" s="1"/>
  <c r="F43" i="180"/>
  <c r="AL42" i="180"/>
  <c r="AN42" i="180" s="1"/>
  <c r="AP42" i="180" s="1"/>
  <c r="S42" i="180"/>
  <c r="N42" i="180"/>
  <c r="K42" i="180"/>
  <c r="L42" i="180" s="1"/>
  <c r="G42" i="180"/>
  <c r="D42" i="180"/>
  <c r="F42" i="180" s="1"/>
  <c r="AL41" i="180"/>
  <c r="AN41" i="180" s="1"/>
  <c r="AP41" i="180" s="1"/>
  <c r="S41" i="180"/>
  <c r="N41" i="180"/>
  <c r="K41" i="180"/>
  <c r="L41" i="180" s="1"/>
  <c r="D41" i="180"/>
  <c r="F41" i="180" s="1"/>
  <c r="AL40" i="180"/>
  <c r="AN40" i="180" s="1"/>
  <c r="AP40" i="180" s="1"/>
  <c r="S40" i="180"/>
  <c r="N40" i="180"/>
  <c r="K40" i="180"/>
  <c r="L40" i="180" s="1"/>
  <c r="F40" i="180"/>
  <c r="AL39" i="180"/>
  <c r="AN39" i="180" s="1"/>
  <c r="S39" i="180"/>
  <c r="K39" i="180"/>
  <c r="L39" i="180" s="1"/>
  <c r="F39" i="180"/>
  <c r="AL38" i="180"/>
  <c r="AN38" i="180" s="1"/>
  <c r="AP38" i="180" s="1"/>
  <c r="S38" i="180"/>
  <c r="K38" i="180"/>
  <c r="L38" i="180" s="1"/>
  <c r="F38" i="180"/>
  <c r="AL37" i="180"/>
  <c r="AN37" i="180" s="1"/>
  <c r="AP37" i="180" s="1"/>
  <c r="S37" i="180"/>
  <c r="K37" i="180"/>
  <c r="L37" i="180" s="1"/>
  <c r="P37" i="180" s="1"/>
  <c r="D37" i="180"/>
  <c r="AL36" i="180"/>
  <c r="AN36" i="180" s="1"/>
  <c r="AP36" i="180" s="1"/>
  <c r="S36" i="180"/>
  <c r="K36" i="180"/>
  <c r="L36" i="180" s="1"/>
  <c r="F36" i="180"/>
  <c r="AL35" i="180"/>
  <c r="AN35" i="180" s="1"/>
  <c r="S35" i="180"/>
  <c r="K35" i="180"/>
  <c r="L35" i="180" s="1"/>
  <c r="P35" i="180" s="1"/>
  <c r="F35" i="180"/>
  <c r="AL34" i="180"/>
  <c r="AN34" i="180" s="1"/>
  <c r="AP34" i="180" s="1"/>
  <c r="S34" i="180"/>
  <c r="K34" i="180"/>
  <c r="L34" i="180" s="1"/>
  <c r="P34" i="180" s="1"/>
  <c r="F34" i="180"/>
  <c r="AL33" i="180"/>
  <c r="AN33" i="180" s="1"/>
  <c r="AP33" i="180" s="1"/>
  <c r="S33" i="180"/>
  <c r="K33" i="180"/>
  <c r="L33" i="180" s="1"/>
  <c r="P33" i="180" s="1"/>
  <c r="F33" i="180"/>
  <c r="AL32" i="180"/>
  <c r="AN32" i="180" s="1"/>
  <c r="AP32" i="180" s="1"/>
  <c r="S32" i="180"/>
  <c r="K32" i="180"/>
  <c r="L32" i="180" s="1"/>
  <c r="D32" i="180"/>
  <c r="F32" i="180" s="1"/>
  <c r="AL31" i="180"/>
  <c r="AN31" i="180" s="1"/>
  <c r="Z31" i="180"/>
  <c r="Z93" i="180" s="1"/>
  <c r="S31" i="180"/>
  <c r="K31" i="180"/>
  <c r="L31" i="180" s="1"/>
  <c r="F31" i="180"/>
  <c r="AL30" i="180"/>
  <c r="AN30" i="180" s="1"/>
  <c r="AP30" i="180" s="1"/>
  <c r="S30" i="180"/>
  <c r="K30" i="180"/>
  <c r="L30" i="180" s="1"/>
  <c r="P30" i="180" s="1"/>
  <c r="D30" i="180"/>
  <c r="F30" i="180" s="1"/>
  <c r="AL29" i="180"/>
  <c r="AN29" i="180" s="1"/>
  <c r="AP29" i="180" s="1"/>
  <c r="S29" i="180"/>
  <c r="K29" i="180"/>
  <c r="L29" i="180" s="1"/>
  <c r="F29" i="180"/>
  <c r="AL28" i="180"/>
  <c r="AN28" i="180" s="1"/>
  <c r="AP28" i="180" s="1"/>
  <c r="S28" i="180"/>
  <c r="K28" i="180"/>
  <c r="L28" i="180" s="1"/>
  <c r="P28" i="180" s="1"/>
  <c r="D28" i="180"/>
  <c r="AL27" i="180"/>
  <c r="AN27" i="180" s="1"/>
  <c r="S27" i="180"/>
  <c r="L27" i="180"/>
  <c r="P27" i="180" s="1"/>
  <c r="K27" i="180"/>
  <c r="F27" i="180"/>
  <c r="AL26" i="180"/>
  <c r="AN26" i="180" s="1"/>
  <c r="AP26" i="180" s="1"/>
  <c r="S26" i="180"/>
  <c r="K26" i="180"/>
  <c r="L26" i="180" s="1"/>
  <c r="F26" i="180"/>
  <c r="AL25" i="180"/>
  <c r="AN25" i="180" s="1"/>
  <c r="AP25" i="180" s="1"/>
  <c r="S25" i="180"/>
  <c r="K25" i="180"/>
  <c r="L25" i="180" s="1"/>
  <c r="P25" i="180" s="1"/>
  <c r="F25" i="180"/>
  <c r="AL24" i="180"/>
  <c r="AN24" i="180" s="1"/>
  <c r="AP24" i="180" s="1"/>
  <c r="R24" i="180"/>
  <c r="R93" i="180" s="1"/>
  <c r="N24" i="180"/>
  <c r="K24" i="180"/>
  <c r="L24" i="180" s="1"/>
  <c r="G24" i="180"/>
  <c r="F24" i="180"/>
  <c r="AL23" i="180"/>
  <c r="AN23" i="180" s="1"/>
  <c r="S23" i="180"/>
  <c r="K23" i="180"/>
  <c r="L23" i="180" s="1"/>
  <c r="F23" i="180"/>
  <c r="AL22" i="180"/>
  <c r="AN22" i="180" s="1"/>
  <c r="AP22" i="180" s="1"/>
  <c r="S22" i="180"/>
  <c r="K22" i="180"/>
  <c r="L22" i="180" s="1"/>
  <c r="F22" i="180"/>
  <c r="AL21" i="180"/>
  <c r="AN21" i="180" s="1"/>
  <c r="AP21" i="180" s="1"/>
  <c r="S21" i="180"/>
  <c r="K21" i="180"/>
  <c r="L21" i="180" s="1"/>
  <c r="P21" i="180" s="1"/>
  <c r="M21" i="180" s="1"/>
  <c r="T21" i="180" s="1"/>
  <c r="U21" i="180" s="1"/>
  <c r="F21" i="180"/>
  <c r="AL20" i="180"/>
  <c r="AN20" i="180" s="1"/>
  <c r="AP20" i="180" s="1"/>
  <c r="S20" i="180"/>
  <c r="K20" i="180"/>
  <c r="L20" i="180" s="1"/>
  <c r="F20" i="180"/>
  <c r="AL19" i="180"/>
  <c r="AN19" i="180" s="1"/>
  <c r="S19" i="180"/>
  <c r="K19" i="180"/>
  <c r="L19" i="180" s="1"/>
  <c r="F19" i="180"/>
  <c r="AL18" i="180"/>
  <c r="AN18" i="180" s="1"/>
  <c r="AP18" i="180" s="1"/>
  <c r="S18" i="180"/>
  <c r="K18" i="180"/>
  <c r="L18" i="180" s="1"/>
  <c r="F18" i="180"/>
  <c r="AL17" i="180"/>
  <c r="AN17" i="180" s="1"/>
  <c r="AP17" i="180" s="1"/>
  <c r="S17" i="180"/>
  <c r="K17" i="180"/>
  <c r="L17" i="180" s="1"/>
  <c r="F17" i="180"/>
  <c r="AL16" i="180"/>
  <c r="AN16" i="180" s="1"/>
  <c r="AP16" i="180" s="1"/>
  <c r="S16" i="180"/>
  <c r="N16" i="180"/>
  <c r="K16" i="180"/>
  <c r="L16" i="180" s="1"/>
  <c r="D16" i="180"/>
  <c r="F16" i="180" s="1"/>
  <c r="AL15" i="180"/>
  <c r="AN15" i="180" s="1"/>
  <c r="S15" i="180"/>
  <c r="K15" i="180"/>
  <c r="L15" i="180" s="1"/>
  <c r="P15" i="180" s="1"/>
  <c r="D15" i="180"/>
  <c r="F15" i="180" s="1"/>
  <c r="AL14" i="180"/>
  <c r="AN14" i="180" s="1"/>
  <c r="AP14" i="180" s="1"/>
  <c r="S14" i="180"/>
  <c r="Q14" i="180"/>
  <c r="N14" i="180"/>
  <c r="K14" i="180"/>
  <c r="L14" i="180" s="1"/>
  <c r="G14" i="180"/>
  <c r="D14" i="180"/>
  <c r="F14" i="180" s="1"/>
  <c r="AL13" i="180"/>
  <c r="AN13" i="180" s="1"/>
  <c r="AP13" i="180" s="1"/>
  <c r="S13" i="180"/>
  <c r="K13" i="180"/>
  <c r="L13" i="180" s="1"/>
  <c r="F13" i="180"/>
  <c r="AL12" i="180"/>
  <c r="AN12" i="180" s="1"/>
  <c r="AP12" i="180" s="1"/>
  <c r="S12" i="180"/>
  <c r="N12" i="180"/>
  <c r="K12" i="180"/>
  <c r="L12" i="180" s="1"/>
  <c r="P12" i="180" s="1"/>
  <c r="F12" i="180"/>
  <c r="AL11" i="180"/>
  <c r="AN11" i="180" s="1"/>
  <c r="S11" i="180"/>
  <c r="K11" i="180"/>
  <c r="L11" i="180" s="1"/>
  <c r="F11" i="180"/>
  <c r="AL10" i="180"/>
  <c r="AN10" i="180" s="1"/>
  <c r="AP10" i="180" s="1"/>
  <c r="S10" i="180"/>
  <c r="K10" i="180"/>
  <c r="L10" i="180" s="1"/>
  <c r="F10" i="180"/>
  <c r="AL9" i="180"/>
  <c r="AN9" i="180" s="1"/>
  <c r="AP9" i="180" s="1"/>
  <c r="S9" i="180"/>
  <c r="K9" i="180"/>
  <c r="L9" i="180" s="1"/>
  <c r="P9" i="180" s="1"/>
  <c r="M9" i="180" s="1"/>
  <c r="T9" i="180" s="1"/>
  <c r="U9" i="180" s="1"/>
  <c r="F9" i="180"/>
  <c r="AL8" i="180"/>
  <c r="AN8" i="180" s="1"/>
  <c r="AP8" i="180" s="1"/>
  <c r="S8" i="180"/>
  <c r="K8" i="180"/>
  <c r="L8" i="180" s="1"/>
  <c r="P8" i="180" s="1"/>
  <c r="F8" i="180"/>
  <c r="AL7" i="180"/>
  <c r="AN7" i="180" s="1"/>
  <c r="Q7" i="180"/>
  <c r="S7" i="180" s="1"/>
  <c r="N7" i="180"/>
  <c r="K7" i="180"/>
  <c r="L7" i="180" s="1"/>
  <c r="G7" i="180"/>
  <c r="D7" i="180"/>
  <c r="A7" i="180"/>
  <c r="A8" i="180" s="1"/>
  <c r="A9" i="180" s="1"/>
  <c r="A10" i="180" s="1"/>
  <c r="A11" i="180" s="1"/>
  <c r="A12" i="180" s="1"/>
  <c r="A13" i="180" s="1"/>
  <c r="A14" i="180" s="1"/>
  <c r="A15" i="180" s="1"/>
  <c r="A16" i="180" s="1"/>
  <c r="A17" i="180" s="1"/>
  <c r="A18" i="180" s="1"/>
  <c r="A19" i="180" s="1"/>
  <c r="A20" i="180" s="1"/>
  <c r="A21" i="180" s="1"/>
  <c r="A22" i="180" s="1"/>
  <c r="A23" i="180" s="1"/>
  <c r="A24" i="180" s="1"/>
  <c r="A25" i="180" s="1"/>
  <c r="A26" i="180" s="1"/>
  <c r="A27" i="180" s="1"/>
  <c r="A28" i="180" s="1"/>
  <c r="A29" i="180" s="1"/>
  <c r="A30" i="180" s="1"/>
  <c r="A31" i="180" s="1"/>
  <c r="A32" i="180" s="1"/>
  <c r="A33" i="180" s="1"/>
  <c r="A34" i="180" s="1"/>
  <c r="A35" i="180" s="1"/>
  <c r="A36" i="180" s="1"/>
  <c r="A37" i="180" s="1"/>
  <c r="A38" i="180" s="1"/>
  <c r="A39" i="180" s="1"/>
  <c r="A40" i="180" s="1"/>
  <c r="A41" i="180" s="1"/>
  <c r="A42" i="180" s="1"/>
  <c r="A43" i="180" s="1"/>
  <c r="A44" i="180" s="1"/>
  <c r="A45" i="180" s="1"/>
  <c r="A46" i="180" s="1"/>
  <c r="A47" i="180" s="1"/>
  <c r="A48" i="180" s="1"/>
  <c r="A49" i="180" s="1"/>
  <c r="A50" i="180" s="1"/>
  <c r="A51" i="180" s="1"/>
  <c r="A52" i="180" s="1"/>
  <c r="A53" i="180" s="1"/>
  <c r="A54" i="180" s="1"/>
  <c r="A55" i="180" s="1"/>
  <c r="A56" i="180" s="1"/>
  <c r="A57" i="180" s="1"/>
  <c r="A58" i="180" s="1"/>
  <c r="A59" i="180" s="1"/>
  <c r="A60" i="180" s="1"/>
  <c r="A61" i="180" s="1"/>
  <c r="A62" i="180" s="1"/>
  <c r="A63" i="180" s="1"/>
  <c r="A64" i="180" s="1"/>
  <c r="A65" i="180" s="1"/>
  <c r="A66" i="180" s="1"/>
  <c r="A67" i="180" s="1"/>
  <c r="A68" i="180" s="1"/>
  <c r="A69" i="180" s="1"/>
  <c r="A70" i="180" s="1"/>
  <c r="A71" i="180" s="1"/>
  <c r="A72" i="180" s="1"/>
  <c r="A73" i="180" s="1"/>
  <c r="A74" i="180" s="1"/>
  <c r="A75" i="180" s="1"/>
  <c r="A76" i="180" s="1"/>
  <c r="A77" i="180" s="1"/>
  <c r="A78" i="180" s="1"/>
  <c r="A79" i="180" s="1"/>
  <c r="A80" i="180" s="1"/>
  <c r="A81" i="180" s="1"/>
  <c r="A82" i="180" s="1"/>
  <c r="A83" i="180" s="1"/>
  <c r="A84" i="180" s="1"/>
  <c r="A85" i="180" s="1"/>
  <c r="A86" i="180" s="1"/>
  <c r="A87" i="180" s="1"/>
  <c r="A88" i="180" s="1"/>
  <c r="A89" i="180" s="1"/>
  <c r="A90" i="180" s="1"/>
  <c r="A91" i="180" s="1"/>
  <c r="A92" i="180" s="1"/>
  <c r="A96" i="180" s="1"/>
  <c r="A97" i="180" s="1"/>
  <c r="A98" i="180" s="1"/>
  <c r="A99" i="180" s="1"/>
  <c r="A100" i="180" s="1"/>
  <c r="A101" i="180" s="1"/>
  <c r="A102" i="180" s="1"/>
  <c r="A103" i="180" s="1"/>
  <c r="A104" i="180" s="1"/>
  <c r="A105" i="180" s="1"/>
  <c r="A106" i="180" s="1"/>
  <c r="A107" i="180" s="1"/>
  <c r="A108" i="180" s="1"/>
  <c r="A109" i="180" s="1"/>
  <c r="A110" i="180" s="1"/>
  <c r="A111" i="180" s="1"/>
  <c r="A112" i="180" s="1"/>
  <c r="A113" i="180" s="1"/>
  <c r="A114" i="180" s="1"/>
  <c r="A117" i="180" s="1"/>
  <c r="AG7" i="191"/>
  <c r="AE7" i="191"/>
  <c r="AC7" i="191"/>
  <c r="AB7" i="191"/>
  <c r="AA7" i="191"/>
  <c r="Z7" i="191"/>
  <c r="W7" i="191"/>
  <c r="V7" i="191"/>
  <c r="U7" i="191"/>
  <c r="R105" i="179"/>
  <c r="P7" i="191" s="1"/>
  <c r="I105" i="179"/>
  <c r="G7" i="191" s="1"/>
  <c r="H105" i="179"/>
  <c r="F7" i="191" s="1"/>
  <c r="E105" i="179"/>
  <c r="C7" i="191" s="1"/>
  <c r="T104" i="179"/>
  <c r="U104" i="179" s="1"/>
  <c r="AO104" i="179" s="1"/>
  <c r="AZ104" i="179" s="1"/>
  <c r="S104" i="179"/>
  <c r="P104" i="179"/>
  <c r="O104" i="179"/>
  <c r="F104" i="179"/>
  <c r="S103" i="179"/>
  <c r="T103" i="179" s="1"/>
  <c r="U103" i="179" s="1"/>
  <c r="AO103" i="179" s="1"/>
  <c r="AZ103" i="179" s="1"/>
  <c r="P103" i="179"/>
  <c r="O103" i="179"/>
  <c r="F103" i="179"/>
  <c r="S102" i="179"/>
  <c r="P102" i="179"/>
  <c r="O102" i="179"/>
  <c r="F102" i="179"/>
  <c r="S101" i="179"/>
  <c r="P101" i="179"/>
  <c r="O101" i="179"/>
  <c r="F101" i="179"/>
  <c r="U100" i="179"/>
  <c r="AO100" i="179" s="1"/>
  <c r="AZ100" i="179" s="1"/>
  <c r="S100" i="179"/>
  <c r="T100" i="179" s="1"/>
  <c r="P100" i="179"/>
  <c r="O100" i="179"/>
  <c r="F100" i="179"/>
  <c r="S99" i="179"/>
  <c r="P99" i="179"/>
  <c r="T99" i="179" s="1"/>
  <c r="U99" i="179" s="1"/>
  <c r="O99" i="179"/>
  <c r="F99" i="179"/>
  <c r="S98" i="179"/>
  <c r="P98" i="179"/>
  <c r="O98" i="179"/>
  <c r="F98" i="179"/>
  <c r="S97" i="179"/>
  <c r="T97" i="179" s="1"/>
  <c r="U97" i="179" s="1"/>
  <c r="AO97" i="179" s="1"/>
  <c r="AZ97" i="179" s="1"/>
  <c r="P97" i="179"/>
  <c r="O97" i="179"/>
  <c r="N97" i="179"/>
  <c r="F97" i="179"/>
  <c r="S96" i="179"/>
  <c r="P96" i="179"/>
  <c r="N96" i="179"/>
  <c r="F96" i="179"/>
  <c r="S95" i="179"/>
  <c r="K95" i="179"/>
  <c r="L95" i="179" s="1"/>
  <c r="F95" i="179"/>
  <c r="S94" i="179"/>
  <c r="P94" i="179"/>
  <c r="M94" i="179" s="1"/>
  <c r="T94" i="179" s="1"/>
  <c r="U94" i="179" s="1"/>
  <c r="AO94" i="179" s="1"/>
  <c r="AZ94" i="179" s="1"/>
  <c r="L94" i="179"/>
  <c r="K94" i="179"/>
  <c r="F94" i="179"/>
  <c r="S93" i="179"/>
  <c r="N93" i="179"/>
  <c r="K93" i="179"/>
  <c r="L93" i="179" s="1"/>
  <c r="P93" i="179" s="1"/>
  <c r="F93" i="179"/>
  <c r="S92" i="179"/>
  <c r="N92" i="179"/>
  <c r="K92" i="179"/>
  <c r="L92" i="179" s="1"/>
  <c r="P92" i="179" s="1"/>
  <c r="F92" i="179"/>
  <c r="S91" i="179"/>
  <c r="N91" i="179"/>
  <c r="K91" i="179"/>
  <c r="L91" i="179" s="1"/>
  <c r="P91" i="179" s="1"/>
  <c r="F91" i="179"/>
  <c r="S90" i="179"/>
  <c r="L90" i="179"/>
  <c r="K90" i="179"/>
  <c r="F90" i="179"/>
  <c r="S89" i="179"/>
  <c r="K89" i="179"/>
  <c r="L89" i="179" s="1"/>
  <c r="P89" i="179" s="1"/>
  <c r="F89" i="179"/>
  <c r="D89" i="179"/>
  <c r="S88" i="179"/>
  <c r="L88" i="179"/>
  <c r="P88" i="179" s="1"/>
  <c r="M88" i="179" s="1"/>
  <c r="T88" i="179" s="1"/>
  <c r="U88" i="179" s="1"/>
  <c r="AO88" i="179" s="1"/>
  <c r="AZ88" i="179" s="1"/>
  <c r="K88" i="179"/>
  <c r="F88" i="179"/>
  <c r="S87" i="179"/>
  <c r="N87" i="179"/>
  <c r="K87" i="179"/>
  <c r="L87" i="179" s="1"/>
  <c r="F87" i="179"/>
  <c r="S86" i="179"/>
  <c r="L86" i="179"/>
  <c r="P86" i="179" s="1"/>
  <c r="K86" i="179"/>
  <c r="F86" i="179"/>
  <c r="S85" i="179"/>
  <c r="L85" i="179"/>
  <c r="K85" i="179"/>
  <c r="F85" i="179"/>
  <c r="U84" i="179"/>
  <c r="AO84" i="179" s="1"/>
  <c r="AZ84" i="179" s="1"/>
  <c r="K84" i="179"/>
  <c r="L84" i="179" s="1"/>
  <c r="F84" i="179"/>
  <c r="S83" i="179"/>
  <c r="N83" i="179"/>
  <c r="L83" i="179"/>
  <c r="P83" i="179" s="1"/>
  <c r="K83" i="179"/>
  <c r="F83" i="179"/>
  <c r="S82" i="179"/>
  <c r="K82" i="179"/>
  <c r="L82" i="179" s="1"/>
  <c r="F82" i="179"/>
  <c r="S81" i="179"/>
  <c r="K81" i="179"/>
  <c r="L81" i="179" s="1"/>
  <c r="F81" i="179"/>
  <c r="S80" i="179"/>
  <c r="P80" i="179"/>
  <c r="M80" i="179" s="1"/>
  <c r="T80" i="179" s="1"/>
  <c r="N80" i="179"/>
  <c r="L80" i="179"/>
  <c r="K80" i="179"/>
  <c r="F80" i="179"/>
  <c r="S79" i="179"/>
  <c r="K79" i="179"/>
  <c r="L79" i="179" s="1"/>
  <c r="F79" i="179"/>
  <c r="S78" i="179"/>
  <c r="K78" i="179"/>
  <c r="L78" i="179" s="1"/>
  <c r="P78" i="179" s="1"/>
  <c r="F78" i="179"/>
  <c r="S77" i="179"/>
  <c r="N77" i="179"/>
  <c r="K77" i="179"/>
  <c r="L77" i="179" s="1"/>
  <c r="F77" i="179"/>
  <c r="S76" i="179"/>
  <c r="J76" i="179"/>
  <c r="K76" i="179" s="1"/>
  <c r="L76" i="179" s="1"/>
  <c r="G76" i="179"/>
  <c r="D76" i="179"/>
  <c r="F76" i="179" s="1"/>
  <c r="S75" i="179"/>
  <c r="N75" i="179"/>
  <c r="K75" i="179"/>
  <c r="L75" i="179" s="1"/>
  <c r="F75" i="179"/>
  <c r="S74" i="179"/>
  <c r="K74" i="179"/>
  <c r="L74" i="179" s="1"/>
  <c r="F74" i="179"/>
  <c r="S73" i="179"/>
  <c r="K73" i="179"/>
  <c r="L73" i="179" s="1"/>
  <c r="F73" i="179"/>
  <c r="S72" i="179"/>
  <c r="K72" i="179"/>
  <c r="L72" i="179" s="1"/>
  <c r="F72" i="179"/>
  <c r="S71" i="179"/>
  <c r="N71" i="179"/>
  <c r="L71" i="179"/>
  <c r="P71" i="179" s="1"/>
  <c r="K71" i="179"/>
  <c r="D71" i="179"/>
  <c r="F71" i="179" s="1"/>
  <c r="S70" i="179"/>
  <c r="N70" i="179"/>
  <c r="L70" i="179"/>
  <c r="P70" i="179" s="1"/>
  <c r="K70" i="179"/>
  <c r="F70" i="179"/>
  <c r="S69" i="179"/>
  <c r="N69" i="179"/>
  <c r="K69" i="179"/>
  <c r="L69" i="179" s="1"/>
  <c r="F69" i="179"/>
  <c r="S68" i="179"/>
  <c r="N68" i="179"/>
  <c r="K68" i="179"/>
  <c r="L68" i="179" s="1"/>
  <c r="F68" i="179"/>
  <c r="S67" i="179"/>
  <c r="K67" i="179"/>
  <c r="L67" i="179" s="1"/>
  <c r="F67" i="179"/>
  <c r="AI66" i="179"/>
  <c r="S66" i="179"/>
  <c r="K66" i="179"/>
  <c r="L66" i="179" s="1"/>
  <c r="F66" i="179"/>
  <c r="S65" i="179"/>
  <c r="K65" i="179"/>
  <c r="L65" i="179" s="1"/>
  <c r="P65" i="179" s="1"/>
  <c r="F65" i="179"/>
  <c r="S64" i="179"/>
  <c r="K64" i="179"/>
  <c r="L64" i="179" s="1"/>
  <c r="F64" i="179"/>
  <c r="S63" i="179"/>
  <c r="K63" i="179"/>
  <c r="L63" i="179" s="1"/>
  <c r="P63" i="179" s="1"/>
  <c r="D63" i="179"/>
  <c r="S62" i="179"/>
  <c r="N62" i="179"/>
  <c r="K62" i="179"/>
  <c r="L62" i="179" s="1"/>
  <c r="F62" i="179"/>
  <c r="S61" i="179"/>
  <c r="K61" i="179"/>
  <c r="L61" i="179" s="1"/>
  <c r="F61" i="179"/>
  <c r="Q60" i="179"/>
  <c r="K60" i="179"/>
  <c r="L60" i="179" s="1"/>
  <c r="D60" i="179"/>
  <c r="F60" i="179" s="1"/>
  <c r="S59" i="179"/>
  <c r="K59" i="179"/>
  <c r="L59" i="179" s="1"/>
  <c r="P59" i="179" s="1"/>
  <c r="F59" i="179"/>
  <c r="S58" i="179"/>
  <c r="K58" i="179"/>
  <c r="L58" i="179" s="1"/>
  <c r="F58" i="179"/>
  <c r="S57" i="179"/>
  <c r="K57" i="179"/>
  <c r="L57" i="179" s="1"/>
  <c r="F57" i="179"/>
  <c r="S56" i="179"/>
  <c r="K56" i="179"/>
  <c r="L56" i="179" s="1"/>
  <c r="F56" i="179"/>
  <c r="S55" i="179"/>
  <c r="K55" i="179"/>
  <c r="L55" i="179" s="1"/>
  <c r="F55" i="179"/>
  <c r="S54" i="179"/>
  <c r="N54" i="179"/>
  <c r="K54" i="179"/>
  <c r="L54" i="179" s="1"/>
  <c r="P54" i="179" s="1"/>
  <c r="D54" i="179"/>
  <c r="F54" i="179" s="1"/>
  <c r="S53" i="179"/>
  <c r="K53" i="179"/>
  <c r="L53" i="179" s="1"/>
  <c r="F53" i="179"/>
  <c r="S52" i="179"/>
  <c r="N52" i="179"/>
  <c r="K52" i="179"/>
  <c r="L52" i="179" s="1"/>
  <c r="F52" i="179"/>
  <c r="S51" i="179"/>
  <c r="L51" i="179"/>
  <c r="P51" i="179" s="1"/>
  <c r="K51" i="179"/>
  <c r="F51" i="179"/>
  <c r="S50" i="179"/>
  <c r="K50" i="179"/>
  <c r="L50" i="179" s="1"/>
  <c r="F50" i="179"/>
  <c r="S49" i="179"/>
  <c r="K49" i="179"/>
  <c r="L49" i="179" s="1"/>
  <c r="P49" i="179" s="1"/>
  <c r="F49" i="179"/>
  <c r="S48" i="179"/>
  <c r="N48" i="179"/>
  <c r="K48" i="179"/>
  <c r="L48" i="179" s="1"/>
  <c r="G48" i="179"/>
  <c r="F48" i="179"/>
  <c r="Z47" i="179"/>
  <c r="S47" i="179"/>
  <c r="N47" i="179"/>
  <c r="L47" i="179"/>
  <c r="P47" i="179" s="1"/>
  <c r="K47" i="179"/>
  <c r="F47" i="179"/>
  <c r="S46" i="179"/>
  <c r="L46" i="179"/>
  <c r="K46" i="179"/>
  <c r="F46" i="179"/>
  <c r="S45" i="179"/>
  <c r="N45" i="179"/>
  <c r="J45" i="179"/>
  <c r="K45" i="179" s="1"/>
  <c r="L45" i="179" s="1"/>
  <c r="F45" i="179"/>
  <c r="S44" i="179"/>
  <c r="N44" i="179"/>
  <c r="K44" i="179"/>
  <c r="L44" i="179" s="1"/>
  <c r="F44" i="179"/>
  <c r="S43" i="179"/>
  <c r="N43" i="179"/>
  <c r="K43" i="179"/>
  <c r="L43" i="179" s="1"/>
  <c r="F43" i="179"/>
  <c r="S42" i="179"/>
  <c r="N42" i="179"/>
  <c r="K42" i="179"/>
  <c r="L42" i="179" s="1"/>
  <c r="P42" i="179" s="1"/>
  <c r="D42" i="179"/>
  <c r="S41" i="179"/>
  <c r="K41" i="179"/>
  <c r="L41" i="179" s="1"/>
  <c r="P41" i="179" s="1"/>
  <c r="F41" i="179"/>
  <c r="D41" i="179"/>
  <c r="S40" i="179"/>
  <c r="K40" i="179"/>
  <c r="L40" i="179" s="1"/>
  <c r="F40" i="179"/>
  <c r="S39" i="179"/>
  <c r="N39" i="179"/>
  <c r="L39" i="179"/>
  <c r="P39" i="179" s="1"/>
  <c r="K39" i="179"/>
  <c r="F39" i="179"/>
  <c r="S38" i="179"/>
  <c r="L38" i="179"/>
  <c r="K38" i="179"/>
  <c r="F38" i="179"/>
  <c r="S37" i="179"/>
  <c r="N37" i="179"/>
  <c r="K37" i="179"/>
  <c r="L37" i="179" s="1"/>
  <c r="F37" i="179"/>
  <c r="S36" i="179"/>
  <c r="N36" i="179"/>
  <c r="K36" i="179"/>
  <c r="L36" i="179" s="1"/>
  <c r="P36" i="179" s="1"/>
  <c r="F36" i="179"/>
  <c r="D36" i="179"/>
  <c r="T35" i="179"/>
  <c r="U35" i="179" s="1"/>
  <c r="AO35" i="179" s="1"/>
  <c r="AZ35" i="179" s="1"/>
  <c r="S35" i="179"/>
  <c r="K35" i="179"/>
  <c r="L35" i="179" s="1"/>
  <c r="P35" i="179" s="1"/>
  <c r="M35" i="179" s="1"/>
  <c r="G35" i="179"/>
  <c r="D35" i="179"/>
  <c r="S34" i="179"/>
  <c r="N34" i="179"/>
  <c r="L34" i="179"/>
  <c r="K34" i="179"/>
  <c r="F34" i="179"/>
  <c r="S33" i="179"/>
  <c r="K33" i="179"/>
  <c r="L33" i="179" s="1"/>
  <c r="P33" i="179" s="1"/>
  <c r="F33" i="179"/>
  <c r="S32" i="179"/>
  <c r="N32" i="179"/>
  <c r="K32" i="179"/>
  <c r="L32" i="179" s="1"/>
  <c r="P32" i="179" s="1"/>
  <c r="F32" i="179"/>
  <c r="S31" i="179"/>
  <c r="N31" i="179"/>
  <c r="L31" i="179"/>
  <c r="K31" i="179"/>
  <c r="F31" i="179"/>
  <c r="S30" i="179"/>
  <c r="N30" i="179"/>
  <c r="K30" i="179"/>
  <c r="L30" i="179" s="1"/>
  <c r="G30" i="179"/>
  <c r="F30" i="179"/>
  <c r="S29" i="179"/>
  <c r="N29" i="179"/>
  <c r="K29" i="179"/>
  <c r="L29" i="179" s="1"/>
  <c r="F29" i="179"/>
  <c r="S28" i="179"/>
  <c r="N28" i="179"/>
  <c r="K28" i="179"/>
  <c r="L28" i="179" s="1"/>
  <c r="P28" i="179" s="1"/>
  <c r="M28" i="179" s="1"/>
  <c r="O28" i="179" s="1"/>
  <c r="D28" i="179"/>
  <c r="F28" i="179" s="1"/>
  <c r="S27" i="179"/>
  <c r="K27" i="179"/>
  <c r="L27" i="179" s="1"/>
  <c r="P27" i="179" s="1"/>
  <c r="M27" i="179" s="1"/>
  <c r="O27" i="179" s="1"/>
  <c r="G27" i="179"/>
  <c r="D27" i="179"/>
  <c r="F27" i="179" s="1"/>
  <c r="S26" i="179"/>
  <c r="K26" i="179"/>
  <c r="L26" i="179" s="1"/>
  <c r="P26" i="179" s="1"/>
  <c r="M26" i="179" s="1"/>
  <c r="O26" i="179" s="1"/>
  <c r="F26" i="179"/>
  <c r="S25" i="179"/>
  <c r="K25" i="179"/>
  <c r="L25" i="179" s="1"/>
  <c r="P25" i="179" s="1"/>
  <c r="F25" i="179"/>
  <c r="S24" i="179"/>
  <c r="N24" i="179"/>
  <c r="K24" i="179"/>
  <c r="L24" i="179" s="1"/>
  <c r="F24" i="179"/>
  <c r="S23" i="179"/>
  <c r="K23" i="179"/>
  <c r="L23" i="179" s="1"/>
  <c r="F23" i="179"/>
  <c r="S22" i="179"/>
  <c r="N22" i="179"/>
  <c r="K22" i="179"/>
  <c r="L22" i="179" s="1"/>
  <c r="G22" i="179"/>
  <c r="F22" i="179"/>
  <c r="S21" i="179"/>
  <c r="N21" i="179"/>
  <c r="K21" i="179"/>
  <c r="L21" i="179" s="1"/>
  <c r="F21" i="179"/>
  <c r="S20" i="179"/>
  <c r="N20" i="179"/>
  <c r="K20" i="179"/>
  <c r="L20" i="179" s="1"/>
  <c r="P20" i="179" s="1"/>
  <c r="M20" i="179" s="1"/>
  <c r="O20" i="179" s="1"/>
  <c r="D20" i="179"/>
  <c r="F20" i="179" s="1"/>
  <c r="S19" i="179"/>
  <c r="N19" i="179"/>
  <c r="K19" i="179"/>
  <c r="L19" i="179" s="1"/>
  <c r="P19" i="179" s="1"/>
  <c r="M19" i="179" s="1"/>
  <c r="O19" i="179" s="1"/>
  <c r="F19" i="179"/>
  <c r="S18" i="179"/>
  <c r="K18" i="179"/>
  <c r="L18" i="179" s="1"/>
  <c r="F18" i="179"/>
  <c r="S17" i="179"/>
  <c r="K17" i="179"/>
  <c r="L17" i="179" s="1"/>
  <c r="F17" i="179"/>
  <c r="S16" i="179"/>
  <c r="N16" i="179"/>
  <c r="K16" i="179"/>
  <c r="L16" i="179" s="1"/>
  <c r="F16" i="179"/>
  <c r="S15" i="179"/>
  <c r="K15" i="179"/>
  <c r="L15" i="179" s="1"/>
  <c r="F15" i="179"/>
  <c r="S14" i="179"/>
  <c r="K14" i="179"/>
  <c r="L14" i="179" s="1"/>
  <c r="D14" i="179"/>
  <c r="F14" i="179" s="1"/>
  <c r="Z13" i="179"/>
  <c r="X7" i="191" s="1"/>
  <c r="S13" i="179"/>
  <c r="N13" i="179"/>
  <c r="L13" i="179"/>
  <c r="P13" i="179" s="1"/>
  <c r="M13" i="179" s="1"/>
  <c r="O13" i="179" s="1"/>
  <c r="K13" i="179"/>
  <c r="F13" i="179"/>
  <c r="S12" i="179"/>
  <c r="K12" i="179"/>
  <c r="L12" i="179" s="1"/>
  <c r="F12" i="179"/>
  <c r="S11" i="179"/>
  <c r="N11" i="179"/>
  <c r="L11" i="179"/>
  <c r="K11" i="179"/>
  <c r="G11" i="179"/>
  <c r="G105" i="179" s="1"/>
  <c r="E7" i="191" s="1"/>
  <c r="F11" i="179"/>
  <c r="S10" i="179"/>
  <c r="K10" i="179"/>
  <c r="L10" i="179" s="1"/>
  <c r="D10" i="179"/>
  <c r="F10" i="179" s="1"/>
  <c r="S9" i="179"/>
  <c r="N9" i="179"/>
  <c r="K9" i="179"/>
  <c r="L9" i="179" s="1"/>
  <c r="F9" i="179"/>
  <c r="S8" i="179"/>
  <c r="K8" i="179"/>
  <c r="L8" i="179" s="1"/>
  <c r="P8" i="179" s="1"/>
  <c r="D8" i="179"/>
  <c r="S7" i="179"/>
  <c r="N7" i="179"/>
  <c r="K7" i="179"/>
  <c r="L7" i="179" s="1"/>
  <c r="D7" i="179"/>
  <c r="A7" i="179"/>
  <c r="A8" i="179" s="1"/>
  <c r="A9" i="179" s="1"/>
  <c r="A10" i="179" s="1"/>
  <c r="A11" i="179" s="1"/>
  <c r="A12" i="179" s="1"/>
  <c r="A13" i="179" s="1"/>
  <c r="A14" i="179" s="1"/>
  <c r="A15" i="179" s="1"/>
  <c r="A16" i="179" s="1"/>
  <c r="A17" i="179" s="1"/>
  <c r="A18" i="179" s="1"/>
  <c r="A19" i="179" s="1"/>
  <c r="A20" i="179" s="1"/>
  <c r="A21" i="179" s="1"/>
  <c r="A22" i="179" s="1"/>
  <c r="A23" i="179" s="1"/>
  <c r="A24" i="179" s="1"/>
  <c r="A25" i="179" s="1"/>
  <c r="A26" i="179" s="1"/>
  <c r="A27" i="179" s="1"/>
  <c r="A28" i="179" s="1"/>
  <c r="A29" i="179" s="1"/>
  <c r="A30" i="179" s="1"/>
  <c r="A31" i="179" s="1"/>
  <c r="A32" i="179" s="1"/>
  <c r="A33" i="179" s="1"/>
  <c r="A34" i="179" s="1"/>
  <c r="A35" i="179" s="1"/>
  <c r="A36" i="179" s="1"/>
  <c r="A37" i="179" s="1"/>
  <c r="A38" i="179" s="1"/>
  <c r="A39" i="179" s="1"/>
  <c r="A40" i="179" s="1"/>
  <c r="A41" i="179" s="1"/>
  <c r="A42" i="179" s="1"/>
  <c r="A43" i="179" s="1"/>
  <c r="A44" i="179" s="1"/>
  <c r="A45" i="179" s="1"/>
  <c r="A46" i="179" s="1"/>
  <c r="A47" i="179" s="1"/>
  <c r="A48" i="179" s="1"/>
  <c r="A49" i="179" s="1"/>
  <c r="A50" i="179" s="1"/>
  <c r="A51" i="179" s="1"/>
  <c r="A52" i="179" s="1"/>
  <c r="A53" i="179" s="1"/>
  <c r="A54" i="179" s="1"/>
  <c r="A55" i="179" s="1"/>
  <c r="A56" i="179" s="1"/>
  <c r="A57" i="179" s="1"/>
  <c r="A58" i="179" s="1"/>
  <c r="A59" i="179" s="1"/>
  <c r="A60" i="179" s="1"/>
  <c r="A61" i="179" s="1"/>
  <c r="A62" i="179" s="1"/>
  <c r="A63" i="179" s="1"/>
  <c r="A64" i="179" s="1"/>
  <c r="A65" i="179" s="1"/>
  <c r="A66" i="179" s="1"/>
  <c r="A67" i="179" s="1"/>
  <c r="A68" i="179" s="1"/>
  <c r="A69" i="179" s="1"/>
  <c r="A70" i="179" s="1"/>
  <c r="A71" i="179" s="1"/>
  <c r="A72" i="179" s="1"/>
  <c r="A73" i="179" s="1"/>
  <c r="A74" i="179" s="1"/>
  <c r="A75" i="179" s="1"/>
  <c r="A76" i="179" s="1"/>
  <c r="A77" i="179" s="1"/>
  <c r="A78" i="179" s="1"/>
  <c r="A79" i="179" s="1"/>
  <c r="A80" i="179" s="1"/>
  <c r="A81" i="179" s="1"/>
  <c r="A82" i="179" s="1"/>
  <c r="A83" i="179" s="1"/>
  <c r="A84" i="179" s="1"/>
  <c r="A85" i="179" s="1"/>
  <c r="A86" i="179" s="1"/>
  <c r="A87" i="179" s="1"/>
  <c r="A88" i="179" s="1"/>
  <c r="A89" i="179" s="1"/>
  <c r="A90" i="179" s="1"/>
  <c r="A91" i="179" s="1"/>
  <c r="A92" i="179" s="1"/>
  <c r="A93" i="179" s="1"/>
  <c r="A94" i="179" s="1"/>
  <c r="A95" i="179" s="1"/>
  <c r="A96" i="179" s="1"/>
  <c r="A97" i="179" s="1"/>
  <c r="A98" i="179" s="1"/>
  <c r="A99" i="179" s="1"/>
  <c r="A100" i="179" s="1"/>
  <c r="A101" i="179" s="1"/>
  <c r="A102" i="179" s="1"/>
  <c r="A103" i="179" s="1"/>
  <c r="A104" i="179" s="1"/>
  <c r="A105" i="179" s="1"/>
  <c r="AO11" i="189" l="1"/>
  <c r="AN24" i="189"/>
  <c r="AK17" i="191" s="1"/>
  <c r="AP11" i="189"/>
  <c r="AP24" i="189" s="1"/>
  <c r="AM17" i="191" s="1"/>
  <c r="AL24" i="189"/>
  <c r="AI17" i="191" s="1"/>
  <c r="D30" i="183"/>
  <c r="M36" i="179"/>
  <c r="T36" i="179"/>
  <c r="V99" i="179"/>
  <c r="AO99" i="179"/>
  <c r="AZ99" i="179" s="1"/>
  <c r="AF7" i="191"/>
  <c r="AL66" i="179"/>
  <c r="AG109" i="179"/>
  <c r="AD7" i="191"/>
  <c r="D105" i="179"/>
  <c r="B7" i="191" s="1"/>
  <c r="O36" i="179"/>
  <c r="T101" i="179"/>
  <c r="U101" i="179" s="1"/>
  <c r="AO101" i="179" s="1"/>
  <c r="AZ101" i="179" s="1"/>
  <c r="O94" i="179"/>
  <c r="T96" i="179"/>
  <c r="U96" i="179" s="1"/>
  <c r="AH7" i="191"/>
  <c r="O35" i="179"/>
  <c r="F35" i="179"/>
  <c r="J105" i="179"/>
  <c r="H7" i="191" s="1"/>
  <c r="T102" i="179"/>
  <c r="U102" i="179" s="1"/>
  <c r="AO102" i="179" s="1"/>
  <c r="AZ102" i="179" s="1"/>
  <c r="O80" i="179"/>
  <c r="P24" i="180"/>
  <c r="M37" i="180"/>
  <c r="T37" i="180" s="1"/>
  <c r="U37" i="180" s="1"/>
  <c r="K109" i="180"/>
  <c r="D93" i="180"/>
  <c r="AQ7" i="182"/>
  <c r="O8" i="182"/>
  <c r="D12" i="182"/>
  <c r="AF19" i="191"/>
  <c r="S12" i="182"/>
  <c r="AQ24" i="186"/>
  <c r="AQ13" i="186"/>
  <c r="AQ23" i="186"/>
  <c r="AQ14" i="186"/>
  <c r="F26" i="186"/>
  <c r="AQ16" i="186"/>
  <c r="AQ21" i="186"/>
  <c r="AQ8" i="186"/>
  <c r="S26" i="186"/>
  <c r="AL26" i="186"/>
  <c r="AI14" i="191" s="1"/>
  <c r="AN7" i="186"/>
  <c r="AQ15" i="186"/>
  <c r="K49" i="185"/>
  <c r="AL19" i="185"/>
  <c r="AN19" i="185" s="1"/>
  <c r="AQ27" i="185"/>
  <c r="AQ42" i="185"/>
  <c r="L49" i="185"/>
  <c r="P50" i="185" s="1"/>
  <c r="AQ11" i="185"/>
  <c r="AQ18" i="185"/>
  <c r="AQ36" i="185"/>
  <c r="AQ44" i="185"/>
  <c r="P7" i="185"/>
  <c r="AQ21" i="185"/>
  <c r="AQ26" i="185"/>
  <c r="S49" i="185"/>
  <c r="AQ29" i="185"/>
  <c r="AQ7" i="185"/>
  <c r="AQ12" i="185"/>
  <c r="AQ13" i="185"/>
  <c r="AQ20" i="185"/>
  <c r="AQ28" i="185"/>
  <c r="AQ37" i="185"/>
  <c r="P39" i="185"/>
  <c r="AQ43" i="185"/>
  <c r="D49" i="185"/>
  <c r="AQ45" i="185"/>
  <c r="AQ34" i="185"/>
  <c r="AO37" i="180"/>
  <c r="AZ37" i="180" s="1"/>
  <c r="P17" i="180"/>
  <c r="M17" i="180" s="1"/>
  <c r="T17" i="180" s="1"/>
  <c r="U17" i="180" s="1"/>
  <c r="M58" i="180"/>
  <c r="O58" i="180" s="1"/>
  <c r="T58" i="180"/>
  <c r="U58" i="180" s="1"/>
  <c r="AO9" i="180"/>
  <c r="AZ9" i="180" s="1"/>
  <c r="G93" i="180"/>
  <c r="AP23" i="180"/>
  <c r="L93" i="180"/>
  <c r="AP11" i="180"/>
  <c r="AP15" i="180"/>
  <c r="P70" i="180"/>
  <c r="M70" i="180" s="1"/>
  <c r="AP79" i="180"/>
  <c r="O92" i="180"/>
  <c r="L109" i="180"/>
  <c r="P109" i="180" s="1"/>
  <c r="AP7" i="180"/>
  <c r="AN93" i="180"/>
  <c r="AP35" i="180"/>
  <c r="AP51" i="180"/>
  <c r="AO63" i="180"/>
  <c r="AZ63" i="180" s="1"/>
  <c r="AP63" i="180"/>
  <c r="AP71" i="180"/>
  <c r="F92" i="180"/>
  <c r="AP114" i="180"/>
  <c r="AC117" i="180"/>
  <c r="Z8" i="191" s="1"/>
  <c r="Z19" i="191" s="1"/>
  <c r="AK117" i="180"/>
  <c r="Q93" i="180"/>
  <c r="AO90" i="180"/>
  <c r="AZ90" i="180" s="1"/>
  <c r="AO92" i="180"/>
  <c r="AZ92" i="180" s="1"/>
  <c r="AP103" i="180"/>
  <c r="AP27" i="180"/>
  <c r="AP39" i="180"/>
  <c r="P42" i="180"/>
  <c r="AP43" i="180"/>
  <c r="AP83" i="180"/>
  <c r="AP108" i="180"/>
  <c r="AP96" i="180"/>
  <c r="AP19" i="180"/>
  <c r="AP59" i="180"/>
  <c r="AP75" i="180"/>
  <c r="F7" i="180"/>
  <c r="P14" i="180"/>
  <c r="AP31" i="180"/>
  <c r="AP67" i="180"/>
  <c r="AO21" i="180"/>
  <c r="AZ21" i="180" s="1"/>
  <c r="AP47" i="180"/>
  <c r="O52" i="180"/>
  <c r="AP55" i="180"/>
  <c r="AO91" i="180"/>
  <c r="AZ91" i="180" s="1"/>
  <c r="AP107" i="180"/>
  <c r="AP110" i="180"/>
  <c r="P49" i="180"/>
  <c r="M49" i="180" s="1"/>
  <c r="T49" i="180" s="1"/>
  <c r="U49" i="180" s="1"/>
  <c r="P62" i="180"/>
  <c r="I117" i="180"/>
  <c r="G8" i="191" s="1"/>
  <c r="G19" i="191" s="1"/>
  <c r="AE117" i="180"/>
  <c r="AB8" i="191" s="1"/>
  <c r="AB19" i="191" s="1"/>
  <c r="BC117" i="180"/>
  <c r="AZ8" i="191" s="1"/>
  <c r="AZ19" i="191" s="1"/>
  <c r="E117" i="180"/>
  <c r="C8" i="191" s="1"/>
  <c r="C19" i="191" s="1"/>
  <c r="AD117" i="180"/>
  <c r="AA8" i="191" s="1"/>
  <c r="AA19" i="191" s="1"/>
  <c r="AF117" i="180"/>
  <c r="AC8" i="191" s="1"/>
  <c r="AC19" i="191" s="1"/>
  <c r="BD117" i="180"/>
  <c r="BA8" i="191" s="1"/>
  <c r="BA19" i="191" s="1"/>
  <c r="AG117" i="180"/>
  <c r="AD8" i="191" s="1"/>
  <c r="X117" i="180"/>
  <c r="V8" i="191" s="1"/>
  <c r="V19" i="191" s="1"/>
  <c r="AH117" i="180"/>
  <c r="AE8" i="191" s="1"/>
  <c r="AE19" i="191" s="1"/>
  <c r="Z117" i="180"/>
  <c r="X8" i="191" s="1"/>
  <c r="H117" i="180"/>
  <c r="F8" i="191" s="1"/>
  <c r="F19" i="191" s="1"/>
  <c r="J117" i="180"/>
  <c r="H8" i="191" s="1"/>
  <c r="H19" i="191" s="1"/>
  <c r="M13" i="190"/>
  <c r="O13" i="190" s="1"/>
  <c r="T13" i="190"/>
  <c r="U13" i="190" s="1"/>
  <c r="P10" i="190"/>
  <c r="M14" i="190"/>
  <c r="T14" i="190"/>
  <c r="U14" i="190" s="1"/>
  <c r="M9" i="190"/>
  <c r="O9" i="190" s="1"/>
  <c r="T9" i="190"/>
  <c r="U9" i="190" s="1"/>
  <c r="P12" i="190"/>
  <c r="P16" i="190"/>
  <c r="L17" i="190"/>
  <c r="P7" i="190"/>
  <c r="M8" i="190"/>
  <c r="T8" i="190"/>
  <c r="U8" i="190" s="1"/>
  <c r="P18" i="190"/>
  <c r="P15" i="190"/>
  <c r="M11" i="190"/>
  <c r="O11" i="190" s="1"/>
  <c r="AL8" i="190"/>
  <c r="O14" i="190"/>
  <c r="O8" i="190"/>
  <c r="J17" i="190"/>
  <c r="K17" i="190"/>
  <c r="L18" i="190" s="1"/>
  <c r="D17" i="190"/>
  <c r="AD17" i="190"/>
  <c r="M10" i="189"/>
  <c r="T10" i="189"/>
  <c r="U10" i="189" s="1"/>
  <c r="P16" i="189"/>
  <c r="P20" i="189"/>
  <c r="M13" i="189"/>
  <c r="O13" i="189" s="1"/>
  <c r="M9" i="189"/>
  <c r="O9" i="189" s="1"/>
  <c r="T9" i="189"/>
  <c r="U9" i="189" s="1"/>
  <c r="P15" i="189"/>
  <c r="P19" i="189"/>
  <c r="P23" i="189"/>
  <c r="F24" i="189"/>
  <c r="M8" i="189"/>
  <c r="T8" i="189" s="1"/>
  <c r="U8" i="189" s="1"/>
  <c r="T12" i="189"/>
  <c r="U12" i="189" s="1"/>
  <c r="M12" i="189"/>
  <c r="O12" i="189" s="1"/>
  <c r="P25" i="189"/>
  <c r="M18" i="189"/>
  <c r="T18" i="189"/>
  <c r="U18" i="189" s="1"/>
  <c r="M22" i="189"/>
  <c r="T22" i="189" s="1"/>
  <c r="U22" i="189" s="1"/>
  <c r="T7" i="189"/>
  <c r="M7" i="189"/>
  <c r="M11" i="189"/>
  <c r="O11" i="189" s="1"/>
  <c r="P14" i="189"/>
  <c r="T21" i="189"/>
  <c r="U21" i="189" s="1"/>
  <c r="M21" i="189"/>
  <c r="O21" i="189" s="1"/>
  <c r="O18" i="189"/>
  <c r="O8" i="189"/>
  <c r="P17" i="189"/>
  <c r="P24" i="189" s="1"/>
  <c r="O22" i="189"/>
  <c r="D24" i="189"/>
  <c r="L24" i="189"/>
  <c r="O10" i="189"/>
  <c r="L15" i="188"/>
  <c r="P14" i="188"/>
  <c r="L16" i="188"/>
  <c r="P16" i="188"/>
  <c r="P11" i="188"/>
  <c r="M13" i="188"/>
  <c r="O13" i="188" s="1"/>
  <c r="P10" i="188"/>
  <c r="T12" i="188"/>
  <c r="U12" i="188" s="1"/>
  <c r="M12" i="188"/>
  <c r="P8" i="188"/>
  <c r="T8" i="188" s="1"/>
  <c r="O8" i="188"/>
  <c r="P9" i="188"/>
  <c r="T9" i="188" s="1"/>
  <c r="U9" i="188" s="1"/>
  <c r="O9" i="188"/>
  <c r="P7" i="188"/>
  <c r="O12" i="188"/>
  <c r="U8" i="188"/>
  <c r="M7" i="187"/>
  <c r="M13" i="187"/>
  <c r="T13" i="187" s="1"/>
  <c r="U13" i="187" s="1"/>
  <c r="P16" i="187"/>
  <c r="M12" i="187"/>
  <c r="O12" i="187" s="1"/>
  <c r="P19" i="187"/>
  <c r="M11" i="187"/>
  <c r="O11" i="187" s="1"/>
  <c r="T11" i="187"/>
  <c r="U11" i="187" s="1"/>
  <c r="P15" i="187"/>
  <c r="M18" i="187"/>
  <c r="O18" i="187" s="1"/>
  <c r="M10" i="187"/>
  <c r="O10" i="187" s="1"/>
  <c r="T10" i="187"/>
  <c r="U10" i="187" s="1"/>
  <c r="M14" i="187"/>
  <c r="T14" i="187"/>
  <c r="U14" i="187" s="1"/>
  <c r="P17" i="187"/>
  <c r="P9" i="187"/>
  <c r="O14" i="187"/>
  <c r="O13" i="187"/>
  <c r="L20" i="187"/>
  <c r="P21" i="187" s="1"/>
  <c r="P8" i="187"/>
  <c r="N20" i="187"/>
  <c r="M8" i="186"/>
  <c r="O8" i="186" s="1"/>
  <c r="T8" i="186"/>
  <c r="U8" i="186" s="1"/>
  <c r="AO8" i="186" s="1"/>
  <c r="BA8" i="186" s="1"/>
  <c r="M15" i="186"/>
  <c r="T15" i="186" s="1"/>
  <c r="U15" i="186" s="1"/>
  <c r="AO15" i="186" s="1"/>
  <c r="BA15" i="186" s="1"/>
  <c r="M19" i="186"/>
  <c r="T19" i="186" s="1"/>
  <c r="U19" i="186" s="1"/>
  <c r="AO19" i="186" s="1"/>
  <c r="BA19" i="186" s="1"/>
  <c r="L26" i="186"/>
  <c r="P27" i="186" s="1"/>
  <c r="P7" i="186"/>
  <c r="P11" i="186"/>
  <c r="M22" i="186"/>
  <c r="O22" i="186" s="1"/>
  <c r="M18" i="186"/>
  <c r="O18" i="186" s="1"/>
  <c r="T18" i="186"/>
  <c r="U18" i="186" s="1"/>
  <c r="AO18" i="186" s="1"/>
  <c r="BA18" i="186" s="1"/>
  <c r="M25" i="186"/>
  <c r="O25" i="186" s="1"/>
  <c r="M10" i="186"/>
  <c r="T10" i="186" s="1"/>
  <c r="U10" i="186" s="1"/>
  <c r="AO10" i="186" s="1"/>
  <c r="BA10" i="186" s="1"/>
  <c r="M14" i="186"/>
  <c r="T14" i="186" s="1"/>
  <c r="U14" i="186" s="1"/>
  <c r="AO14" i="186" s="1"/>
  <c r="BA14" i="186" s="1"/>
  <c r="M21" i="186"/>
  <c r="T21" i="186" s="1"/>
  <c r="U21" i="186" s="1"/>
  <c r="AO21" i="186" s="1"/>
  <c r="BA21" i="186" s="1"/>
  <c r="M17" i="186"/>
  <c r="O17" i="186" s="1"/>
  <c r="T17" i="186"/>
  <c r="U17" i="186" s="1"/>
  <c r="AO17" i="186" s="1"/>
  <c r="BA17" i="186" s="1"/>
  <c r="P24" i="186"/>
  <c r="M13" i="186"/>
  <c r="O13" i="186" s="1"/>
  <c r="P20" i="186"/>
  <c r="M9" i="186"/>
  <c r="T9" i="186" s="1"/>
  <c r="U9" i="186" s="1"/>
  <c r="AO9" i="186" s="1"/>
  <c r="BA9" i="186" s="1"/>
  <c r="P16" i="186"/>
  <c r="M12" i="186"/>
  <c r="T12" i="186" s="1"/>
  <c r="U12" i="186" s="1"/>
  <c r="AO12" i="186" s="1"/>
  <c r="BA12" i="186" s="1"/>
  <c r="M23" i="186"/>
  <c r="O23" i="186" s="1"/>
  <c r="O12" i="186"/>
  <c r="O21" i="186"/>
  <c r="K26" i="186"/>
  <c r="L27" i="186" s="1"/>
  <c r="D26" i="186"/>
  <c r="O14" i="186"/>
  <c r="O19" i="186"/>
  <c r="M8" i="185"/>
  <c r="T8" i="185" s="1"/>
  <c r="U8" i="185" s="1"/>
  <c r="AO8" i="185" s="1"/>
  <c r="BA8" i="185" s="1"/>
  <c r="P37" i="185"/>
  <c r="P42" i="185"/>
  <c r="P18" i="185"/>
  <c r="M31" i="185"/>
  <c r="O31" i="185" s="1"/>
  <c r="M45" i="185"/>
  <c r="T45" i="185" s="1"/>
  <c r="U45" i="185" s="1"/>
  <c r="AO45" i="185" s="1"/>
  <c r="BA45" i="185" s="1"/>
  <c r="P48" i="185"/>
  <c r="P22" i="185"/>
  <c r="T26" i="185"/>
  <c r="U26" i="185" s="1"/>
  <c r="AO26" i="185" s="1"/>
  <c r="BA26" i="185" s="1"/>
  <c r="M26" i="185"/>
  <c r="O26" i="185" s="1"/>
  <c r="M24" i="185"/>
  <c r="T24" i="185" s="1"/>
  <c r="U24" i="185" s="1"/>
  <c r="AO24" i="185" s="1"/>
  <c r="BA24" i="185" s="1"/>
  <c r="P30" i="185"/>
  <c r="M36" i="185"/>
  <c r="O36" i="185" s="1"/>
  <c r="M41" i="185"/>
  <c r="T41" i="185" s="1"/>
  <c r="U41" i="185" s="1"/>
  <c r="AO41" i="185" s="1"/>
  <c r="BA41" i="185" s="1"/>
  <c r="P44" i="185"/>
  <c r="M11" i="185"/>
  <c r="T11" i="185" s="1"/>
  <c r="U11" i="185" s="1"/>
  <c r="AO11" i="185" s="1"/>
  <c r="BA11" i="185" s="1"/>
  <c r="M25" i="185"/>
  <c r="T25" i="185" s="1"/>
  <c r="U25" i="185" s="1"/>
  <c r="AO25" i="185" s="1"/>
  <c r="BA25" i="185" s="1"/>
  <c r="P10" i="185"/>
  <c r="M17" i="185"/>
  <c r="T17" i="185" s="1"/>
  <c r="U17" i="185" s="1"/>
  <c r="AO17" i="185" s="1"/>
  <c r="BA17" i="185" s="1"/>
  <c r="P35" i="185"/>
  <c r="M39" i="185"/>
  <c r="T39" i="185" s="1"/>
  <c r="U39" i="185" s="1"/>
  <c r="AO39" i="185" s="1"/>
  <c r="BA39" i="185" s="1"/>
  <c r="M47" i="185"/>
  <c r="O47" i="185" s="1"/>
  <c r="M16" i="185"/>
  <c r="O16" i="185" s="1"/>
  <c r="T21" i="185"/>
  <c r="U21" i="185" s="1"/>
  <c r="AO21" i="185" s="1"/>
  <c r="BA21" i="185" s="1"/>
  <c r="M21" i="185"/>
  <c r="M29" i="185"/>
  <c r="T29" i="185" s="1"/>
  <c r="U29" i="185" s="1"/>
  <c r="AO29" i="185" s="1"/>
  <c r="BA29" i="185" s="1"/>
  <c r="P38" i="185"/>
  <c r="F49" i="185"/>
  <c r="M9" i="185"/>
  <c r="T9" i="185" s="1"/>
  <c r="U9" i="185" s="1"/>
  <c r="AO9" i="185" s="1"/>
  <c r="BA9" i="185" s="1"/>
  <c r="M43" i="185"/>
  <c r="O43" i="185" s="1"/>
  <c r="P46" i="185"/>
  <c r="P12" i="185"/>
  <c r="M20" i="185"/>
  <c r="T20" i="185" s="1"/>
  <c r="U20" i="185" s="1"/>
  <c r="AO20" i="185" s="1"/>
  <c r="BA20" i="185" s="1"/>
  <c r="M28" i="185"/>
  <c r="T28" i="185" s="1"/>
  <c r="U28" i="185" s="1"/>
  <c r="AO28" i="185" s="1"/>
  <c r="BA28" i="185" s="1"/>
  <c r="M34" i="185"/>
  <c r="T34" i="185" s="1"/>
  <c r="U34" i="185" s="1"/>
  <c r="AO34" i="185" s="1"/>
  <c r="BA34" i="185" s="1"/>
  <c r="L50" i="185"/>
  <c r="AL23" i="185"/>
  <c r="AN23" i="185" s="1"/>
  <c r="AQ23" i="185" s="1"/>
  <c r="O11" i="185"/>
  <c r="T15" i="185"/>
  <c r="U15" i="185" s="1"/>
  <c r="AO15" i="185" s="1"/>
  <c r="BA15" i="185" s="1"/>
  <c r="F16" i="185"/>
  <c r="O21" i="185"/>
  <c r="O25" i="185"/>
  <c r="T27" i="185"/>
  <c r="U27" i="185" s="1"/>
  <c r="AO27" i="185" s="1"/>
  <c r="BA27" i="185" s="1"/>
  <c r="T33" i="185"/>
  <c r="U33" i="185" s="1"/>
  <c r="AO33" i="185" s="1"/>
  <c r="BA33" i="185" s="1"/>
  <c r="T40" i="185"/>
  <c r="U40" i="185" s="1"/>
  <c r="AO40" i="185" s="1"/>
  <c r="BA40" i="185" s="1"/>
  <c r="T13" i="185"/>
  <c r="U13" i="185" s="1"/>
  <c r="AO13" i="185" s="1"/>
  <c r="BA13" i="185" s="1"/>
  <c r="T14" i="185"/>
  <c r="U14" i="185" s="1"/>
  <c r="AO14" i="185" s="1"/>
  <c r="BA14" i="185" s="1"/>
  <c r="T23" i="185"/>
  <c r="U23" i="185" s="1"/>
  <c r="O24" i="185"/>
  <c r="T32" i="185"/>
  <c r="U32" i="185" s="1"/>
  <c r="AO32" i="185" s="1"/>
  <c r="BA32" i="185" s="1"/>
  <c r="P19" i="185"/>
  <c r="Z13" i="185"/>
  <c r="Z49" i="185" s="1"/>
  <c r="O28" i="185"/>
  <c r="O45" i="185"/>
  <c r="M7" i="185"/>
  <c r="F17" i="184"/>
  <c r="W15" i="184"/>
  <c r="W9" i="184"/>
  <c r="M12" i="184"/>
  <c r="O12" i="184" s="1"/>
  <c r="O11" i="184"/>
  <c r="M11" i="184"/>
  <c r="T11" i="184"/>
  <c r="U11" i="184" s="1"/>
  <c r="S17" i="184"/>
  <c r="P10" i="184"/>
  <c r="P16" i="184"/>
  <c r="P13" i="184"/>
  <c r="Q17" i="184"/>
  <c r="F12" i="184"/>
  <c r="L14" i="184"/>
  <c r="L17" i="184" s="1"/>
  <c r="P18" i="184" s="1"/>
  <c r="P8" i="184"/>
  <c r="D17" i="184"/>
  <c r="P7" i="184"/>
  <c r="M12" i="183"/>
  <c r="T12" i="183"/>
  <c r="U12" i="183" s="1"/>
  <c r="AO12" i="183" s="1"/>
  <c r="BA12" i="183" s="1"/>
  <c r="W13" i="183"/>
  <c r="W14" i="183"/>
  <c r="M19" i="183"/>
  <c r="O19" i="183" s="1"/>
  <c r="T22" i="183"/>
  <c r="U22" i="183" s="1"/>
  <c r="AO22" i="183" s="1"/>
  <c r="BA22" i="183" s="1"/>
  <c r="M22" i="183"/>
  <c r="M27" i="183"/>
  <c r="O27" i="183" s="1"/>
  <c r="P10" i="183"/>
  <c r="M18" i="183"/>
  <c r="O18" i="183" s="1"/>
  <c r="T21" i="183"/>
  <c r="U21" i="183" s="1"/>
  <c r="AO21" i="183" s="1"/>
  <c r="BA21" i="183" s="1"/>
  <c r="M21" i="183"/>
  <c r="M25" i="183"/>
  <c r="T25" i="183" s="1"/>
  <c r="U25" i="183" s="1"/>
  <c r="AO25" i="183" s="1"/>
  <c r="BA25" i="183" s="1"/>
  <c r="M26" i="183"/>
  <c r="O26" i="183" s="1"/>
  <c r="T7" i="183"/>
  <c r="O7" i="183"/>
  <c r="M11" i="183"/>
  <c r="O11" i="183" s="1"/>
  <c r="T11" i="183"/>
  <c r="U11" i="183" s="1"/>
  <c r="AO11" i="183" s="1"/>
  <c r="BA11" i="183" s="1"/>
  <c r="T15" i="183"/>
  <c r="U15" i="183" s="1"/>
  <c r="AO15" i="183" s="1"/>
  <c r="BA15" i="183" s="1"/>
  <c r="O15" i="183"/>
  <c r="O14" i="183"/>
  <c r="T29" i="183"/>
  <c r="U29" i="183" s="1"/>
  <c r="M29" i="183"/>
  <c r="M9" i="183"/>
  <c r="O9" i="183" s="1"/>
  <c r="O13" i="183"/>
  <c r="M17" i="183"/>
  <c r="O17" i="183" s="1"/>
  <c r="M24" i="183"/>
  <c r="T24" i="183" s="1"/>
  <c r="U24" i="183" s="1"/>
  <c r="AO24" i="183" s="1"/>
  <c r="BA24" i="183" s="1"/>
  <c r="O12" i="183"/>
  <c r="M16" i="183"/>
  <c r="T16" i="183" s="1"/>
  <c r="U16" i="183" s="1"/>
  <c r="AO16" i="183" s="1"/>
  <c r="BA16" i="183" s="1"/>
  <c r="P20" i="183"/>
  <c r="P28" i="183"/>
  <c r="M23" i="183"/>
  <c r="T23" i="183" s="1"/>
  <c r="F12" i="183"/>
  <c r="F30" i="183" s="1"/>
  <c r="F13" i="183"/>
  <c r="O25" i="183"/>
  <c r="O24" i="183"/>
  <c r="O29" i="183"/>
  <c r="S30" i="183"/>
  <c r="P8" i="183"/>
  <c r="N23" i="183"/>
  <c r="N30" i="183" s="1"/>
  <c r="O21" i="183"/>
  <c r="O22" i="183"/>
  <c r="L12" i="182"/>
  <c r="P13" i="182" s="1"/>
  <c r="P9" i="182"/>
  <c r="L13" i="182"/>
  <c r="AL12" i="182"/>
  <c r="AI10" i="191" s="1"/>
  <c r="M11" i="182"/>
  <c r="O11" i="182" s="1"/>
  <c r="P10" i="182"/>
  <c r="P7" i="182"/>
  <c r="AL11" i="182"/>
  <c r="AN11" i="182" s="1"/>
  <c r="AQ11" i="182" s="1"/>
  <c r="T8" i="182"/>
  <c r="U8" i="182" s="1"/>
  <c r="AO8" i="182" s="1"/>
  <c r="BA8" i="182" s="1"/>
  <c r="F7" i="182"/>
  <c r="F12" i="182" s="1"/>
  <c r="F8" i="182"/>
  <c r="W26" i="181"/>
  <c r="M33" i="181"/>
  <c r="T33" i="181" s="1"/>
  <c r="U33" i="181" s="1"/>
  <c r="M9" i="181"/>
  <c r="T9" i="181" s="1"/>
  <c r="U9" i="181" s="1"/>
  <c r="T36" i="181"/>
  <c r="U36" i="181" s="1"/>
  <c r="U8" i="181"/>
  <c r="M31" i="181"/>
  <c r="T31" i="181" s="1"/>
  <c r="U31" i="181" s="1"/>
  <c r="M22" i="181"/>
  <c r="O22" i="181" s="1"/>
  <c r="T23" i="181"/>
  <c r="U23" i="181" s="1"/>
  <c r="P38" i="181"/>
  <c r="T43" i="181"/>
  <c r="U43" i="181" s="1"/>
  <c r="M43" i="181"/>
  <c r="O44" i="181"/>
  <c r="F44" i="181"/>
  <c r="P45" i="181"/>
  <c r="F49" i="181"/>
  <c r="T50" i="181"/>
  <c r="U50" i="181" s="1"/>
  <c r="M50" i="181"/>
  <c r="P62" i="181"/>
  <c r="U70" i="181"/>
  <c r="AL71" i="181"/>
  <c r="AI9" i="191" s="1"/>
  <c r="T11" i="181"/>
  <c r="U11" i="181" s="1"/>
  <c r="P15" i="181"/>
  <c r="T19" i="181"/>
  <c r="M20" i="181"/>
  <c r="O20" i="181" s="1"/>
  <c r="P21" i="181"/>
  <c r="M23" i="181"/>
  <c r="O26" i="181"/>
  <c r="F26" i="181"/>
  <c r="T29" i="181"/>
  <c r="U29" i="181" s="1"/>
  <c r="M29" i="181"/>
  <c r="O29" i="181" s="1"/>
  <c r="M30" i="181"/>
  <c r="O30" i="181" s="1"/>
  <c r="T30" i="181"/>
  <c r="U30" i="181" s="1"/>
  <c r="O32" i="181"/>
  <c r="O33" i="181"/>
  <c r="M36" i="181"/>
  <c r="O36" i="181" s="1"/>
  <c r="O37" i="181"/>
  <c r="M41" i="181"/>
  <c r="O41" i="181" s="1"/>
  <c r="P42" i="181"/>
  <c r="O43" i="181"/>
  <c r="M49" i="181"/>
  <c r="O49" i="181" s="1"/>
  <c r="T49" i="181"/>
  <c r="U49" i="181" s="1"/>
  <c r="M61" i="181"/>
  <c r="O61" i="181" s="1"/>
  <c r="P67" i="181"/>
  <c r="P12" i="181"/>
  <c r="T37" i="181"/>
  <c r="U37" i="181" s="1"/>
  <c r="M66" i="181"/>
  <c r="T66" i="181" s="1"/>
  <c r="U66" i="181" s="1"/>
  <c r="K71" i="181"/>
  <c r="L7" i="181"/>
  <c r="O9" i="181"/>
  <c r="O11" i="181"/>
  <c r="F11" i="181"/>
  <c r="M16" i="181"/>
  <c r="T16" i="181" s="1"/>
  <c r="U16" i="181" s="1"/>
  <c r="O18" i="181"/>
  <c r="U19" i="181"/>
  <c r="O23" i="181"/>
  <c r="M40" i="181"/>
  <c r="T40" i="181" s="1"/>
  <c r="U40" i="181" s="1"/>
  <c r="M55" i="181"/>
  <c r="O55" i="181" s="1"/>
  <c r="P60" i="181"/>
  <c r="M18" i="181"/>
  <c r="T18" i="181" s="1"/>
  <c r="U18" i="181" s="1"/>
  <c r="T10" i="181"/>
  <c r="U10" i="181" s="1"/>
  <c r="O19" i="181"/>
  <c r="M25" i="181"/>
  <c r="O25" i="181" s="1"/>
  <c r="T32" i="181"/>
  <c r="U32" i="181" s="1"/>
  <c r="P34" i="181"/>
  <c r="W44" i="181"/>
  <c r="P48" i="181"/>
  <c r="P65" i="181"/>
  <c r="T14" i="181"/>
  <c r="U14" i="181" s="1"/>
  <c r="N71" i="181"/>
  <c r="D71" i="181"/>
  <c r="O8" i="181"/>
  <c r="M10" i="181"/>
  <c r="P13" i="181"/>
  <c r="O24" i="181"/>
  <c r="O35" i="181"/>
  <c r="M53" i="181"/>
  <c r="O53" i="181" s="1"/>
  <c r="T53" i="181"/>
  <c r="U53" i="181" s="1"/>
  <c r="P54" i="181"/>
  <c r="M58" i="181"/>
  <c r="O58" i="181" s="1"/>
  <c r="T58" i="181"/>
  <c r="U58" i="181" s="1"/>
  <c r="P59" i="181"/>
  <c r="T24" i="181"/>
  <c r="U24" i="181" s="1"/>
  <c r="S71" i="181"/>
  <c r="F8" i="181"/>
  <c r="F71" i="181" s="1"/>
  <c r="O10" i="181"/>
  <c r="O14" i="181"/>
  <c r="P27" i="181"/>
  <c r="P28" i="181"/>
  <c r="P46" i="181"/>
  <c r="M47" i="181"/>
  <c r="O47" i="181" s="1"/>
  <c r="T47" i="181"/>
  <c r="U47" i="181" s="1"/>
  <c r="P63" i="181"/>
  <c r="M64" i="181"/>
  <c r="O64" i="181" s="1"/>
  <c r="T64" i="181"/>
  <c r="U64" i="181" s="1"/>
  <c r="T17" i="181"/>
  <c r="U17" i="181" s="1"/>
  <c r="M17" i="181"/>
  <c r="O17" i="181" s="1"/>
  <c r="P39" i="181"/>
  <c r="O31" i="181"/>
  <c r="T35" i="181"/>
  <c r="U35" i="181" s="1"/>
  <c r="P51" i="181"/>
  <c r="P52" i="181"/>
  <c r="P68" i="181"/>
  <c r="P69" i="181"/>
  <c r="L72" i="181"/>
  <c r="F33" i="181"/>
  <c r="O56" i="181"/>
  <c r="O57" i="181"/>
  <c r="O70" i="181"/>
  <c r="I71" i="181"/>
  <c r="J71" i="181"/>
  <c r="O50" i="181"/>
  <c r="T56" i="181"/>
  <c r="U56" i="181" s="1"/>
  <c r="T57" i="181"/>
  <c r="U57" i="181" s="1"/>
  <c r="O66" i="181"/>
  <c r="T70" i="181"/>
  <c r="P13" i="180"/>
  <c r="P19" i="180"/>
  <c r="P40" i="180"/>
  <c r="M42" i="180"/>
  <c r="T42" i="180" s="1"/>
  <c r="U42" i="180" s="1"/>
  <c r="M46" i="180"/>
  <c r="T46" i="180" s="1"/>
  <c r="U46" i="180" s="1"/>
  <c r="P50" i="180"/>
  <c r="O9" i="180"/>
  <c r="P22" i="180"/>
  <c r="P26" i="180"/>
  <c r="P29" i="180"/>
  <c r="M33" i="180"/>
  <c r="T33" i="180"/>
  <c r="U33" i="180" s="1"/>
  <c r="V37" i="180"/>
  <c r="V63" i="180"/>
  <c r="V9" i="180"/>
  <c r="M12" i="180"/>
  <c r="O12" i="180" s="1"/>
  <c r="P36" i="180"/>
  <c r="P18" i="180"/>
  <c r="O21" i="180"/>
  <c r="P32" i="180"/>
  <c r="P39" i="180"/>
  <c r="V49" i="180"/>
  <c r="P11" i="180"/>
  <c r="V21" i="180"/>
  <c r="T25" i="180"/>
  <c r="U25" i="180" s="1"/>
  <c r="M25" i="180"/>
  <c r="O25" i="180" s="1"/>
  <c r="M28" i="180"/>
  <c r="T28" i="180" s="1"/>
  <c r="U28" i="180" s="1"/>
  <c r="P31" i="180"/>
  <c r="P44" i="180"/>
  <c r="M48" i="180"/>
  <c r="O48" i="180" s="1"/>
  <c r="P20" i="180"/>
  <c r="M35" i="180"/>
  <c r="O35" i="180" s="1"/>
  <c r="P51" i="180"/>
  <c r="M45" i="180"/>
  <c r="T45" i="180"/>
  <c r="U45" i="180" s="1"/>
  <c r="M14" i="180"/>
  <c r="T14" i="180" s="1"/>
  <c r="U14" i="180" s="1"/>
  <c r="P16" i="180"/>
  <c r="V17" i="180"/>
  <c r="P23" i="180"/>
  <c r="O37" i="180"/>
  <c r="P38" i="180"/>
  <c r="P43" i="180"/>
  <c r="M47" i="180"/>
  <c r="O47" i="180" s="1"/>
  <c r="P10" i="180"/>
  <c r="M27" i="180"/>
  <c r="T27" i="180"/>
  <c r="U27" i="180" s="1"/>
  <c r="M30" i="180"/>
  <c r="O30" i="180" s="1"/>
  <c r="M34" i="180"/>
  <c r="T34" i="180" s="1"/>
  <c r="U34" i="180" s="1"/>
  <c r="P41" i="180"/>
  <c r="P54" i="180"/>
  <c r="P112" i="180"/>
  <c r="M15" i="180"/>
  <c r="O15" i="180" s="1"/>
  <c r="M57" i="180"/>
  <c r="T57" i="180" s="1"/>
  <c r="U57" i="180" s="1"/>
  <c r="M66" i="180"/>
  <c r="O66" i="180" s="1"/>
  <c r="T70" i="180"/>
  <c r="M72" i="180"/>
  <c r="O72" i="180" s="1"/>
  <c r="M73" i="180"/>
  <c r="O73" i="180" s="1"/>
  <c r="W92" i="180"/>
  <c r="W93" i="180" s="1"/>
  <c r="W117" i="180" s="1"/>
  <c r="U8" i="191" s="1"/>
  <c r="M104" i="180"/>
  <c r="T104" i="180" s="1"/>
  <c r="U104" i="180" s="1"/>
  <c r="M106" i="180"/>
  <c r="T106" i="180" s="1"/>
  <c r="U106" i="180" s="1"/>
  <c r="P113" i="180"/>
  <c r="M62" i="180"/>
  <c r="O62" i="180" s="1"/>
  <c r="M8" i="180"/>
  <c r="O8" i="180" s="1"/>
  <c r="N93" i="180"/>
  <c r="N117" i="180" s="1"/>
  <c r="L8" i="191" s="1"/>
  <c r="AL93" i="180"/>
  <c r="O14" i="180"/>
  <c r="F28" i="180"/>
  <c r="O70" i="180"/>
  <c r="P71" i="180"/>
  <c r="M78" i="180"/>
  <c r="O78" i="180" s="1"/>
  <c r="M83" i="180"/>
  <c r="T83" i="180"/>
  <c r="U83" i="180" s="1"/>
  <c r="M84" i="180"/>
  <c r="O84" i="180" s="1"/>
  <c r="M88" i="180"/>
  <c r="O88" i="180" s="1"/>
  <c r="Q117" i="180"/>
  <c r="O8" i="191" s="1"/>
  <c r="O104" i="180"/>
  <c r="M105" i="180"/>
  <c r="O105" i="180" s="1"/>
  <c r="P101" i="180"/>
  <c r="P102" i="180"/>
  <c r="P7" i="180"/>
  <c r="AX117" i="180"/>
  <c r="AU8" i="191" s="1"/>
  <c r="AU19" i="191" s="1"/>
  <c r="F37" i="180"/>
  <c r="F93" i="180" s="1"/>
  <c r="T52" i="180"/>
  <c r="U52" i="180" s="1"/>
  <c r="P53" i="180"/>
  <c r="O63" i="180"/>
  <c r="P69" i="180"/>
  <c r="U70" i="180"/>
  <c r="P81" i="180"/>
  <c r="M82" i="180"/>
  <c r="O82" i="180" s="1"/>
  <c r="O83" i="180"/>
  <c r="AL115" i="180"/>
  <c r="T103" i="180"/>
  <c r="U103" i="180" s="1"/>
  <c r="P108" i="180"/>
  <c r="M65" i="180"/>
  <c r="T65" i="180" s="1"/>
  <c r="U65" i="180" s="1"/>
  <c r="O34" i="180"/>
  <c r="O46" i="180"/>
  <c r="P60" i="180"/>
  <c r="M61" i="180"/>
  <c r="O61" i="180" s="1"/>
  <c r="P68" i="180"/>
  <c r="P75" i="180"/>
  <c r="P76" i="180"/>
  <c r="G117" i="180"/>
  <c r="E8" i="191" s="1"/>
  <c r="E19" i="191" s="1"/>
  <c r="P100" i="180"/>
  <c r="M110" i="180"/>
  <c r="O110" i="180" s="1"/>
  <c r="AB117" i="180"/>
  <c r="AJ117" i="180"/>
  <c r="AG8" i="191" s="1"/>
  <c r="AG19" i="191" s="1"/>
  <c r="P64" i="180"/>
  <c r="P80" i="180"/>
  <c r="P86" i="180"/>
  <c r="K115" i="180"/>
  <c r="M98" i="180"/>
  <c r="T98" i="180" s="1"/>
  <c r="U98" i="180" s="1"/>
  <c r="O106" i="180"/>
  <c r="P107" i="180"/>
  <c r="M109" i="180"/>
  <c r="T109" i="180" s="1"/>
  <c r="U109" i="180" s="1"/>
  <c r="M111" i="180"/>
  <c r="T111" i="180" s="1"/>
  <c r="U111" i="180" s="1"/>
  <c r="V58" i="180"/>
  <c r="M77" i="180"/>
  <c r="O77" i="180" s="1"/>
  <c r="M87" i="180"/>
  <c r="O87" i="180" s="1"/>
  <c r="T87" i="180"/>
  <c r="U87" i="180" s="1"/>
  <c r="K93" i="180"/>
  <c r="S24" i="180"/>
  <c r="M24" i="180" s="1"/>
  <c r="O27" i="180"/>
  <c r="O33" i="180"/>
  <c r="O45" i="180"/>
  <c r="P59" i="180"/>
  <c r="P74" i="180"/>
  <c r="P79" i="180"/>
  <c r="P85" i="180"/>
  <c r="P89" i="180"/>
  <c r="L115" i="180"/>
  <c r="L117" i="180" s="1"/>
  <c r="J8" i="191" s="1"/>
  <c r="P97" i="180"/>
  <c r="O98" i="180"/>
  <c r="AM98" i="180" s="1"/>
  <c r="AU98" i="180" s="1"/>
  <c r="M99" i="180"/>
  <c r="O99" i="180" s="1"/>
  <c r="AM99" i="180" s="1"/>
  <c r="D117" i="180"/>
  <c r="B8" i="191" s="1"/>
  <c r="O109" i="180"/>
  <c r="M55" i="180"/>
  <c r="O55" i="180" s="1"/>
  <c r="M56" i="180"/>
  <c r="O56" i="180" s="1"/>
  <c r="O65" i="180"/>
  <c r="M67" i="180"/>
  <c r="O67" i="180" s="1"/>
  <c r="P114" i="180"/>
  <c r="R117" i="180"/>
  <c r="P8" i="191" s="1"/>
  <c r="P19" i="191" s="1"/>
  <c r="P96" i="180"/>
  <c r="V90" i="180"/>
  <c r="V91" i="180"/>
  <c r="S96" i="180"/>
  <c r="S115" i="180" s="1"/>
  <c r="F106" i="180"/>
  <c r="F115" i="180" s="1"/>
  <c r="P15" i="179"/>
  <c r="T25" i="179"/>
  <c r="U25" i="179" s="1"/>
  <c r="AO25" i="179" s="1"/>
  <c r="AZ25" i="179" s="1"/>
  <c r="M25" i="179"/>
  <c r="V88" i="179"/>
  <c r="M93" i="179"/>
  <c r="T93" i="179" s="1"/>
  <c r="U93" i="179" s="1"/>
  <c r="AO93" i="179" s="1"/>
  <c r="AZ93" i="179" s="1"/>
  <c r="V94" i="179"/>
  <c r="L105" i="179"/>
  <c r="J7" i="191" s="1"/>
  <c r="P7" i="179"/>
  <c r="P24" i="179"/>
  <c r="P30" i="179"/>
  <c r="P29" i="179"/>
  <c r="P10" i="179"/>
  <c r="P18" i="179"/>
  <c r="P23" i="179"/>
  <c r="P14" i="179"/>
  <c r="P17" i="179"/>
  <c r="M65" i="179"/>
  <c r="O65" i="179" s="1"/>
  <c r="P9" i="179"/>
  <c r="P22" i="179"/>
  <c r="M8" i="179"/>
  <c r="O8" i="179" s="1"/>
  <c r="P12" i="179"/>
  <c r="P16" i="179"/>
  <c r="P21" i="179"/>
  <c r="P66" i="179"/>
  <c r="P95" i="179"/>
  <c r="P58" i="179"/>
  <c r="P82" i="179"/>
  <c r="T91" i="179"/>
  <c r="U91" i="179" s="1"/>
  <c r="AO91" i="179" s="1"/>
  <c r="AZ91" i="179" s="1"/>
  <c r="M91" i="179"/>
  <c r="O25" i="179"/>
  <c r="M59" i="179"/>
  <c r="O59" i="179" s="1"/>
  <c r="S60" i="179"/>
  <c r="S105" i="179" s="1"/>
  <c r="Q7" i="191" s="1"/>
  <c r="Q105" i="179"/>
  <c r="O7" i="191" s="1"/>
  <c r="P64" i="179"/>
  <c r="V97" i="179"/>
  <c r="V102" i="179"/>
  <c r="V103" i="179"/>
  <c r="V35" i="179"/>
  <c r="F42" i="179"/>
  <c r="P74" i="179"/>
  <c r="M92" i="179"/>
  <c r="O92" i="179" s="1"/>
  <c r="T13" i="179"/>
  <c r="U13" i="179" s="1"/>
  <c r="AO13" i="179" s="1"/>
  <c r="AZ13" i="179" s="1"/>
  <c r="T19" i="179"/>
  <c r="U19" i="179" s="1"/>
  <c r="AO19" i="179" s="1"/>
  <c r="AZ19" i="179" s="1"/>
  <c r="T20" i="179"/>
  <c r="U20" i="179" s="1"/>
  <c r="AO20" i="179" s="1"/>
  <c r="AZ20" i="179" s="1"/>
  <c r="T26" i="179"/>
  <c r="U26" i="179" s="1"/>
  <c r="AO26" i="179" s="1"/>
  <c r="AZ26" i="179" s="1"/>
  <c r="T27" i="179"/>
  <c r="U27" i="179" s="1"/>
  <c r="AO27" i="179" s="1"/>
  <c r="AZ27" i="179" s="1"/>
  <c r="T28" i="179"/>
  <c r="U28" i="179" s="1"/>
  <c r="AO28" i="179" s="1"/>
  <c r="AZ28" i="179" s="1"/>
  <c r="P50" i="179"/>
  <c r="P57" i="179"/>
  <c r="P73" i="179"/>
  <c r="P81" i="179"/>
  <c r="O88" i="179"/>
  <c r="P90" i="179"/>
  <c r="V101" i="179"/>
  <c r="M42" i="179"/>
  <c r="O42" i="179" s="1"/>
  <c r="M83" i="179"/>
  <c r="O83" i="179" s="1"/>
  <c r="P11" i="179"/>
  <c r="P40" i="179"/>
  <c r="M41" i="179"/>
  <c r="T41" i="179" s="1"/>
  <c r="U41" i="179" s="1"/>
  <c r="AO41" i="179" s="1"/>
  <c r="AZ41" i="179" s="1"/>
  <c r="P48" i="179"/>
  <c r="M63" i="179"/>
  <c r="T63" i="179" s="1"/>
  <c r="U63" i="179" s="1"/>
  <c r="AO63" i="179" s="1"/>
  <c r="AZ63" i="179" s="1"/>
  <c r="U80" i="179"/>
  <c r="AO80" i="179" s="1"/>
  <c r="AZ80" i="179" s="1"/>
  <c r="M86" i="179"/>
  <c r="O86" i="179" s="1"/>
  <c r="P87" i="179"/>
  <c r="M89" i="179"/>
  <c r="T89" i="179" s="1"/>
  <c r="U89" i="179" s="1"/>
  <c r="AO89" i="179" s="1"/>
  <c r="AZ89" i="179" s="1"/>
  <c r="P52" i="179"/>
  <c r="F8" i="179"/>
  <c r="P60" i="179"/>
  <c r="N105" i="179"/>
  <c r="L7" i="191" s="1"/>
  <c r="P31" i="179"/>
  <c r="P37" i="179"/>
  <c r="P38" i="179"/>
  <c r="T47" i="179"/>
  <c r="U47" i="179" s="1"/>
  <c r="AO47" i="179" s="1"/>
  <c r="AZ47" i="179" s="1"/>
  <c r="M47" i="179"/>
  <c r="M49" i="179"/>
  <c r="O49" i="179" s="1"/>
  <c r="P56" i="179"/>
  <c r="P62" i="179"/>
  <c r="P69" i="179"/>
  <c r="M70" i="179"/>
  <c r="T70" i="179" s="1"/>
  <c r="U70" i="179" s="1"/>
  <c r="AO70" i="179" s="1"/>
  <c r="AZ70" i="179" s="1"/>
  <c r="M71" i="179"/>
  <c r="T71" i="179" s="1"/>
  <c r="U71" i="179" s="1"/>
  <c r="AO71" i="179" s="1"/>
  <c r="AZ71" i="179" s="1"/>
  <c r="P72" i="179"/>
  <c r="P79" i="179"/>
  <c r="P84" i="179"/>
  <c r="M84" i="179" s="1"/>
  <c r="O84" i="179" s="1"/>
  <c r="M51" i="179"/>
  <c r="O51" i="179" s="1"/>
  <c r="V84" i="179"/>
  <c r="K105" i="179"/>
  <c r="T32" i="179"/>
  <c r="U32" i="179" s="1"/>
  <c r="AO32" i="179" s="1"/>
  <c r="AZ32" i="179" s="1"/>
  <c r="M32" i="179"/>
  <c r="O32" i="179" s="1"/>
  <c r="M33" i="179"/>
  <c r="T33" i="179" s="1"/>
  <c r="U33" i="179" s="1"/>
  <c r="AO33" i="179" s="1"/>
  <c r="AZ33" i="179" s="1"/>
  <c r="P68" i="179"/>
  <c r="P85" i="179"/>
  <c r="V100" i="179"/>
  <c r="O93" i="179"/>
  <c r="F7" i="179"/>
  <c r="F105" i="179" s="1"/>
  <c r="D7" i="191" s="1"/>
  <c r="V104" i="179"/>
  <c r="P106" i="179"/>
  <c r="U36" i="179"/>
  <c r="AO36" i="179" s="1"/>
  <c r="AZ36" i="179" s="1"/>
  <c r="P44" i="179"/>
  <c r="P45" i="179"/>
  <c r="P46" i="179"/>
  <c r="P53" i="179"/>
  <c r="M54" i="179"/>
  <c r="O54" i="179" s="1"/>
  <c r="P55" i="179"/>
  <c r="P61" i="179"/>
  <c r="P67" i="179"/>
  <c r="P75" i="179"/>
  <c r="P76" i="179"/>
  <c r="P77" i="179"/>
  <c r="M78" i="179"/>
  <c r="O78" i="179" s="1"/>
  <c r="T98" i="179"/>
  <c r="U98" i="179" s="1"/>
  <c r="AO98" i="179" s="1"/>
  <c r="AZ98" i="179" s="1"/>
  <c r="P34" i="179"/>
  <c r="O41" i="179"/>
  <c r="P43" i="179"/>
  <c r="M39" i="179"/>
  <c r="O39" i="179" s="1"/>
  <c r="F63" i="179"/>
  <c r="O96" i="179"/>
  <c r="O47" i="179"/>
  <c r="O70" i="179"/>
  <c r="O91" i="179"/>
  <c r="BD17" i="191" l="1"/>
  <c r="BB17" i="191"/>
  <c r="AD19" i="191"/>
  <c r="AL17" i="190"/>
  <c r="AI18" i="191" s="1"/>
  <c r="AN8" i="190"/>
  <c r="AZ11" i="189"/>
  <c r="AZ24" i="189" s="1"/>
  <c r="AW17" i="191" s="1"/>
  <c r="AO24" i="189"/>
  <c r="AL17" i="191" s="1"/>
  <c r="O23" i="183"/>
  <c r="AO96" i="179"/>
  <c r="AZ96" i="179" s="1"/>
  <c r="V96" i="179"/>
  <c r="O19" i="191"/>
  <c r="J19" i="191"/>
  <c r="N20" i="191" s="1"/>
  <c r="AN66" i="179"/>
  <c r="AI7" i="191"/>
  <c r="O71" i="179"/>
  <c r="O63" i="179"/>
  <c r="L106" i="179"/>
  <c r="I7" i="191"/>
  <c r="T42" i="179"/>
  <c r="U42" i="179" s="1"/>
  <c r="AO42" i="179" s="1"/>
  <c r="AZ42" i="179" s="1"/>
  <c r="AN99" i="180"/>
  <c r="AU99" i="180"/>
  <c r="T77" i="180"/>
  <c r="U77" i="180" s="1"/>
  <c r="O42" i="180"/>
  <c r="T105" i="180"/>
  <c r="U105" i="180" s="1"/>
  <c r="AO105" i="180" s="1"/>
  <c r="AZ105" i="180" s="1"/>
  <c r="T72" i="180"/>
  <c r="U72" i="180" s="1"/>
  <c r="T55" i="180"/>
  <c r="U55" i="180" s="1"/>
  <c r="T62" i="180"/>
  <c r="U62" i="180" s="1"/>
  <c r="AL117" i="180"/>
  <c r="AI8" i="191" s="1"/>
  <c r="AK121" i="180"/>
  <c r="AH8" i="191"/>
  <c r="AH19" i="191" s="1"/>
  <c r="O17" i="180"/>
  <c r="T88" i="180"/>
  <c r="U88" i="180" s="1"/>
  <c r="T11" i="182"/>
  <c r="U11" i="182" s="1"/>
  <c r="AO11" i="182" s="1"/>
  <c r="BA11" i="182" s="1"/>
  <c r="AN12" i="182"/>
  <c r="AK10" i="191" s="1"/>
  <c r="AQ12" i="182"/>
  <c r="AN10" i="191" s="1"/>
  <c r="T25" i="186"/>
  <c r="U25" i="186" s="1"/>
  <c r="AO25" i="186" s="1"/>
  <c r="BA25" i="186" s="1"/>
  <c r="AQ7" i="186"/>
  <c r="AQ26" i="186" s="1"/>
  <c r="AN14" i="191" s="1"/>
  <c r="AN26" i="186"/>
  <c r="AK14" i="191" s="1"/>
  <c r="AO23" i="185"/>
  <c r="BA23" i="185" s="1"/>
  <c r="O17" i="185"/>
  <c r="O9" i="185"/>
  <c r="O8" i="185"/>
  <c r="O20" i="185"/>
  <c r="T31" i="185"/>
  <c r="U31" i="185" s="1"/>
  <c r="AO31" i="185" s="1"/>
  <c r="BA31" i="185" s="1"/>
  <c r="AL49" i="185"/>
  <c r="AQ19" i="185"/>
  <c r="AQ49" i="185" s="1"/>
  <c r="AN49" i="185"/>
  <c r="AO106" i="180"/>
  <c r="AZ106" i="180" s="1"/>
  <c r="AP99" i="180"/>
  <c r="AO14" i="180"/>
  <c r="AZ14" i="180" s="1"/>
  <c r="AO111" i="180"/>
  <c r="AZ111" i="180" s="1"/>
  <c r="AO70" i="180"/>
  <c r="AZ70" i="180" s="1"/>
  <c r="T84" i="180"/>
  <c r="U84" i="180" s="1"/>
  <c r="V84" i="180" s="1"/>
  <c r="AO49" i="180"/>
  <c r="AZ49" i="180" s="1"/>
  <c r="AO55" i="180"/>
  <c r="AZ55" i="180" s="1"/>
  <c r="AO77" i="180"/>
  <c r="AZ77" i="180" s="1"/>
  <c r="AO25" i="180"/>
  <c r="AZ25" i="180" s="1"/>
  <c r="AP93" i="180"/>
  <c r="AO104" i="180"/>
  <c r="AZ104" i="180" s="1"/>
  <c r="AO57" i="180"/>
  <c r="AZ57" i="180" s="1"/>
  <c r="O49" i="180"/>
  <c r="AO27" i="180"/>
  <c r="AZ27" i="180" s="1"/>
  <c r="AO58" i="180"/>
  <c r="AZ58" i="180" s="1"/>
  <c r="O111" i="180"/>
  <c r="AO83" i="180"/>
  <c r="AZ83" i="180" s="1"/>
  <c r="AO52" i="180"/>
  <c r="AZ52" i="180" s="1"/>
  <c r="T78" i="180"/>
  <c r="U78" i="180" s="1"/>
  <c r="T73" i="180"/>
  <c r="U73" i="180" s="1"/>
  <c r="V73" i="180" s="1"/>
  <c r="AO103" i="180"/>
  <c r="AZ103" i="180" s="1"/>
  <c r="AO17" i="180"/>
  <c r="AZ17" i="180" s="1"/>
  <c r="AO62" i="180"/>
  <c r="AZ62" i="180" s="1"/>
  <c r="AO46" i="180"/>
  <c r="AZ46" i="180" s="1"/>
  <c r="AO109" i="180"/>
  <c r="AZ109" i="180" s="1"/>
  <c r="AO88" i="180"/>
  <c r="AZ88" i="180" s="1"/>
  <c r="AO72" i="180"/>
  <c r="AZ72" i="180" s="1"/>
  <c r="AO45" i="180"/>
  <c r="AZ45" i="180" s="1"/>
  <c r="AO33" i="180"/>
  <c r="AZ33" i="180" s="1"/>
  <c r="AO42" i="180"/>
  <c r="AZ42" i="180" s="1"/>
  <c r="AO87" i="180"/>
  <c r="AZ87" i="180" s="1"/>
  <c r="S93" i="180"/>
  <c r="S117" i="180" s="1"/>
  <c r="Q8" i="191" s="1"/>
  <c r="Q19" i="191" s="1"/>
  <c r="AO65" i="180"/>
  <c r="AZ65" i="180" s="1"/>
  <c r="AO34" i="180"/>
  <c r="AZ34" i="180" s="1"/>
  <c r="AO28" i="180"/>
  <c r="AZ28" i="180" s="1"/>
  <c r="AN98" i="180"/>
  <c r="AP98" i="180" s="1"/>
  <c r="F117" i="180"/>
  <c r="D8" i="191" s="1"/>
  <c r="K117" i="180"/>
  <c r="V8" i="190"/>
  <c r="T11" i="190"/>
  <c r="U11" i="190" s="1"/>
  <c r="V9" i="190"/>
  <c r="M12" i="190"/>
  <c r="O12" i="190" s="1"/>
  <c r="M15" i="190"/>
  <c r="O15" i="190" s="1"/>
  <c r="T15" i="190"/>
  <c r="U15" i="190" s="1"/>
  <c r="P17" i="190"/>
  <c r="T7" i="190"/>
  <c r="M7" i="190"/>
  <c r="V14" i="190"/>
  <c r="M16" i="190"/>
  <c r="O16" i="190" s="1"/>
  <c r="T16" i="190"/>
  <c r="U16" i="190" s="1"/>
  <c r="M10" i="190"/>
  <c r="O10" i="190" s="1"/>
  <c r="T10" i="190"/>
  <c r="U10" i="190" s="1"/>
  <c r="V13" i="190"/>
  <c r="V18" i="189"/>
  <c r="V8" i="189"/>
  <c r="V22" i="189"/>
  <c r="T13" i="189"/>
  <c r="U13" i="189" s="1"/>
  <c r="T11" i="189"/>
  <c r="U11" i="189" s="1"/>
  <c r="M19" i="189"/>
  <c r="O19" i="189" s="1"/>
  <c r="O7" i="189"/>
  <c r="M20" i="189"/>
  <c r="O20" i="189" s="1"/>
  <c r="V21" i="189"/>
  <c r="U7" i="189"/>
  <c r="V12" i="189"/>
  <c r="M15" i="189"/>
  <c r="O15" i="189" s="1"/>
  <c r="M16" i="189"/>
  <c r="O16" i="189" s="1"/>
  <c r="T17" i="189"/>
  <c r="U17" i="189" s="1"/>
  <c r="M17" i="189"/>
  <c r="O17" i="189" s="1"/>
  <c r="V9" i="189"/>
  <c r="V10" i="189"/>
  <c r="M23" i="189"/>
  <c r="O23" i="189" s="1"/>
  <c r="M14" i="189"/>
  <c r="O14" i="189" s="1"/>
  <c r="V9" i="188"/>
  <c r="P15" i="188"/>
  <c r="M7" i="188"/>
  <c r="T7" i="188" s="1"/>
  <c r="W12" i="188"/>
  <c r="M10" i="188"/>
  <c r="O10" i="188" s="1"/>
  <c r="T10" i="188"/>
  <c r="U10" i="188" s="1"/>
  <c r="M14" i="188"/>
  <c r="O14" i="188" s="1"/>
  <c r="W8" i="188"/>
  <c r="T13" i="188"/>
  <c r="U13" i="188" s="1"/>
  <c r="M11" i="188"/>
  <c r="O11" i="188" s="1"/>
  <c r="V14" i="187"/>
  <c r="V13" i="187"/>
  <c r="V11" i="187"/>
  <c r="V10" i="187"/>
  <c r="M19" i="187"/>
  <c r="O19" i="187" s="1"/>
  <c r="M8" i="187"/>
  <c r="O8" i="187" s="1"/>
  <c r="M9" i="187"/>
  <c r="O9" i="187" s="1"/>
  <c r="T18" i="187"/>
  <c r="U18" i="187" s="1"/>
  <c r="T12" i="187"/>
  <c r="U12" i="187" s="1"/>
  <c r="M15" i="187"/>
  <c r="O15" i="187" s="1"/>
  <c r="T15" i="187"/>
  <c r="U15" i="187" s="1"/>
  <c r="T7" i="187"/>
  <c r="M16" i="187"/>
  <c r="O16" i="187" s="1"/>
  <c r="O7" i="187"/>
  <c r="O20" i="187" s="1"/>
  <c r="M17" i="187"/>
  <c r="O17" i="187" s="1"/>
  <c r="P20" i="187"/>
  <c r="W9" i="186"/>
  <c r="W14" i="186"/>
  <c r="W10" i="186"/>
  <c r="W19" i="186"/>
  <c r="W15" i="186"/>
  <c r="W12" i="186"/>
  <c r="T23" i="186"/>
  <c r="U23" i="186" s="1"/>
  <c r="AO23" i="186" s="1"/>
  <c r="BA23" i="186" s="1"/>
  <c r="M20" i="186"/>
  <c r="O20" i="186" s="1"/>
  <c r="O10" i="186"/>
  <c r="W18" i="186"/>
  <c r="T13" i="186"/>
  <c r="U13" i="186" s="1"/>
  <c r="AO13" i="186" s="1"/>
  <c r="BA13" i="186" s="1"/>
  <c r="W21" i="186"/>
  <c r="T22" i="186"/>
  <c r="U22" i="186" s="1"/>
  <c r="AO22" i="186" s="1"/>
  <c r="BA22" i="186" s="1"/>
  <c r="O15" i="186"/>
  <c r="T16" i="186"/>
  <c r="U16" i="186" s="1"/>
  <c r="AO16" i="186" s="1"/>
  <c r="BA16" i="186" s="1"/>
  <c r="M16" i="186"/>
  <c r="O16" i="186" s="1"/>
  <c r="M24" i="186"/>
  <c r="O24" i="186" s="1"/>
  <c r="W17" i="186"/>
  <c r="W25" i="186"/>
  <c r="M11" i="186"/>
  <c r="O11" i="186" s="1"/>
  <c r="W8" i="186"/>
  <c r="O9" i="186"/>
  <c r="P26" i="186"/>
  <c r="M7" i="186"/>
  <c r="T7" i="186" s="1"/>
  <c r="V34" i="185"/>
  <c r="W32" i="185"/>
  <c r="W11" i="185"/>
  <c r="V39" i="185"/>
  <c r="W23" i="185"/>
  <c r="W20" i="185"/>
  <c r="W41" i="185"/>
  <c r="W25" i="185"/>
  <c r="V14" i="185"/>
  <c r="W14" i="185" s="1"/>
  <c r="W29" i="185"/>
  <c r="V17" i="185"/>
  <c r="V8" i="185"/>
  <c r="W9" i="185"/>
  <c r="M48" i="185"/>
  <c r="O48" i="185" s="1"/>
  <c r="W28" i="185"/>
  <c r="W45" i="185"/>
  <c r="M42" i="185"/>
  <c r="O42" i="185" s="1"/>
  <c r="W15" i="185"/>
  <c r="M46" i="185"/>
  <c r="O46" i="185" s="1"/>
  <c r="O39" i="185"/>
  <c r="T16" i="185"/>
  <c r="U16" i="185" s="1"/>
  <c r="AO16" i="185" s="1"/>
  <c r="BA16" i="185" s="1"/>
  <c r="M35" i="185"/>
  <c r="O35" i="185" s="1"/>
  <c r="T36" i="185"/>
  <c r="U36" i="185" s="1"/>
  <c r="AO36" i="185" s="1"/>
  <c r="BA36" i="185" s="1"/>
  <c r="M37" i="185"/>
  <c r="O37" i="185" s="1"/>
  <c r="W40" i="185"/>
  <c r="M38" i="185"/>
  <c r="O38" i="185" s="1"/>
  <c r="W26" i="185"/>
  <c r="W31" i="185"/>
  <c r="O7" i="185"/>
  <c r="M49" i="185"/>
  <c r="T19" i="185"/>
  <c r="U19" i="185" s="1"/>
  <c r="AO19" i="185" s="1"/>
  <c r="BA19" i="185" s="1"/>
  <c r="M19" i="185"/>
  <c r="O19" i="185" s="1"/>
  <c r="T7" i="185"/>
  <c r="T43" i="185"/>
  <c r="U43" i="185" s="1"/>
  <c r="AO43" i="185" s="1"/>
  <c r="BA43" i="185" s="1"/>
  <c r="M30" i="185"/>
  <c r="O30" i="185" s="1"/>
  <c r="W33" i="185"/>
  <c r="M44" i="185"/>
  <c r="O44" i="185" s="1"/>
  <c r="O29" i="185"/>
  <c r="M22" i="185"/>
  <c r="O22" i="185" s="1"/>
  <c r="V21" i="185"/>
  <c r="O41" i="185"/>
  <c r="W27" i="185"/>
  <c r="T47" i="185"/>
  <c r="U47" i="185" s="1"/>
  <c r="AO47" i="185" s="1"/>
  <c r="BA47" i="185" s="1"/>
  <c r="M18" i="185"/>
  <c r="O18" i="185" s="1"/>
  <c r="W24" i="185"/>
  <c r="O34" i="185"/>
  <c r="M12" i="185"/>
  <c r="O12" i="185" s="1"/>
  <c r="M10" i="185"/>
  <c r="O10" i="185" s="1"/>
  <c r="P49" i="185"/>
  <c r="W11" i="184"/>
  <c r="M13" i="184"/>
  <c r="O13" i="184" s="1"/>
  <c r="T13" i="184"/>
  <c r="U13" i="184" s="1"/>
  <c r="P17" i="184"/>
  <c r="T7" i="184"/>
  <c r="M7" i="184"/>
  <c r="M16" i="184"/>
  <c r="O16" i="184" s="1"/>
  <c r="T16" i="184"/>
  <c r="U16" i="184" s="1"/>
  <c r="M10" i="184"/>
  <c r="O10" i="184" s="1"/>
  <c r="T12" i="184"/>
  <c r="U12" i="184" s="1"/>
  <c r="T8" i="184"/>
  <c r="U8" i="184" s="1"/>
  <c r="M8" i="184"/>
  <c r="O8" i="184" s="1"/>
  <c r="P14" i="184"/>
  <c r="M14" i="184" s="1"/>
  <c r="O14" i="184"/>
  <c r="W16" i="183"/>
  <c r="W25" i="183"/>
  <c r="W24" i="183"/>
  <c r="W12" i="183"/>
  <c r="O16" i="183"/>
  <c r="M20" i="183"/>
  <c r="O20" i="183" s="1"/>
  <c r="T17" i="183"/>
  <c r="U17" i="183" s="1"/>
  <c r="AO17" i="183" s="1"/>
  <c r="BA17" i="183" s="1"/>
  <c r="T26" i="183"/>
  <c r="U26" i="183" s="1"/>
  <c r="U23" i="183"/>
  <c r="AO23" i="183" s="1"/>
  <c r="BA23" i="183" s="1"/>
  <c r="M10" i="183"/>
  <c r="O10" i="183" s="1"/>
  <c r="P30" i="183"/>
  <c r="M8" i="183"/>
  <c r="T9" i="183"/>
  <c r="U9" i="183" s="1"/>
  <c r="AO9" i="183" s="1"/>
  <c r="BA9" i="183" s="1"/>
  <c r="W15" i="183"/>
  <c r="T27" i="183"/>
  <c r="U27" i="183" s="1"/>
  <c r="U7" i="183"/>
  <c r="AO7" i="183" s="1"/>
  <c r="BA7" i="183" s="1"/>
  <c r="W11" i="183"/>
  <c r="W29" i="183"/>
  <c r="W21" i="183"/>
  <c r="W22" i="183"/>
  <c r="T28" i="183"/>
  <c r="U28" i="183" s="1"/>
  <c r="M28" i="183"/>
  <c r="O28" i="183" s="1"/>
  <c r="T18" i="183"/>
  <c r="U18" i="183" s="1"/>
  <c r="AO18" i="183" s="1"/>
  <c r="BA18" i="183" s="1"/>
  <c r="T19" i="183"/>
  <c r="U19" i="183" s="1"/>
  <c r="AO19" i="183" s="1"/>
  <c r="BA19" i="183" s="1"/>
  <c r="W11" i="182"/>
  <c r="W8" i="182"/>
  <c r="M7" i="182"/>
  <c r="T7" i="182"/>
  <c r="P12" i="182"/>
  <c r="M9" i="182"/>
  <c r="O9" i="182" s="1"/>
  <c r="M10" i="182"/>
  <c r="O10" i="182" s="1"/>
  <c r="W14" i="181"/>
  <c r="W18" i="181"/>
  <c r="V16" i="181"/>
  <c r="W31" i="181"/>
  <c r="V57" i="181"/>
  <c r="W57" i="181" s="1"/>
  <c r="W9" i="181"/>
  <c r="W66" i="181"/>
  <c r="W56" i="181"/>
  <c r="W33" i="181"/>
  <c r="W40" i="181"/>
  <c r="W53" i="181"/>
  <c r="T46" i="181"/>
  <c r="U46" i="181" s="1"/>
  <c r="M46" i="181"/>
  <c r="O46" i="181" s="1"/>
  <c r="M48" i="181"/>
  <c r="O48" i="181" s="1"/>
  <c r="T48" i="181"/>
  <c r="U48" i="181" s="1"/>
  <c r="V36" i="181"/>
  <c r="W36" i="181" s="1"/>
  <c r="W35" i="181"/>
  <c r="M59" i="181"/>
  <c r="O59" i="181" s="1"/>
  <c r="T59" i="181"/>
  <c r="U59" i="181" s="1"/>
  <c r="T55" i="181"/>
  <c r="U55" i="181" s="1"/>
  <c r="W19" i="181"/>
  <c r="M67" i="181"/>
  <c r="O67" i="181" s="1"/>
  <c r="T41" i="181"/>
  <c r="U41" i="181" s="1"/>
  <c r="T20" i="181"/>
  <c r="U20" i="181" s="1"/>
  <c r="T22" i="181"/>
  <c r="U22" i="181" s="1"/>
  <c r="M42" i="181"/>
  <c r="O42" i="181" s="1"/>
  <c r="M69" i="181"/>
  <c r="O69" i="181" s="1"/>
  <c r="M28" i="181"/>
  <c r="O28" i="181" s="1"/>
  <c r="W58" i="181"/>
  <c r="O40" i="181"/>
  <c r="W10" i="181"/>
  <c r="P7" i="181"/>
  <c r="L71" i="181"/>
  <c r="P72" i="181" s="1"/>
  <c r="W29" i="181"/>
  <c r="M62" i="181"/>
  <c r="O62" i="181" s="1"/>
  <c r="O16" i="181"/>
  <c r="W17" i="181"/>
  <c r="M60" i="181"/>
  <c r="O60" i="181" s="1"/>
  <c r="T60" i="181"/>
  <c r="U60" i="181" s="1"/>
  <c r="M12" i="181"/>
  <c r="O12" i="181" s="1"/>
  <c r="W8" i="181"/>
  <c r="M51" i="181"/>
  <c r="O51" i="181" s="1"/>
  <c r="M45" i="181"/>
  <c r="O45" i="181" s="1"/>
  <c r="T63" i="181"/>
  <c r="U63" i="181" s="1"/>
  <c r="M63" i="181"/>
  <c r="O63" i="181" s="1"/>
  <c r="M27" i="181"/>
  <c r="O27" i="181" s="1"/>
  <c r="M65" i="181"/>
  <c r="O65" i="181" s="1"/>
  <c r="T65" i="181"/>
  <c r="U65" i="181" s="1"/>
  <c r="T61" i="181"/>
  <c r="U61" i="181" s="1"/>
  <c r="W24" i="181"/>
  <c r="M21" i="181"/>
  <c r="O21" i="181" s="1"/>
  <c r="M68" i="181"/>
  <c r="O68" i="181" s="1"/>
  <c r="M13" i="181"/>
  <c r="O13" i="181" s="1"/>
  <c r="T34" i="181"/>
  <c r="U34" i="181" s="1"/>
  <c r="M34" i="181"/>
  <c r="O34" i="181" s="1"/>
  <c r="W49" i="181"/>
  <c r="M15" i="181"/>
  <c r="O15" i="181" s="1"/>
  <c r="T15" i="181"/>
  <c r="U15" i="181" s="1"/>
  <c r="V50" i="181"/>
  <c r="V43" i="181"/>
  <c r="W30" i="181"/>
  <c r="M39" i="181"/>
  <c r="O39" i="181" s="1"/>
  <c r="W47" i="181"/>
  <c r="W32" i="181"/>
  <c r="W23" i="181"/>
  <c r="W64" i="181"/>
  <c r="W70" i="181"/>
  <c r="T52" i="181"/>
  <c r="U52" i="181" s="1"/>
  <c r="M52" i="181"/>
  <c r="O52" i="181" s="1"/>
  <c r="M54" i="181"/>
  <c r="O54" i="181" s="1"/>
  <c r="T54" i="181"/>
  <c r="U54" i="181" s="1"/>
  <c r="T25" i="181"/>
  <c r="U25" i="181" s="1"/>
  <c r="W37" i="181"/>
  <c r="W11" i="181"/>
  <c r="T38" i="181"/>
  <c r="U38" i="181" s="1"/>
  <c r="M38" i="181"/>
  <c r="O38" i="181" s="1"/>
  <c r="V28" i="180"/>
  <c r="Y104" i="180"/>
  <c r="V104" i="180" s="1"/>
  <c r="V57" i="180"/>
  <c r="V46" i="180"/>
  <c r="V42" i="180"/>
  <c r="O24" i="180"/>
  <c r="T24" i="180"/>
  <c r="U24" i="180" s="1"/>
  <c r="V65" i="180"/>
  <c r="V34" i="180"/>
  <c r="Y106" i="180"/>
  <c r="V106" i="180" s="1"/>
  <c r="M114" i="180"/>
  <c r="O114" i="180" s="1"/>
  <c r="T114" i="180"/>
  <c r="U114" i="180" s="1"/>
  <c r="O57" i="180"/>
  <c r="M89" i="180"/>
  <c r="O89" i="180" s="1"/>
  <c r="M59" i="180"/>
  <c r="O59" i="180" s="1"/>
  <c r="V77" i="180"/>
  <c r="M86" i="180"/>
  <c r="O86" i="180" s="1"/>
  <c r="M76" i="180"/>
  <c r="O76" i="180" s="1"/>
  <c r="M60" i="180"/>
  <c r="O60" i="180" s="1"/>
  <c r="Y103" i="180"/>
  <c r="V103" i="180" s="1"/>
  <c r="M81" i="180"/>
  <c r="O81" i="180" s="1"/>
  <c r="V52" i="180"/>
  <c r="M101" i="180"/>
  <c r="O101" i="180" s="1"/>
  <c r="M54" i="180"/>
  <c r="O54" i="180" s="1"/>
  <c r="V27" i="180"/>
  <c r="V33" i="180"/>
  <c r="M40" i="180"/>
  <c r="O40" i="180" s="1"/>
  <c r="V25" i="180"/>
  <c r="T56" i="180"/>
  <c r="U56" i="180" s="1"/>
  <c r="T99" i="180"/>
  <c r="U99" i="180" s="1"/>
  <c r="M107" i="180"/>
  <c r="O107" i="180" s="1"/>
  <c r="T110" i="180"/>
  <c r="U110" i="180" s="1"/>
  <c r="V70" i="180"/>
  <c r="M113" i="180"/>
  <c r="O113" i="180" s="1"/>
  <c r="M43" i="180"/>
  <c r="O43" i="180" s="1"/>
  <c r="M51" i="180"/>
  <c r="O51" i="180" s="1"/>
  <c r="T48" i="180"/>
  <c r="U48" i="180" s="1"/>
  <c r="M18" i="180"/>
  <c r="O18" i="180" s="1"/>
  <c r="M85" i="180"/>
  <c r="O85" i="180" s="1"/>
  <c r="M80" i="180"/>
  <c r="O80" i="180" s="1"/>
  <c r="V83" i="180"/>
  <c r="V55" i="180"/>
  <c r="T69" i="180"/>
  <c r="U69" i="180" s="1"/>
  <c r="M69" i="180"/>
  <c r="O69" i="180" s="1"/>
  <c r="V14" i="180"/>
  <c r="M38" i="180"/>
  <c r="O38" i="180" s="1"/>
  <c r="M16" i="180"/>
  <c r="O16" i="180" s="1"/>
  <c r="T35" i="180"/>
  <c r="U35" i="180" s="1"/>
  <c r="M44" i="180"/>
  <c r="O44" i="180" s="1"/>
  <c r="M39" i="180"/>
  <c r="O39" i="180" s="1"/>
  <c r="T8" i="180"/>
  <c r="U8" i="180" s="1"/>
  <c r="M29" i="180"/>
  <c r="O29" i="180" s="1"/>
  <c r="M19" i="180"/>
  <c r="O19" i="180" s="1"/>
  <c r="Y105" i="180"/>
  <c r="V105" i="180" s="1"/>
  <c r="M41" i="180"/>
  <c r="O41" i="180" s="1"/>
  <c r="M96" i="180"/>
  <c r="T96" i="180" s="1"/>
  <c r="P115" i="180"/>
  <c r="M79" i="180"/>
  <c r="O79" i="180" s="1"/>
  <c r="Y111" i="180"/>
  <c r="V111" i="180" s="1"/>
  <c r="Y98" i="180"/>
  <c r="M100" i="180"/>
  <c r="O100" i="180" s="1"/>
  <c r="AM100" i="180" s="1"/>
  <c r="M68" i="180"/>
  <c r="O68" i="180" s="1"/>
  <c r="P93" i="180"/>
  <c r="T7" i="180"/>
  <c r="M7" i="180"/>
  <c r="V78" i="180"/>
  <c r="V72" i="180"/>
  <c r="T15" i="180"/>
  <c r="U15" i="180" s="1"/>
  <c r="M50" i="180"/>
  <c r="O50" i="180" s="1"/>
  <c r="T67" i="180"/>
  <c r="U67" i="180" s="1"/>
  <c r="M97" i="180"/>
  <c r="O97" i="180" s="1"/>
  <c r="AM97" i="180" s="1"/>
  <c r="AU97" i="180" s="1"/>
  <c r="T64" i="180"/>
  <c r="U64" i="180" s="1"/>
  <c r="M64" i="180"/>
  <c r="O64" i="180" s="1"/>
  <c r="T61" i="180"/>
  <c r="U61" i="180" s="1"/>
  <c r="T82" i="180"/>
  <c r="U82" i="180" s="1"/>
  <c r="M10" i="180"/>
  <c r="O10" i="180" s="1"/>
  <c r="M32" i="180"/>
  <c r="O32" i="180" s="1"/>
  <c r="M36" i="180"/>
  <c r="O36" i="180" s="1"/>
  <c r="M26" i="180"/>
  <c r="O26" i="180" s="1"/>
  <c r="T75" i="180"/>
  <c r="U75" i="180" s="1"/>
  <c r="M75" i="180"/>
  <c r="O75" i="180" s="1"/>
  <c r="M74" i="180"/>
  <c r="O74" i="180" s="1"/>
  <c r="V87" i="180"/>
  <c r="Y109" i="180"/>
  <c r="V109" i="180" s="1"/>
  <c r="P118" i="180"/>
  <c r="M102" i="180"/>
  <c r="O102" i="180" s="1"/>
  <c r="V88" i="180"/>
  <c r="V62" i="180"/>
  <c r="M112" i="180"/>
  <c r="O112" i="180" s="1"/>
  <c r="V45" i="180"/>
  <c r="M20" i="180"/>
  <c r="O20" i="180" s="1"/>
  <c r="M31" i="180"/>
  <c r="O31" i="180" s="1"/>
  <c r="O28" i="180"/>
  <c r="M13" i="180"/>
  <c r="O13" i="180" s="1"/>
  <c r="M108" i="180"/>
  <c r="O108" i="180" s="1"/>
  <c r="M53" i="180"/>
  <c r="O53" i="180" s="1"/>
  <c r="M71" i="180"/>
  <c r="O71" i="180" s="1"/>
  <c r="T66" i="180"/>
  <c r="U66" i="180" s="1"/>
  <c r="T30" i="180"/>
  <c r="U30" i="180" s="1"/>
  <c r="T47" i="180"/>
  <c r="U47" i="180" s="1"/>
  <c r="M23" i="180"/>
  <c r="O23" i="180" s="1"/>
  <c r="T11" i="180"/>
  <c r="U11" i="180" s="1"/>
  <c r="M11" i="180"/>
  <c r="O11" i="180" s="1"/>
  <c r="T12" i="180"/>
  <c r="U12" i="180" s="1"/>
  <c r="M22" i="180"/>
  <c r="O22" i="180" s="1"/>
  <c r="T22" i="180"/>
  <c r="U22" i="180" s="1"/>
  <c r="V91" i="179"/>
  <c r="V41" i="179"/>
  <c r="V93" i="179"/>
  <c r="V33" i="179"/>
  <c r="V47" i="179"/>
  <c r="V89" i="179"/>
  <c r="V71" i="179"/>
  <c r="V63" i="179"/>
  <c r="V70" i="179"/>
  <c r="V28" i="179"/>
  <c r="M34" i="179"/>
  <c r="O34" i="179" s="1"/>
  <c r="T54" i="179"/>
  <c r="U54" i="179" s="1"/>
  <c r="AO54" i="179" s="1"/>
  <c r="AZ54" i="179" s="1"/>
  <c r="T51" i="179"/>
  <c r="U51" i="179" s="1"/>
  <c r="AO51" i="179" s="1"/>
  <c r="AZ51" i="179" s="1"/>
  <c r="M72" i="179"/>
  <c r="O72" i="179" s="1"/>
  <c r="M62" i="179"/>
  <c r="O62" i="179" s="1"/>
  <c r="T62" i="179"/>
  <c r="U62" i="179" s="1"/>
  <c r="AO62" i="179" s="1"/>
  <c r="AZ62" i="179" s="1"/>
  <c r="T39" i="179"/>
  <c r="U39" i="179" s="1"/>
  <c r="AO39" i="179" s="1"/>
  <c r="AZ39" i="179" s="1"/>
  <c r="O89" i="179"/>
  <c r="M87" i="179"/>
  <c r="O87" i="179" s="1"/>
  <c r="T83" i="179"/>
  <c r="U83" i="179" s="1"/>
  <c r="AO83" i="179" s="1"/>
  <c r="AZ83" i="179" s="1"/>
  <c r="M90" i="179"/>
  <c r="O90" i="179" s="1"/>
  <c r="V27" i="179"/>
  <c r="M74" i="179"/>
  <c r="O74" i="179" s="1"/>
  <c r="T74" i="179"/>
  <c r="U74" i="179" s="1"/>
  <c r="AO74" i="179" s="1"/>
  <c r="AZ74" i="179" s="1"/>
  <c r="M64" i="179"/>
  <c r="O64" i="179" s="1"/>
  <c r="T8" i="179"/>
  <c r="U8" i="179" s="1"/>
  <c r="AO8" i="179" s="1"/>
  <c r="AZ8" i="179" s="1"/>
  <c r="T65" i="179"/>
  <c r="U65" i="179" s="1"/>
  <c r="AO65" i="179" s="1"/>
  <c r="AZ65" i="179" s="1"/>
  <c r="M18" i="179"/>
  <c r="O18" i="179" s="1"/>
  <c r="M24" i="179"/>
  <c r="O24" i="179" s="1"/>
  <c r="O33" i="179"/>
  <c r="M75" i="179"/>
  <c r="O75" i="179" s="1"/>
  <c r="M44" i="179"/>
  <c r="O44" i="179" s="1"/>
  <c r="T44" i="179"/>
  <c r="U44" i="179" s="1"/>
  <c r="AO44" i="179" s="1"/>
  <c r="AZ44" i="179" s="1"/>
  <c r="V32" i="179"/>
  <c r="M56" i="179"/>
  <c r="O56" i="179" s="1"/>
  <c r="M57" i="179"/>
  <c r="O57" i="179" s="1"/>
  <c r="V26" i="179"/>
  <c r="M82" i="179"/>
  <c r="O82" i="179" s="1"/>
  <c r="M66" i="179"/>
  <c r="O66" i="179" s="1"/>
  <c r="V98" i="179"/>
  <c r="M53" i="179"/>
  <c r="O53" i="179" s="1"/>
  <c r="V36" i="179"/>
  <c r="M68" i="179"/>
  <c r="O68" i="179" s="1"/>
  <c r="T38" i="179"/>
  <c r="U38" i="179" s="1"/>
  <c r="AO38" i="179" s="1"/>
  <c r="AZ38" i="179" s="1"/>
  <c r="M38" i="179"/>
  <c r="O38" i="179" s="1"/>
  <c r="M60" i="179"/>
  <c r="O60" i="179" s="1"/>
  <c r="T86" i="179"/>
  <c r="U86" i="179" s="1"/>
  <c r="AO86" i="179" s="1"/>
  <c r="AZ86" i="179" s="1"/>
  <c r="M40" i="179"/>
  <c r="O40" i="179" s="1"/>
  <c r="V42" i="179"/>
  <c r="V20" i="179"/>
  <c r="M21" i="179"/>
  <c r="O21" i="179" s="1"/>
  <c r="M22" i="179"/>
  <c r="O22" i="179" s="1"/>
  <c r="T22" i="179"/>
  <c r="U22" i="179" s="1"/>
  <c r="AO22" i="179" s="1"/>
  <c r="AZ22" i="179" s="1"/>
  <c r="M17" i="179"/>
  <c r="O17" i="179" s="1"/>
  <c r="M10" i="179"/>
  <c r="O10" i="179" s="1"/>
  <c r="P105" i="179"/>
  <c r="N7" i="191" s="1"/>
  <c r="M7" i="179"/>
  <c r="T7" i="179" s="1"/>
  <c r="M79" i="179"/>
  <c r="O79" i="179" s="1"/>
  <c r="T48" i="179"/>
  <c r="U48" i="179" s="1"/>
  <c r="AO48" i="179" s="1"/>
  <c r="AZ48" i="179" s="1"/>
  <c r="M48" i="179"/>
  <c r="O48" i="179" s="1"/>
  <c r="M67" i="179"/>
  <c r="O67" i="179" s="1"/>
  <c r="V80" i="179"/>
  <c r="M50" i="179"/>
  <c r="O50" i="179" s="1"/>
  <c r="V19" i="179"/>
  <c r="M29" i="179"/>
  <c r="O29" i="179" s="1"/>
  <c r="T29" i="179"/>
  <c r="U29" i="179" s="1"/>
  <c r="AO29" i="179" s="1"/>
  <c r="AZ29" i="179" s="1"/>
  <c r="T78" i="179"/>
  <c r="U78" i="179" s="1"/>
  <c r="AO78" i="179" s="1"/>
  <c r="AZ78" i="179" s="1"/>
  <c r="M61" i="179"/>
  <c r="O61" i="179" s="1"/>
  <c r="T49" i="179"/>
  <c r="U49" i="179" s="1"/>
  <c r="AO49" i="179" s="1"/>
  <c r="AZ49" i="179" s="1"/>
  <c r="M37" i="179"/>
  <c r="O37" i="179" s="1"/>
  <c r="M81" i="179"/>
  <c r="O81" i="179" s="1"/>
  <c r="T81" i="179"/>
  <c r="U81" i="179" s="1"/>
  <c r="AO81" i="179" s="1"/>
  <c r="AZ81" i="179" s="1"/>
  <c r="V13" i="179"/>
  <c r="T59" i="179"/>
  <c r="U59" i="179" s="1"/>
  <c r="AO59" i="179" s="1"/>
  <c r="AZ59" i="179" s="1"/>
  <c r="M58" i="179"/>
  <c r="O58" i="179" s="1"/>
  <c r="M14" i="179"/>
  <c r="O14" i="179" s="1"/>
  <c r="T14" i="179"/>
  <c r="U14" i="179" s="1"/>
  <c r="AO14" i="179" s="1"/>
  <c r="AZ14" i="179" s="1"/>
  <c r="V25" i="179"/>
  <c r="M76" i="179"/>
  <c r="O76" i="179" s="1"/>
  <c r="T76" i="179"/>
  <c r="U76" i="179" s="1"/>
  <c r="AO76" i="179" s="1"/>
  <c r="AZ76" i="179" s="1"/>
  <c r="M46" i="179"/>
  <c r="O46" i="179" s="1"/>
  <c r="M52" i="179"/>
  <c r="O52" i="179" s="1"/>
  <c r="T52" i="179"/>
  <c r="U52" i="179" s="1"/>
  <c r="AO52" i="179" s="1"/>
  <c r="AZ52" i="179" s="1"/>
  <c r="M11" i="179"/>
  <c r="O11" i="179" s="1"/>
  <c r="M73" i="179"/>
  <c r="O73" i="179" s="1"/>
  <c r="T73" i="179"/>
  <c r="U73" i="179" s="1"/>
  <c r="AO73" i="179" s="1"/>
  <c r="AZ73" i="179" s="1"/>
  <c r="M16" i="179"/>
  <c r="O16" i="179" s="1"/>
  <c r="M30" i="179"/>
  <c r="O30" i="179" s="1"/>
  <c r="T30" i="179"/>
  <c r="U30" i="179" s="1"/>
  <c r="AO30" i="179" s="1"/>
  <c r="AZ30" i="179" s="1"/>
  <c r="M45" i="179"/>
  <c r="O45" i="179" s="1"/>
  <c r="M43" i="179"/>
  <c r="O43" i="179" s="1"/>
  <c r="M77" i="179"/>
  <c r="O77" i="179" s="1"/>
  <c r="M55" i="179"/>
  <c r="O55" i="179" s="1"/>
  <c r="T85" i="179"/>
  <c r="U85" i="179" s="1"/>
  <c r="AO85" i="179" s="1"/>
  <c r="AZ85" i="179" s="1"/>
  <c r="M85" i="179"/>
  <c r="O85" i="179" s="1"/>
  <c r="M69" i="179"/>
  <c r="O69" i="179" s="1"/>
  <c r="M31" i="179"/>
  <c r="O31" i="179" s="1"/>
  <c r="T31" i="179"/>
  <c r="U31" i="179" s="1"/>
  <c r="AO31" i="179" s="1"/>
  <c r="AZ31" i="179" s="1"/>
  <c r="T92" i="179"/>
  <c r="U92" i="179" s="1"/>
  <c r="AO92" i="179" s="1"/>
  <c r="AZ92" i="179" s="1"/>
  <c r="M95" i="179"/>
  <c r="O95" i="179" s="1"/>
  <c r="T95" i="179"/>
  <c r="U95" i="179" s="1"/>
  <c r="AO95" i="179" s="1"/>
  <c r="AZ95" i="179" s="1"/>
  <c r="M12" i="179"/>
  <c r="O12" i="179" s="1"/>
  <c r="T9" i="179"/>
  <c r="U9" i="179" s="1"/>
  <c r="AO9" i="179" s="1"/>
  <c r="AZ9" i="179" s="1"/>
  <c r="M9" i="179"/>
  <c r="O9" i="179" s="1"/>
  <c r="M23" i="179"/>
  <c r="O23" i="179" s="1"/>
  <c r="M15" i="179"/>
  <c r="O15" i="179" s="1"/>
  <c r="T15" i="179"/>
  <c r="U15" i="179" s="1"/>
  <c r="AO15" i="179" s="1"/>
  <c r="AZ15" i="179" s="1"/>
  <c r="BB14" i="191" l="1"/>
  <c r="BD14" i="191"/>
  <c r="BD10" i="191"/>
  <c r="BB10" i="191"/>
  <c r="AN19" i="191"/>
  <c r="E20" i="40" s="1"/>
  <c r="AI19" i="191"/>
  <c r="AP8" i="190"/>
  <c r="AP17" i="190" s="1"/>
  <c r="AM18" i="191" s="1"/>
  <c r="AO8" i="190"/>
  <c r="AN17" i="190"/>
  <c r="AK18" i="191" s="1"/>
  <c r="T16" i="179"/>
  <c r="U16" i="179" s="1"/>
  <c r="AO16" i="179" s="1"/>
  <c r="AZ16" i="179" s="1"/>
  <c r="T43" i="179"/>
  <c r="U43" i="179" s="1"/>
  <c r="AO43" i="179" s="1"/>
  <c r="AZ43" i="179" s="1"/>
  <c r="T34" i="179"/>
  <c r="U34" i="179" s="1"/>
  <c r="AO34" i="179" s="1"/>
  <c r="AZ34" i="179" s="1"/>
  <c r="AP66" i="179"/>
  <c r="AM7" i="191" s="1"/>
  <c r="AK7" i="191"/>
  <c r="T11" i="179"/>
  <c r="U11" i="179" s="1"/>
  <c r="AO11" i="179" s="1"/>
  <c r="AZ11" i="179" s="1"/>
  <c r="T61" i="179"/>
  <c r="U61" i="179" s="1"/>
  <c r="AO61" i="179" s="1"/>
  <c r="AZ61" i="179" s="1"/>
  <c r="T67" i="179"/>
  <c r="U67" i="179" s="1"/>
  <c r="AO67" i="179" s="1"/>
  <c r="AZ67" i="179" s="1"/>
  <c r="T60" i="179"/>
  <c r="U60" i="179" s="1"/>
  <c r="AO60" i="179" s="1"/>
  <c r="AZ60" i="179" s="1"/>
  <c r="T12" i="179"/>
  <c r="U12" i="179" s="1"/>
  <c r="AO12" i="179" s="1"/>
  <c r="AZ12" i="179" s="1"/>
  <c r="T82" i="179"/>
  <c r="U82" i="179" s="1"/>
  <c r="AO82" i="179" s="1"/>
  <c r="AZ82" i="179" s="1"/>
  <c r="T75" i="179"/>
  <c r="U75" i="179" s="1"/>
  <c r="AO75" i="179" s="1"/>
  <c r="AZ75" i="179" s="1"/>
  <c r="L118" i="180"/>
  <c r="I8" i="191"/>
  <c r="I19" i="191" s="1"/>
  <c r="J20" i="191" s="1"/>
  <c r="T108" i="180"/>
  <c r="U108" i="180" s="1"/>
  <c r="T44" i="180"/>
  <c r="U44" i="180" s="1"/>
  <c r="AN100" i="180"/>
  <c r="AP100" i="180" s="1"/>
  <c r="AU100" i="180"/>
  <c r="T20" i="180"/>
  <c r="U20" i="180" s="1"/>
  <c r="AO20" i="180" s="1"/>
  <c r="AZ20" i="180" s="1"/>
  <c r="T19" i="180"/>
  <c r="U19" i="180" s="1"/>
  <c r="T18" i="180"/>
  <c r="U18" i="180" s="1"/>
  <c r="T76" i="180"/>
  <c r="U76" i="180" s="1"/>
  <c r="AO76" i="180" s="1"/>
  <c r="AZ76" i="180" s="1"/>
  <c r="T10" i="182"/>
  <c r="U10" i="182" s="1"/>
  <c r="AO10" i="182" s="1"/>
  <c r="BA10" i="182" s="1"/>
  <c r="T11" i="186"/>
  <c r="U11" i="186" s="1"/>
  <c r="AO11" i="186" s="1"/>
  <c r="BA11" i="186" s="1"/>
  <c r="T18" i="185"/>
  <c r="U18" i="185" s="1"/>
  <c r="AO18" i="185" s="1"/>
  <c r="BA18" i="185" s="1"/>
  <c r="T37" i="185"/>
  <c r="U37" i="185" s="1"/>
  <c r="AO37" i="185" s="1"/>
  <c r="BA37" i="185" s="1"/>
  <c r="AO30" i="180"/>
  <c r="AZ30" i="180" s="1"/>
  <c r="T100" i="180"/>
  <c r="U100" i="180" s="1"/>
  <c r="AO8" i="180"/>
  <c r="AZ8" i="180" s="1"/>
  <c r="AO48" i="180"/>
  <c r="AZ48" i="180" s="1"/>
  <c r="AO82" i="180"/>
  <c r="AZ82" i="180" s="1"/>
  <c r="AO15" i="180"/>
  <c r="AZ15" i="180" s="1"/>
  <c r="AO69" i="180"/>
  <c r="AZ69" i="180" s="1"/>
  <c r="AO99" i="180"/>
  <c r="AZ99" i="180" s="1"/>
  <c r="AO114" i="180"/>
  <c r="AZ114" i="180" s="1"/>
  <c r="AO11" i="180"/>
  <c r="AZ11" i="180" s="1"/>
  <c r="AO61" i="180"/>
  <c r="AZ61" i="180" s="1"/>
  <c r="AO44" i="180"/>
  <c r="AZ44" i="180" s="1"/>
  <c r="AO56" i="180"/>
  <c r="AZ56" i="180" s="1"/>
  <c r="AO73" i="180"/>
  <c r="AZ73" i="180" s="1"/>
  <c r="AO98" i="180"/>
  <c r="AZ98" i="180" s="1"/>
  <c r="T23" i="180"/>
  <c r="U23" i="180" s="1"/>
  <c r="T13" i="180"/>
  <c r="U13" i="180" s="1"/>
  <c r="T43" i="180"/>
  <c r="U43" i="180" s="1"/>
  <c r="T86" i="180"/>
  <c r="U86" i="180" s="1"/>
  <c r="AO78" i="180"/>
  <c r="AZ78" i="180" s="1"/>
  <c r="AO108" i="180"/>
  <c r="AZ108" i="180" s="1"/>
  <c r="AO47" i="180"/>
  <c r="AZ47" i="180" s="1"/>
  <c r="AO75" i="180"/>
  <c r="AZ75" i="180" s="1"/>
  <c r="AO64" i="180"/>
  <c r="AZ64" i="180" s="1"/>
  <c r="AO35" i="180"/>
  <c r="AZ35" i="180" s="1"/>
  <c r="AM115" i="180"/>
  <c r="AM117" i="180" s="1"/>
  <c r="AJ8" i="191" s="1"/>
  <c r="AN97" i="180"/>
  <c r="AO19" i="180"/>
  <c r="AZ19" i="180" s="1"/>
  <c r="AO84" i="180"/>
  <c r="AZ84" i="180" s="1"/>
  <c r="AO22" i="180"/>
  <c r="AZ22" i="180" s="1"/>
  <c r="T102" i="180"/>
  <c r="U102" i="180" s="1"/>
  <c r="AO67" i="180"/>
  <c r="AZ67" i="180" s="1"/>
  <c r="AO18" i="180"/>
  <c r="AZ18" i="180" s="1"/>
  <c r="AO110" i="180"/>
  <c r="AZ110" i="180" s="1"/>
  <c r="T59" i="180"/>
  <c r="U59" i="180" s="1"/>
  <c r="AO66" i="180"/>
  <c r="AZ66" i="180" s="1"/>
  <c r="AO12" i="180"/>
  <c r="AZ12" i="180" s="1"/>
  <c r="T50" i="180"/>
  <c r="U50" i="180" s="1"/>
  <c r="T29" i="180"/>
  <c r="U29" i="180" s="1"/>
  <c r="V29" i="180" s="1"/>
  <c r="T107" i="180"/>
  <c r="U107" i="180" s="1"/>
  <c r="T60" i="180"/>
  <c r="U60" i="180" s="1"/>
  <c r="AO24" i="180"/>
  <c r="AZ24" i="180" s="1"/>
  <c r="P117" i="180"/>
  <c r="N8" i="191" s="1"/>
  <c r="N19" i="191" s="1"/>
  <c r="U7" i="190"/>
  <c r="V10" i="190"/>
  <c r="V16" i="190"/>
  <c r="T12" i="190"/>
  <c r="U12" i="190" s="1"/>
  <c r="V11" i="190"/>
  <c r="V15" i="190"/>
  <c r="M17" i="190"/>
  <c r="O7" i="190"/>
  <c r="O17" i="190" s="1"/>
  <c r="V17" i="189"/>
  <c r="T23" i="189"/>
  <c r="U23" i="189" s="1"/>
  <c r="T16" i="189"/>
  <c r="U16" i="189" s="1"/>
  <c r="V13" i="189"/>
  <c r="T15" i="189"/>
  <c r="U15" i="189" s="1"/>
  <c r="T20" i="189"/>
  <c r="U20" i="189" s="1"/>
  <c r="V11" i="189"/>
  <c r="O24" i="189"/>
  <c r="M24" i="189"/>
  <c r="T14" i="189"/>
  <c r="V7" i="189"/>
  <c r="T19" i="189"/>
  <c r="U19" i="189" s="1"/>
  <c r="U7" i="188"/>
  <c r="T15" i="188"/>
  <c r="U16" i="188" s="1"/>
  <c r="V13" i="188"/>
  <c r="V10" i="188"/>
  <c r="M15" i="188"/>
  <c r="O7" i="188"/>
  <c r="O15" i="188" s="1"/>
  <c r="T14" i="188"/>
  <c r="U14" i="188" s="1"/>
  <c r="T11" i="188"/>
  <c r="U11" i="188" s="1"/>
  <c r="W9" i="188"/>
  <c r="V18" i="187"/>
  <c r="T16" i="187"/>
  <c r="U16" i="187" s="1"/>
  <c r="T9" i="187"/>
  <c r="U9" i="187" s="1"/>
  <c r="U7" i="187"/>
  <c r="V15" i="187"/>
  <c r="T8" i="187"/>
  <c r="U8" i="187" s="1"/>
  <c r="T19" i="187"/>
  <c r="U19" i="187" s="1"/>
  <c r="M20" i="187"/>
  <c r="T17" i="187"/>
  <c r="U17" i="187" s="1"/>
  <c r="V12" i="187"/>
  <c r="M26" i="186"/>
  <c r="O7" i="186"/>
  <c r="O26" i="186" s="1"/>
  <c r="W22" i="186"/>
  <c r="T20" i="186"/>
  <c r="U20" i="186" s="1"/>
  <c r="AO20" i="186" s="1"/>
  <c r="BA20" i="186" s="1"/>
  <c r="W23" i="186"/>
  <c r="W11" i="186"/>
  <c r="W13" i="186"/>
  <c r="W16" i="186"/>
  <c r="T24" i="186"/>
  <c r="U24" i="186" s="1"/>
  <c r="AO24" i="186" s="1"/>
  <c r="BA24" i="186" s="1"/>
  <c r="U7" i="186"/>
  <c r="AO7" i="186" s="1"/>
  <c r="O49" i="185"/>
  <c r="V37" i="185"/>
  <c r="T46" i="185"/>
  <c r="U46" i="185" s="1"/>
  <c r="AO46" i="185" s="1"/>
  <c r="BA46" i="185" s="1"/>
  <c r="T22" i="185"/>
  <c r="U22" i="185" s="1"/>
  <c r="AO22" i="185" s="1"/>
  <c r="BA22" i="185" s="1"/>
  <c r="T30" i="185"/>
  <c r="U30" i="185" s="1"/>
  <c r="AO30" i="185" s="1"/>
  <c r="BA30" i="185" s="1"/>
  <c r="T48" i="185"/>
  <c r="U48" i="185" s="1"/>
  <c r="AO48" i="185" s="1"/>
  <c r="BA48" i="185" s="1"/>
  <c r="W18" i="185"/>
  <c r="V43" i="185"/>
  <c r="W36" i="185"/>
  <c r="T10" i="185"/>
  <c r="U10" i="185" s="1"/>
  <c r="AO10" i="185" s="1"/>
  <c r="BA10" i="185" s="1"/>
  <c r="V47" i="185"/>
  <c r="U7" i="185"/>
  <c r="AO7" i="185" s="1"/>
  <c r="T12" i="185"/>
  <c r="U12" i="185" s="1"/>
  <c r="AO12" i="185" s="1"/>
  <c r="BA12" i="185" s="1"/>
  <c r="T44" i="185"/>
  <c r="U44" i="185" s="1"/>
  <c r="AO44" i="185" s="1"/>
  <c r="BA44" i="185" s="1"/>
  <c r="T38" i="185"/>
  <c r="U38" i="185" s="1"/>
  <c r="AO38" i="185" s="1"/>
  <c r="BA38" i="185" s="1"/>
  <c r="T35" i="185"/>
  <c r="U35" i="185" s="1"/>
  <c r="AO35" i="185" s="1"/>
  <c r="BA35" i="185" s="1"/>
  <c r="T42" i="185"/>
  <c r="U42" i="185" s="1"/>
  <c r="AO42" i="185" s="1"/>
  <c r="BA42" i="185" s="1"/>
  <c r="W19" i="185"/>
  <c r="V16" i="185"/>
  <c r="W16" i="184"/>
  <c r="M17" i="184"/>
  <c r="O7" i="184"/>
  <c r="O17" i="184" s="1"/>
  <c r="U7" i="184"/>
  <c r="W8" i="184"/>
  <c r="W12" i="184"/>
  <c r="W13" i="184"/>
  <c r="T10" i="184"/>
  <c r="U10" i="184" s="1"/>
  <c r="W18" i="183"/>
  <c r="W26" i="183"/>
  <c r="W27" i="183"/>
  <c r="W19" i="183"/>
  <c r="W9" i="183"/>
  <c r="W17" i="183"/>
  <c r="W28" i="183"/>
  <c r="M30" i="183"/>
  <c r="O8" i="183"/>
  <c r="O30" i="183" s="1"/>
  <c r="T8" i="183"/>
  <c r="T20" i="183"/>
  <c r="U20" i="183" s="1"/>
  <c r="AO20" i="183" s="1"/>
  <c r="BA20" i="183" s="1"/>
  <c r="W23" i="183"/>
  <c r="W7" i="183"/>
  <c r="T10" i="183"/>
  <c r="U10" i="183" s="1"/>
  <c r="AO10" i="183" s="1"/>
  <c r="T9" i="182"/>
  <c r="U9" i="182" s="1"/>
  <c r="AO9" i="182" s="1"/>
  <c r="BA9" i="182" s="1"/>
  <c r="W10" i="182"/>
  <c r="U7" i="182"/>
  <c r="AO7" i="182" s="1"/>
  <c r="O7" i="182"/>
  <c r="O12" i="182" s="1"/>
  <c r="M12" i="182"/>
  <c r="W65" i="181"/>
  <c r="T51" i="181"/>
  <c r="U51" i="181" s="1"/>
  <c r="W25" i="181"/>
  <c r="T39" i="181"/>
  <c r="U39" i="181" s="1"/>
  <c r="T68" i="181"/>
  <c r="U68" i="181" s="1"/>
  <c r="T27" i="181"/>
  <c r="U27" i="181" s="1"/>
  <c r="T69" i="181"/>
  <c r="U69" i="181" s="1"/>
  <c r="T67" i="181"/>
  <c r="U67" i="181" s="1"/>
  <c r="V54" i="181"/>
  <c r="V46" i="181"/>
  <c r="M7" i="181"/>
  <c r="T7" i="181" s="1"/>
  <c r="P71" i="181"/>
  <c r="T21" i="181"/>
  <c r="U21" i="181" s="1"/>
  <c r="T12" i="181"/>
  <c r="U12" i="181" s="1"/>
  <c r="T62" i="181"/>
  <c r="U62" i="181" s="1"/>
  <c r="T42" i="181"/>
  <c r="U42" i="181" s="1"/>
  <c r="W41" i="181"/>
  <c r="W38" i="181"/>
  <c r="V63" i="181"/>
  <c r="W55" i="181"/>
  <c r="V55" i="181"/>
  <c r="W48" i="181"/>
  <c r="V52" i="181"/>
  <c r="W34" i="181"/>
  <c r="W60" i="181"/>
  <c r="W22" i="181"/>
  <c r="V59" i="181"/>
  <c r="W15" i="181"/>
  <c r="T13" i="181"/>
  <c r="U13" i="181" s="1"/>
  <c r="W61" i="181"/>
  <c r="T45" i="181"/>
  <c r="U45" i="181" s="1"/>
  <c r="T28" i="181"/>
  <c r="U28" i="181" s="1"/>
  <c r="W20" i="181"/>
  <c r="V11" i="180"/>
  <c r="V61" i="180"/>
  <c r="V15" i="180"/>
  <c r="V48" i="180"/>
  <c r="V76" i="180"/>
  <c r="Y108" i="180"/>
  <c r="V108" i="180"/>
  <c r="Y100" i="180"/>
  <c r="Y107" i="180"/>
  <c r="V107" i="180" s="1"/>
  <c r="T53" i="180"/>
  <c r="U53" i="180" s="1"/>
  <c r="T36" i="180"/>
  <c r="U36" i="180" s="1"/>
  <c r="T68" i="180"/>
  <c r="U68" i="180" s="1"/>
  <c r="T79" i="180"/>
  <c r="U79" i="180" s="1"/>
  <c r="T39" i="180"/>
  <c r="U39" i="180" s="1"/>
  <c r="T51" i="180"/>
  <c r="U51" i="180" s="1"/>
  <c r="Y110" i="180"/>
  <c r="V110" i="180" s="1"/>
  <c r="T54" i="180"/>
  <c r="U54" i="180" s="1"/>
  <c r="T81" i="180"/>
  <c r="U81" i="180" s="1"/>
  <c r="V47" i="180"/>
  <c r="T74" i="180"/>
  <c r="U74" i="180" s="1"/>
  <c r="T32" i="180"/>
  <c r="U32" i="180" s="1"/>
  <c r="T97" i="180"/>
  <c r="U97" i="180" s="1"/>
  <c r="T80" i="180"/>
  <c r="U80" i="180" s="1"/>
  <c r="T40" i="180"/>
  <c r="U40" i="180" s="1"/>
  <c r="V24" i="180"/>
  <c r="V30" i="180"/>
  <c r="Y102" i="180"/>
  <c r="U96" i="180"/>
  <c r="V19" i="180"/>
  <c r="V35" i="180"/>
  <c r="V69" i="180"/>
  <c r="V43" i="180"/>
  <c r="Y99" i="180"/>
  <c r="V64" i="180"/>
  <c r="Y114" i="180"/>
  <c r="V114" i="180" s="1"/>
  <c r="V22" i="180"/>
  <c r="V13" i="180"/>
  <c r="V66" i="180"/>
  <c r="T112" i="180"/>
  <c r="U112" i="180" s="1"/>
  <c r="T10" i="180"/>
  <c r="U10" i="180" s="1"/>
  <c r="V67" i="180"/>
  <c r="M93" i="180"/>
  <c r="O7" i="180"/>
  <c r="O93" i="180" s="1"/>
  <c r="M115" i="180"/>
  <c r="O96" i="180"/>
  <c r="O115" i="180" s="1"/>
  <c r="T16" i="180"/>
  <c r="U16" i="180" s="1"/>
  <c r="T85" i="180"/>
  <c r="U85" i="180" s="1"/>
  <c r="T113" i="180"/>
  <c r="U113" i="180" s="1"/>
  <c r="V56" i="180"/>
  <c r="T101" i="180"/>
  <c r="U101" i="180" s="1"/>
  <c r="V44" i="180"/>
  <c r="V86" i="180"/>
  <c r="V12" i="180"/>
  <c r="V75" i="180"/>
  <c r="V50" i="180"/>
  <c r="U7" i="180"/>
  <c r="AO7" i="180" s="1"/>
  <c r="V18" i="180"/>
  <c r="V60" i="180"/>
  <c r="V59" i="180"/>
  <c r="V23" i="180"/>
  <c r="T71" i="180"/>
  <c r="U71" i="180" s="1"/>
  <c r="T31" i="180"/>
  <c r="U31" i="180" s="1"/>
  <c r="T26" i="180"/>
  <c r="U26" i="180" s="1"/>
  <c r="V82" i="180"/>
  <c r="T41" i="180"/>
  <c r="U41" i="180" s="1"/>
  <c r="V8" i="180"/>
  <c r="T38" i="180"/>
  <c r="U38" i="180" s="1"/>
  <c r="T89" i="180"/>
  <c r="U89" i="180" s="1"/>
  <c r="U7" i="179"/>
  <c r="AO7" i="179" s="1"/>
  <c r="AZ7" i="179" s="1"/>
  <c r="V22" i="179"/>
  <c r="V74" i="179"/>
  <c r="V54" i="179"/>
  <c r="V12" i="179"/>
  <c r="T69" i="179"/>
  <c r="U69" i="179" s="1"/>
  <c r="AO69" i="179" s="1"/>
  <c r="AZ69" i="179" s="1"/>
  <c r="T40" i="179"/>
  <c r="U40" i="179" s="1"/>
  <c r="AO40" i="179" s="1"/>
  <c r="AZ40" i="179" s="1"/>
  <c r="T24" i="179"/>
  <c r="U24" i="179" s="1"/>
  <c r="AO24" i="179" s="1"/>
  <c r="AZ24" i="179" s="1"/>
  <c r="V34" i="179"/>
  <c r="T45" i="179"/>
  <c r="U45" i="179" s="1"/>
  <c r="AO45" i="179" s="1"/>
  <c r="AZ45" i="179" s="1"/>
  <c r="V78" i="179"/>
  <c r="M105" i="179"/>
  <c r="K7" i="191" s="1"/>
  <c r="O7" i="179"/>
  <c r="O105" i="179" s="1"/>
  <c r="M7" i="191" s="1"/>
  <c r="T21" i="179"/>
  <c r="U21" i="179" s="1"/>
  <c r="AO21" i="179" s="1"/>
  <c r="AZ21" i="179" s="1"/>
  <c r="V86" i="179"/>
  <c r="V82" i="179"/>
  <c r="T18" i="179"/>
  <c r="U18" i="179" s="1"/>
  <c r="AO18" i="179" s="1"/>
  <c r="AZ18" i="179" s="1"/>
  <c r="V39" i="179"/>
  <c r="V61" i="179"/>
  <c r="V95" i="179"/>
  <c r="V81" i="179"/>
  <c r="V29" i="179"/>
  <c r="V67" i="179"/>
  <c r="V60" i="179"/>
  <c r="V44" i="179"/>
  <c r="V62" i="179"/>
  <c r="V73" i="179"/>
  <c r="V85" i="179"/>
  <c r="V30" i="179"/>
  <c r="V52" i="179"/>
  <c r="V14" i="179"/>
  <c r="T53" i="179"/>
  <c r="U53" i="179" s="1"/>
  <c r="AO53" i="179" s="1"/>
  <c r="AZ53" i="179" s="1"/>
  <c r="V65" i="179"/>
  <c r="V43" i="179"/>
  <c r="V92" i="179"/>
  <c r="T55" i="179"/>
  <c r="U55" i="179" s="1"/>
  <c r="AO55" i="179" s="1"/>
  <c r="AZ55" i="179" s="1"/>
  <c r="T37" i="179"/>
  <c r="U37" i="179" s="1"/>
  <c r="AO37" i="179" s="1"/>
  <c r="AZ37" i="179" s="1"/>
  <c r="T10" i="179"/>
  <c r="U10" i="179" s="1"/>
  <c r="AO10" i="179" s="1"/>
  <c r="AZ10" i="179" s="1"/>
  <c r="T57" i="179"/>
  <c r="U57" i="179" s="1"/>
  <c r="AO57" i="179" s="1"/>
  <c r="AZ57" i="179" s="1"/>
  <c r="V8" i="179"/>
  <c r="T90" i="179"/>
  <c r="U90" i="179" s="1"/>
  <c r="AO90" i="179" s="1"/>
  <c r="AZ90" i="179" s="1"/>
  <c r="V76" i="179"/>
  <c r="V11" i="179"/>
  <c r="V48" i="179"/>
  <c r="V38" i="179"/>
  <c r="V75" i="179"/>
  <c r="V83" i="179"/>
  <c r="T72" i="179"/>
  <c r="U72" i="179" s="1"/>
  <c r="AO72" i="179" s="1"/>
  <c r="AZ72" i="179" s="1"/>
  <c r="V9" i="179"/>
  <c r="V59" i="179"/>
  <c r="V15" i="179"/>
  <c r="T23" i="179"/>
  <c r="U23" i="179" s="1"/>
  <c r="AO23" i="179" s="1"/>
  <c r="AZ23" i="179" s="1"/>
  <c r="V31" i="179"/>
  <c r="V16" i="179"/>
  <c r="T77" i="179"/>
  <c r="U77" i="179" s="1"/>
  <c r="AO77" i="179" s="1"/>
  <c r="AZ77" i="179" s="1"/>
  <c r="T46" i="179"/>
  <c r="U46" i="179" s="1"/>
  <c r="AO46" i="179" s="1"/>
  <c r="AZ46" i="179" s="1"/>
  <c r="T58" i="179"/>
  <c r="U58" i="179" s="1"/>
  <c r="AO58" i="179" s="1"/>
  <c r="AZ58" i="179" s="1"/>
  <c r="V49" i="179"/>
  <c r="T50" i="179"/>
  <c r="U50" i="179" s="1"/>
  <c r="AO50" i="179" s="1"/>
  <c r="AZ50" i="179" s="1"/>
  <c r="T79" i="179"/>
  <c r="U79" i="179" s="1"/>
  <c r="AO79" i="179" s="1"/>
  <c r="AZ79" i="179" s="1"/>
  <c r="T17" i="179"/>
  <c r="U17" i="179" s="1"/>
  <c r="AO17" i="179" s="1"/>
  <c r="AZ17" i="179" s="1"/>
  <c r="T68" i="179"/>
  <c r="U68" i="179" s="1"/>
  <c r="AO68" i="179" s="1"/>
  <c r="AZ68" i="179" s="1"/>
  <c r="T66" i="179"/>
  <c r="U66" i="179" s="1"/>
  <c r="AO66" i="179" s="1"/>
  <c r="AZ66" i="179" s="1"/>
  <c r="T56" i="179"/>
  <c r="U56" i="179" s="1"/>
  <c r="AO56" i="179" s="1"/>
  <c r="AZ56" i="179" s="1"/>
  <c r="T64" i="179"/>
  <c r="U64" i="179" s="1"/>
  <c r="AO64" i="179" s="1"/>
  <c r="AZ64" i="179" s="1"/>
  <c r="T87" i="179"/>
  <c r="U87" i="179" s="1"/>
  <c r="AO87" i="179" s="1"/>
  <c r="AZ87" i="179" s="1"/>
  <c r="V51" i="179"/>
  <c r="BD18" i="191" l="1"/>
  <c r="BB18" i="191"/>
  <c r="AZ8" i="190"/>
  <c r="AZ17" i="190" s="1"/>
  <c r="AW18" i="191" s="1"/>
  <c r="AO17" i="190"/>
  <c r="AL18" i="191" s="1"/>
  <c r="BA10" i="183"/>
  <c r="AZ105" i="179"/>
  <c r="AW7" i="191" s="1"/>
  <c r="V20" i="180"/>
  <c r="BA7" i="182"/>
  <c r="BA12" i="182" s="1"/>
  <c r="AX10" i="191" s="1"/>
  <c r="AO12" i="182"/>
  <c r="AL10" i="191" s="1"/>
  <c r="BA7" i="186"/>
  <c r="BA26" i="186" s="1"/>
  <c r="AX14" i="191" s="1"/>
  <c r="AO26" i="186"/>
  <c r="AL14" i="191" s="1"/>
  <c r="BA7" i="185"/>
  <c r="BA49" i="185" s="1"/>
  <c r="AO49" i="185"/>
  <c r="AO89" i="180"/>
  <c r="AZ89" i="180" s="1"/>
  <c r="AO41" i="180"/>
  <c r="AZ41" i="180" s="1"/>
  <c r="AO101" i="180"/>
  <c r="AZ101" i="180" s="1"/>
  <c r="AO68" i="180"/>
  <c r="AZ68" i="180" s="1"/>
  <c r="AO107" i="180"/>
  <c r="AZ107" i="180" s="1"/>
  <c r="AO81" i="180"/>
  <c r="AZ81" i="180" s="1"/>
  <c r="AO36" i="180"/>
  <c r="AZ36" i="180" s="1"/>
  <c r="AO29" i="180"/>
  <c r="AZ29" i="180" s="1"/>
  <c r="AO26" i="180"/>
  <c r="AZ26" i="180" s="1"/>
  <c r="AZ7" i="180"/>
  <c r="AO113" i="180"/>
  <c r="AZ113" i="180" s="1"/>
  <c r="AO10" i="180"/>
  <c r="AZ10" i="180" s="1"/>
  <c r="AO40" i="180"/>
  <c r="AZ40" i="180" s="1"/>
  <c r="AO54" i="180"/>
  <c r="AZ54" i="180" s="1"/>
  <c r="AO53" i="180"/>
  <c r="AZ53" i="180" s="1"/>
  <c r="AO50" i="180"/>
  <c r="AZ50" i="180" s="1"/>
  <c r="AO31" i="180"/>
  <c r="AZ31" i="180" s="1"/>
  <c r="AO85" i="180"/>
  <c r="AZ85" i="180" s="1"/>
  <c r="AO112" i="180"/>
  <c r="AZ112" i="180" s="1"/>
  <c r="AO80" i="180"/>
  <c r="AZ80" i="180" s="1"/>
  <c r="AO100" i="180"/>
  <c r="AZ100" i="180" s="1"/>
  <c r="AO71" i="180"/>
  <c r="AZ71" i="180" s="1"/>
  <c r="AO16" i="180"/>
  <c r="AZ16" i="180" s="1"/>
  <c r="AO97" i="180"/>
  <c r="AZ97" i="180" s="1"/>
  <c r="AO86" i="180"/>
  <c r="AZ86" i="180" s="1"/>
  <c r="AO32" i="180"/>
  <c r="AZ32" i="180" s="1"/>
  <c r="AO51" i="180"/>
  <c r="AZ51" i="180" s="1"/>
  <c r="AP97" i="180"/>
  <c r="AP115" i="180" s="1"/>
  <c r="AP117" i="180" s="1"/>
  <c r="AM8" i="191" s="1"/>
  <c r="AM19" i="191" s="1"/>
  <c r="D20" i="40" s="1"/>
  <c r="AN115" i="180"/>
  <c r="AN117" i="180" s="1"/>
  <c r="AK8" i="191" s="1"/>
  <c r="AO43" i="180"/>
  <c r="AZ43" i="180" s="1"/>
  <c r="AO38" i="180"/>
  <c r="AZ38" i="180" s="1"/>
  <c r="AO96" i="180"/>
  <c r="AO74" i="180"/>
  <c r="AZ74" i="180" s="1"/>
  <c r="AO39" i="180"/>
  <c r="AZ39" i="180" s="1"/>
  <c r="AO102" i="180"/>
  <c r="AZ102" i="180" s="1"/>
  <c r="AO13" i="180"/>
  <c r="AZ13" i="180" s="1"/>
  <c r="AO79" i="180"/>
  <c r="AZ79" i="180" s="1"/>
  <c r="AO60" i="180"/>
  <c r="AZ60" i="180" s="1"/>
  <c r="AO59" i="180"/>
  <c r="AZ59" i="180" s="1"/>
  <c r="AO23" i="180"/>
  <c r="AZ23" i="180" s="1"/>
  <c r="V12" i="190"/>
  <c r="T17" i="190"/>
  <c r="V7" i="190"/>
  <c r="V17" i="190" s="1"/>
  <c r="U17" i="190"/>
  <c r="AM17" i="190"/>
  <c r="V20" i="189"/>
  <c r="V15" i="189"/>
  <c r="U14" i="189"/>
  <c r="T24" i="189"/>
  <c r="V16" i="189"/>
  <c r="V23" i="189"/>
  <c r="V19" i="189"/>
  <c r="M16" i="188"/>
  <c r="W14" i="188"/>
  <c r="W7" i="188"/>
  <c r="U15" i="188"/>
  <c r="V11" i="188"/>
  <c r="V15" i="188" s="1"/>
  <c r="U20" i="187"/>
  <c r="V7" i="187"/>
  <c r="V17" i="187"/>
  <c r="T20" i="187"/>
  <c r="V9" i="187"/>
  <c r="V19" i="187"/>
  <c r="V16" i="187"/>
  <c r="V8" i="187"/>
  <c r="W7" i="186"/>
  <c r="U26" i="186"/>
  <c r="W24" i="186"/>
  <c r="W20" i="186"/>
  <c r="T26" i="186"/>
  <c r="W35" i="185"/>
  <c r="W10" i="185"/>
  <c r="W30" i="185"/>
  <c r="W42" i="185"/>
  <c r="V48" i="185"/>
  <c r="V38" i="185"/>
  <c r="W22" i="185"/>
  <c r="V44" i="185"/>
  <c r="V12" i="185"/>
  <c r="W46" i="185"/>
  <c r="U49" i="185"/>
  <c r="W7" i="185"/>
  <c r="W49" i="185" s="1"/>
  <c r="T49" i="185"/>
  <c r="W10" i="184"/>
  <c r="U17" i="184"/>
  <c r="AM17" i="184"/>
  <c r="W7" i="184"/>
  <c r="W17" i="184" s="1"/>
  <c r="T17" i="184"/>
  <c r="W20" i="183"/>
  <c r="W10" i="183"/>
  <c r="U8" i="183"/>
  <c r="AO8" i="183" s="1"/>
  <c r="BA8" i="183" s="1"/>
  <c r="T30" i="183"/>
  <c r="W9" i="182"/>
  <c r="U12" i="182"/>
  <c r="W7" i="182"/>
  <c r="T12" i="182"/>
  <c r="T71" i="181"/>
  <c r="U72" i="181" s="1"/>
  <c r="U7" i="181"/>
  <c r="V68" i="181"/>
  <c r="W68" i="181"/>
  <c r="M71" i="181"/>
  <c r="O7" i="181"/>
  <c r="O71" i="181" s="1"/>
  <c r="W27" i="181"/>
  <c r="W13" i="181"/>
  <c r="W42" i="181"/>
  <c r="W39" i="181"/>
  <c r="W69" i="181"/>
  <c r="W62" i="181"/>
  <c r="W12" i="181"/>
  <c r="W21" i="181"/>
  <c r="W51" i="181"/>
  <c r="W45" i="181"/>
  <c r="W28" i="181"/>
  <c r="W67" i="181"/>
  <c r="V81" i="180"/>
  <c r="Y113" i="180"/>
  <c r="V113" i="180"/>
  <c r="Y96" i="180"/>
  <c r="U115" i="180"/>
  <c r="V40" i="180"/>
  <c r="V39" i="180"/>
  <c r="V41" i="180"/>
  <c r="U93" i="180"/>
  <c r="V7" i="180"/>
  <c r="V85" i="180"/>
  <c r="V10" i="180"/>
  <c r="T115" i="180"/>
  <c r="V80" i="180"/>
  <c r="V79" i="180"/>
  <c r="O117" i="180"/>
  <c r="M8" i="191" s="1"/>
  <c r="Y97" i="180"/>
  <c r="V54" i="180"/>
  <c r="V36" i="180"/>
  <c r="Y112" i="180"/>
  <c r="V112" i="180" s="1"/>
  <c r="V115" i="180" s="1"/>
  <c r="V26" i="180"/>
  <c r="M117" i="180"/>
  <c r="K8" i="191" s="1"/>
  <c r="K19" i="191" s="1"/>
  <c r="R20" i="191" s="1"/>
  <c r="V32" i="180"/>
  <c r="V53" i="180"/>
  <c r="V16" i="180"/>
  <c r="V89" i="180"/>
  <c r="Y101" i="180"/>
  <c r="V74" i="180"/>
  <c r="T93" i="180"/>
  <c r="V68" i="180"/>
  <c r="V71" i="180"/>
  <c r="V31" i="180"/>
  <c r="V38" i="180"/>
  <c r="V51" i="180"/>
  <c r="V56" i="179"/>
  <c r="V58" i="179"/>
  <c r="V37" i="179"/>
  <c r="V53" i="179"/>
  <c r="V45" i="179"/>
  <c r="V66" i="179"/>
  <c r="V46" i="179"/>
  <c r="V55" i="179"/>
  <c r="V17" i="179"/>
  <c r="V90" i="179"/>
  <c r="V21" i="179"/>
  <c r="V24" i="179"/>
  <c r="V79" i="179"/>
  <c r="V40" i="179"/>
  <c r="V68" i="179"/>
  <c r="V50" i="179"/>
  <c r="V69" i="179"/>
  <c r="V77" i="179"/>
  <c r="V87" i="179"/>
  <c r="V72" i="179"/>
  <c r="V57" i="179"/>
  <c r="V18" i="179"/>
  <c r="S7" i="191"/>
  <c r="BB7" i="191" s="1"/>
  <c r="V7" i="179"/>
  <c r="V64" i="179"/>
  <c r="V23" i="179"/>
  <c r="V10" i="179"/>
  <c r="T105" i="179"/>
  <c r="R7" i="191" s="1"/>
  <c r="BD7" i="191" l="1"/>
  <c r="AK19" i="191"/>
  <c r="BA30" i="183"/>
  <c r="AX11" i="191" s="1"/>
  <c r="AX19" i="191" s="1"/>
  <c r="AO30" i="183"/>
  <c r="AL11" i="191" s="1"/>
  <c r="AZ96" i="180"/>
  <c r="AZ115" i="180" s="1"/>
  <c r="AO115" i="180"/>
  <c r="AU115" i="180"/>
  <c r="AZ93" i="180"/>
  <c r="AO93" i="180"/>
  <c r="AW93" i="180"/>
  <c r="AU93" i="180"/>
  <c r="T117" i="180"/>
  <c r="AL7" i="191"/>
  <c r="U18" i="190"/>
  <c r="M18" i="190"/>
  <c r="U25" i="189"/>
  <c r="M25" i="189"/>
  <c r="AM24" i="189"/>
  <c r="V14" i="189"/>
  <c r="V24" i="189" s="1"/>
  <c r="U24" i="189"/>
  <c r="AM15" i="188"/>
  <c r="W15" i="188"/>
  <c r="W11" i="188"/>
  <c r="U21" i="187"/>
  <c r="M21" i="187"/>
  <c r="AM20" i="187"/>
  <c r="V20" i="187"/>
  <c r="U27" i="186"/>
  <c r="M27" i="186"/>
  <c r="W26" i="186"/>
  <c r="AM26" i="186"/>
  <c r="AJ14" i="191" s="1"/>
  <c r="U50" i="185"/>
  <c r="M50" i="185"/>
  <c r="AM49" i="185"/>
  <c r="V49" i="185"/>
  <c r="U18" i="184"/>
  <c r="M18" i="184"/>
  <c r="U31" i="183"/>
  <c r="M31" i="183"/>
  <c r="W8" i="183"/>
  <c r="W30" i="183" s="1"/>
  <c r="AM30" i="183"/>
  <c r="U30" i="183"/>
  <c r="U13" i="182"/>
  <c r="M13" i="182"/>
  <c r="W12" i="182"/>
  <c r="AM12" i="182"/>
  <c r="AJ10" i="191" s="1"/>
  <c r="M72" i="181"/>
  <c r="W71" i="181"/>
  <c r="U71" i="181"/>
  <c r="V7" i="181"/>
  <c r="V71" i="181" s="1"/>
  <c r="AM71" i="181"/>
  <c r="AW115" i="180"/>
  <c r="Y115" i="180"/>
  <c r="Y117" i="180" s="1"/>
  <c r="W8" i="191" s="1"/>
  <c r="W19" i="191" s="1"/>
  <c r="V93" i="180"/>
  <c r="V117" i="180" s="1"/>
  <c r="T8" i="191" s="1"/>
  <c r="U117" i="180"/>
  <c r="S8" i="191" s="1"/>
  <c r="BB8" i="191" s="1"/>
  <c r="T7" i="191"/>
  <c r="U106" i="179"/>
  <c r="M106" i="179"/>
  <c r="BD8" i="191" l="1"/>
  <c r="AJ19" i="191"/>
  <c r="T19" i="191"/>
  <c r="U118" i="180"/>
  <c r="R8" i="191"/>
  <c r="R19" i="191" s="1"/>
  <c r="AU117" i="180"/>
  <c r="AR8" i="191" s="1"/>
  <c r="AR19" i="191" s="1"/>
  <c r="AO117" i="180"/>
  <c r="AL8" i="191" s="1"/>
  <c r="AL19" i="191" s="1"/>
  <c r="AZ117" i="180"/>
  <c r="AW8" i="191" s="1"/>
  <c r="AW19" i="191" s="1"/>
  <c r="M118" i="180"/>
  <c r="AW117" i="180"/>
  <c r="AT8" i="191" s="1"/>
  <c r="AT19" i="191" s="1"/>
  <c r="K20" i="191" l="1"/>
  <c r="G20" i="42" l="1"/>
  <c r="G16" i="42"/>
  <c r="H12" i="38" l="1"/>
  <c r="E17" i="75" l="1"/>
  <c r="F15" i="75" s="1"/>
  <c r="E13" i="71"/>
  <c r="F12" i="71" s="1"/>
  <c r="F13" i="71" s="1"/>
  <c r="F16" i="44"/>
  <c r="O15" i="44"/>
  <c r="R15" i="44" s="1"/>
  <c r="O14" i="44"/>
  <c r="R14" i="44" s="1"/>
  <c r="H16" i="44"/>
  <c r="F12" i="43" s="1"/>
  <c r="O12" i="44"/>
  <c r="R12" i="44" s="1"/>
  <c r="O11" i="44"/>
  <c r="R11" i="44" s="1"/>
  <c r="C16" i="44"/>
  <c r="O9" i="44"/>
  <c r="R9" i="44" s="1"/>
  <c r="I16" i="44"/>
  <c r="O7" i="44"/>
  <c r="R7" i="44" s="1"/>
  <c r="K16" i="44"/>
  <c r="E16" i="44"/>
  <c r="W24" i="97"/>
  <c r="V24" i="97"/>
  <c r="W23" i="12"/>
  <c r="V23" i="12"/>
  <c r="G14" i="43"/>
  <c r="H20" i="38"/>
  <c r="E20" i="38"/>
  <c r="K19" i="38"/>
  <c r="H19" i="38"/>
  <c r="E19" i="38"/>
  <c r="H18" i="38"/>
  <c r="G17" i="38"/>
  <c r="G21" i="38" s="1"/>
  <c r="G22" i="38" s="1"/>
  <c r="F17" i="38"/>
  <c r="F21" i="38" s="1"/>
  <c r="F22" i="38" s="1"/>
  <c r="D17" i="38"/>
  <c r="D22" i="38" s="1"/>
  <c r="C17" i="38"/>
  <c r="H16" i="38"/>
  <c r="E16" i="38"/>
  <c r="H15" i="38"/>
  <c r="E15" i="38"/>
  <c r="H14" i="38"/>
  <c r="E14" i="38"/>
  <c r="K13" i="38"/>
  <c r="H13" i="38"/>
  <c r="E13" i="38"/>
  <c r="H11" i="38"/>
  <c r="E11" i="38"/>
  <c r="H10" i="38"/>
  <c r="E10" i="38"/>
  <c r="H9" i="38"/>
  <c r="E9" i="38"/>
  <c r="G13" i="100"/>
  <c r="G21" i="61"/>
  <c r="H19" i="40"/>
  <c r="G19" i="40"/>
  <c r="F19" i="40"/>
  <c r="E19" i="40"/>
  <c r="D19" i="40"/>
  <c r="D14" i="40"/>
  <c r="F16" i="75" l="1"/>
  <c r="H17" i="38"/>
  <c r="I19" i="40"/>
  <c r="G22" i="42"/>
  <c r="H21" i="38"/>
  <c r="H22" i="38" s="1"/>
  <c r="E17" i="38"/>
  <c r="J16" i="44"/>
  <c r="F17" i="75"/>
  <c r="L16" i="44"/>
  <c r="O13" i="44"/>
  <c r="R13" i="44" s="1"/>
  <c r="D16" i="44"/>
  <c r="F8" i="43" s="1"/>
  <c r="O6" i="44"/>
  <c r="R6" i="44" s="1"/>
  <c r="X95" i="192"/>
  <c r="O4" i="44"/>
  <c r="R4" i="44" s="1"/>
  <c r="D21" i="38"/>
  <c r="C21" i="38"/>
  <c r="T24" i="97" s="1"/>
  <c r="C22" i="38"/>
  <c r="E22" i="38" s="1"/>
  <c r="M16" i="44"/>
  <c r="F7" i="43" s="1"/>
  <c r="G21" i="40"/>
  <c r="E21" i="40"/>
  <c r="F11" i="43" l="1"/>
  <c r="N16" i="44"/>
  <c r="F13" i="43" s="1"/>
  <c r="I22" i="40"/>
  <c r="E21" i="38"/>
  <c r="F8" i="100"/>
  <c r="T23" i="12"/>
  <c r="V24" i="12"/>
  <c r="G23" i="40"/>
  <c r="G24" i="40" s="1"/>
  <c r="F23" i="40"/>
  <c r="F24" i="40" s="1"/>
  <c r="O8" i="44"/>
  <c r="R8" i="44" s="1"/>
  <c r="J19" i="44"/>
  <c r="D21" i="40"/>
  <c r="E23" i="40"/>
  <c r="E24" i="40" s="1"/>
  <c r="I20" i="40"/>
  <c r="I21" i="40" s="1"/>
  <c r="U23" i="12"/>
  <c r="U24" i="97"/>
  <c r="F9" i="100"/>
  <c r="B16" i="44"/>
  <c r="O5" i="44"/>
  <c r="R5" i="44" s="1"/>
  <c r="H21" i="40"/>
  <c r="H23" i="40"/>
  <c r="H24" i="40" s="1"/>
  <c r="O10" i="44" l="1"/>
  <c r="D23" i="40"/>
  <c r="D24" i="40" s="1"/>
  <c r="B19" i="12"/>
  <c r="E31" i="39" s="1"/>
  <c r="G11" i="41" s="1"/>
  <c r="E29" i="39"/>
  <c r="G9" i="41" s="1"/>
  <c r="K19" i="44"/>
  <c r="F10" i="43"/>
  <c r="F14" i="43" s="1"/>
  <c r="F12" i="100" s="1"/>
  <c r="O16" i="44" l="1"/>
  <c r="X23" i="12" s="1"/>
  <c r="X24" i="12" s="1"/>
  <c r="R10" i="44"/>
  <c r="R16" i="44" s="1"/>
  <c r="N27" i="97"/>
  <c r="J22" i="97"/>
  <c r="I23" i="40"/>
  <c r="I24" i="40" s="1"/>
  <c r="Y19" i="12"/>
  <c r="F13" i="100"/>
  <c r="J12" i="100" s="1"/>
  <c r="S23" i="12" l="1"/>
  <c r="X24" i="97"/>
  <c r="F18" i="61"/>
  <c r="F11" i="61"/>
  <c r="F16" i="61"/>
  <c r="N22" i="97"/>
  <c r="F20" i="61"/>
  <c r="F18" i="42"/>
  <c r="F11" i="42"/>
  <c r="N20" i="12"/>
  <c r="E15" i="69"/>
  <c r="F14" i="69" s="1"/>
  <c r="J8" i="100"/>
  <c r="J10" i="100"/>
  <c r="J9" i="100"/>
  <c r="J11" i="100"/>
  <c r="J20" i="12"/>
  <c r="S24" i="97" l="1"/>
  <c r="S30" i="97" s="1"/>
  <c r="X25" i="97"/>
  <c r="F12" i="61"/>
  <c r="F13" i="69"/>
  <c r="F12" i="69"/>
  <c r="J13" i="100"/>
  <c r="F15" i="61" l="1"/>
  <c r="F12" i="42"/>
  <c r="F13" i="61"/>
  <c r="F19" i="61"/>
  <c r="F10" i="61"/>
  <c r="F14" i="61"/>
  <c r="F17" i="61"/>
  <c r="W24" i="12"/>
  <c r="F15" i="69"/>
  <c r="F9" i="42"/>
  <c r="F19" i="42"/>
  <c r="F17" i="42"/>
  <c r="F13" i="42"/>
  <c r="F14" i="42"/>
  <c r="F10" i="42"/>
  <c r="F21" i="42"/>
  <c r="R20" i="12"/>
  <c r="F8" i="61" l="1"/>
  <c r="F9" i="61"/>
  <c r="U25" i="97"/>
  <c r="S22" i="97"/>
  <c r="T25" i="97"/>
  <c r="K22" i="97"/>
  <c r="W25" i="97"/>
  <c r="E14" i="74"/>
  <c r="F12" i="74" s="1"/>
  <c r="F8" i="42"/>
  <c r="E14" i="67"/>
  <c r="E18" i="78"/>
  <c r="F15" i="78" s="1"/>
  <c r="F15" i="42"/>
  <c r="E12" i="81"/>
  <c r="F11" i="81" s="1"/>
  <c r="S25" i="97" l="1"/>
  <c r="F21" i="61"/>
  <c r="I10" i="61" s="1"/>
  <c r="U24" i="12"/>
  <c r="E18" i="73"/>
  <c r="F17" i="73" s="1"/>
  <c r="E14" i="72"/>
  <c r="F13" i="72" s="1"/>
  <c r="T24" i="12"/>
  <c r="E27" i="39"/>
  <c r="G7" i="41" s="1"/>
  <c r="F13" i="74"/>
  <c r="F14" i="74" s="1"/>
  <c r="H12" i="67"/>
  <c r="H14" i="67"/>
  <c r="H13" i="67"/>
  <c r="F17" i="78"/>
  <c r="F16" i="78"/>
  <c r="E17" i="77"/>
  <c r="F16" i="77" s="1"/>
  <c r="F10" i="81"/>
  <c r="F12" i="81" s="1"/>
  <c r="S20" i="12"/>
  <c r="K20" i="12"/>
  <c r="F22" i="42"/>
  <c r="F16" i="73" l="1"/>
  <c r="I9" i="61"/>
  <c r="I8" i="61"/>
  <c r="I20" i="61"/>
  <c r="I13" i="61"/>
  <c r="I17" i="61"/>
  <c r="I19" i="61"/>
  <c r="I15" i="61"/>
  <c r="I18" i="61"/>
  <c r="I16" i="61"/>
  <c r="I12" i="61"/>
  <c r="I11" i="61"/>
  <c r="I14" i="61"/>
  <c r="F15" i="73"/>
  <c r="F12" i="72"/>
  <c r="F14" i="72" s="1"/>
  <c r="E17" i="68"/>
  <c r="F13" i="68" s="1"/>
  <c r="S24" i="12"/>
  <c r="F18" i="78"/>
  <c r="F15" i="77"/>
  <c r="F17" i="77" s="1"/>
  <c r="J9" i="42"/>
  <c r="J11" i="42"/>
  <c r="J14" i="42"/>
  <c r="J21" i="42"/>
  <c r="J20" i="42"/>
  <c r="J19" i="42"/>
  <c r="J12" i="42"/>
  <c r="J10" i="42"/>
  <c r="J18" i="42"/>
  <c r="J17" i="42"/>
  <c r="J8" i="42"/>
  <c r="J13" i="42"/>
  <c r="J16" i="42"/>
  <c r="J15" i="42"/>
  <c r="F18" i="73" l="1"/>
  <c r="F12" i="68"/>
  <c r="F14" i="68"/>
  <c r="I21" i="61"/>
  <c r="F15" i="68"/>
  <c r="F16" i="68"/>
  <c r="J22" i="42"/>
  <c r="F17" i="68" l="1"/>
  <c r="X11" i="191" l="1"/>
  <c r="X19" i="191" s="1"/>
  <c r="B11" i="191"/>
  <c r="B19" i="191" s="1"/>
  <c r="D11" i="191" l="1"/>
  <c r="D19" i="191" s="1"/>
  <c r="L11" i="191"/>
  <c r="L19" i="191" s="1"/>
  <c r="S20" i="191" s="1"/>
  <c r="M11" i="191" l="1"/>
  <c r="M19" i="191" s="1"/>
  <c r="S11" i="191" l="1"/>
  <c r="S19" i="191" l="1"/>
  <c r="BD19" i="191" s="1"/>
  <c r="BD11" i="191"/>
  <c r="BB11" i="191"/>
  <c r="U11" i="191"/>
  <c r="U19" i="191" s="1"/>
  <c r="A7" i="205" l="1"/>
  <c r="A8" i="205" s="1"/>
  <c r="A9" i="205" s="1"/>
  <c r="A10" i="205" s="1"/>
  <c r="A11" i="205" s="1"/>
  <c r="A12" i="205" s="1"/>
  <c r="A13" i="205" s="1"/>
  <c r="A14" i="205" s="1"/>
  <c r="A15" i="205" s="1"/>
  <c r="A16" i="205" s="1"/>
  <c r="A17" i="205" s="1"/>
  <c r="A18" i="205" s="1"/>
  <c r="A19" i="205" s="1"/>
  <c r="A20" i="205" s="1"/>
  <c r="A21" i="205" s="1"/>
  <c r="A22" i="205" s="1"/>
  <c r="A23" i="205" s="1"/>
  <c r="A24" i="205" s="1"/>
  <c r="A25" i="205" s="1"/>
  <c r="A26" i="205" s="1"/>
  <c r="A27" i="205" s="1"/>
  <c r="A28" i="205" s="1"/>
  <c r="A29" i="205" s="1"/>
  <c r="A30" i="205" s="1"/>
  <c r="A31" i="205" s="1"/>
  <c r="A32" i="205" s="1"/>
  <c r="A33" i="205" s="1"/>
  <c r="A34" i="205" s="1"/>
  <c r="A35" i="205" s="1"/>
  <c r="A36" i="205" s="1"/>
  <c r="A37" i="205" s="1"/>
  <c r="A38" i="205" s="1"/>
  <c r="A39" i="205" s="1"/>
  <c r="A40" i="205" s="1"/>
  <c r="A41" i="205" s="1"/>
  <c r="A42" i="205" s="1"/>
  <c r="A43" i="205" s="1"/>
  <c r="A44" i="205" s="1"/>
  <c r="A45" i="205" s="1"/>
  <c r="A46" i="205" s="1"/>
  <c r="A47" i="205" s="1"/>
  <c r="A48" i="205" s="1"/>
  <c r="A50" i="205" s="1"/>
  <c r="A51" i="205" s="1"/>
  <c r="A52" i="205" s="1"/>
  <c r="A53" i="205" s="1"/>
  <c r="A54" i="205" s="1"/>
  <c r="A55" i="205" s="1"/>
  <c r="A56" i="205" s="1"/>
  <c r="A57" i="205" s="1"/>
  <c r="A58" i="205" s="1"/>
  <c r="A59" i="205" s="1"/>
  <c r="A60" i="205" s="1"/>
  <c r="A61" i="205" s="1"/>
  <c r="A62" i="205" s="1"/>
  <c r="A63" i="205" s="1"/>
  <c r="A64" i="205" s="1"/>
  <c r="A65" i="205" s="1"/>
  <c r="A66" i="205" s="1"/>
  <c r="A67" i="205" s="1"/>
  <c r="A68" i="205" s="1"/>
  <c r="A69" i="205" s="1"/>
  <c r="A70" i="205" s="1"/>
  <c r="A71" i="205" s="1"/>
  <c r="A72" i="205" s="1"/>
  <c r="A73" i="205" s="1"/>
  <c r="A74" i="205" s="1"/>
  <c r="A75" i="205" s="1"/>
  <c r="A76" i="205" s="1"/>
  <c r="A77" i="205" s="1"/>
  <c r="A78" i="205" s="1"/>
  <c r="A79" i="205" s="1"/>
  <c r="A80" i="205" s="1"/>
  <c r="A81" i="205" s="1"/>
  <c r="A82" i="205" s="1"/>
  <c r="A83" i="205" s="1"/>
  <c r="A84" i="205" s="1"/>
  <c r="A85" i="205" s="1"/>
  <c r="A86" i="205" s="1"/>
  <c r="A88" i="205" s="1"/>
  <c r="A90" i="205" s="1"/>
  <c r="A6" i="206"/>
  <c r="A7" i="206" s="1"/>
  <c r="A8" i="206" s="1"/>
  <c r="A9" i="206" s="1"/>
  <c r="A10" i="206" s="1"/>
  <c r="A11" i="206" s="1"/>
  <c r="A12" i="206" s="1"/>
  <c r="A13" i="206" s="1"/>
  <c r="A15" i="206" s="1"/>
  <c r="A16" i="206" s="1"/>
  <c r="A17" i="206" s="1"/>
  <c r="A18" i="206" s="1"/>
  <c r="A19" i="206" s="1"/>
  <c r="A20" i="206" s="1"/>
  <c r="A21" i="206" s="1"/>
  <c r="A22" i="206" s="1"/>
  <c r="A23" i="206" s="1"/>
  <c r="A24" i="206" s="1"/>
  <c r="A25" i="206" s="1"/>
  <c r="A26" i="206" s="1"/>
  <c r="A27" i="206" s="1"/>
  <c r="A28" i="206" s="1"/>
  <c r="A29" i="206" s="1"/>
  <c r="A30" i="206" s="1"/>
  <c r="A31" i="206" s="1"/>
  <c r="A32" i="206" s="1"/>
  <c r="A33" i="206" s="1"/>
  <c r="A34" i="206" s="1"/>
  <c r="A35" i="206" s="1"/>
  <c r="A36" i="206" s="1"/>
  <c r="A37" i="206" s="1"/>
  <c r="A38" i="206" s="1"/>
  <c r="A39" i="206" s="1"/>
  <c r="A40" i="206" s="1"/>
  <c r="A41" i="206" s="1"/>
  <c r="A42" i="206" s="1"/>
  <c r="A43" i="206" s="1"/>
  <c r="A44" i="206" s="1"/>
  <c r="A45" i="206" s="1"/>
  <c r="A46" i="206" s="1"/>
  <c r="A47" i="206" s="1"/>
  <c r="A48" i="206" s="1"/>
  <c r="A49" i="206" s="1"/>
  <c r="A50" i="206" s="1"/>
  <c r="A51" i="206" s="1"/>
  <c r="A52" i="206" s="1"/>
  <c r="A58" i="206" l="1"/>
  <c r="A59" i="206" s="1"/>
  <c r="A60" i="206" s="1"/>
  <c r="A61" i="206" s="1"/>
  <c r="A62" i="206" s="1"/>
  <c r="A63" i="206" s="1"/>
  <c r="A64" i="206" s="1"/>
  <c r="A65" i="206" s="1"/>
  <c r="A66" i="206" s="1"/>
  <c r="A68" i="206" s="1"/>
  <c r="A69" i="206" s="1"/>
  <c r="A71" i="206" s="1"/>
  <c r="A73" i="206" s="1"/>
  <c r="A75" i="206" s="1"/>
  <c r="A76" i="206" s="1"/>
  <c r="A77" i="206" s="1"/>
  <c r="A78" i="206" s="1"/>
  <c r="A79" i="206" s="1"/>
  <c r="A80" i="206" s="1"/>
  <c r="A81" i="206" s="1"/>
  <c r="A82" i="206" s="1"/>
  <c r="A83" i="206" s="1"/>
  <c r="A84" i="206" s="1"/>
  <c r="A85" i="206" s="1"/>
  <c r="A86" i="206" s="1"/>
  <c r="A87" i="206" s="1"/>
  <c r="A88" i="206" s="1"/>
  <c r="A89" i="206" s="1"/>
  <c r="A90" i="206" s="1"/>
  <c r="A91" i="206" s="1"/>
  <c r="A92" i="206" s="1"/>
  <c r="A93" i="206" s="1"/>
  <c r="A94" i="206" s="1"/>
  <c r="A95" i="206" s="1"/>
  <c r="A96" i="206" s="1"/>
  <c r="A97" i="206" s="1"/>
  <c r="A99" i="206" s="1"/>
  <c r="A100" i="206" s="1"/>
  <c r="A101" i="206" s="1"/>
  <c r="A102" i="206" s="1"/>
  <c r="A103" i="206" s="1"/>
  <c r="A104" i="206" s="1"/>
  <c r="A105" i="206" s="1"/>
  <c r="A106" i="206" s="1"/>
  <c r="A107" i="206" s="1"/>
  <c r="A108" i="206" s="1"/>
  <c r="A109" i="206" s="1"/>
  <c r="A110" i="206" s="1"/>
  <c r="A111" i="206" s="1"/>
  <c r="A112" i="206" s="1"/>
  <c r="A113" i="206" s="1"/>
  <c r="A114" i="206" s="1"/>
  <c r="A115" i="206" s="1"/>
  <c r="A116" i="206" s="1"/>
  <c r="A118" i="206" s="1"/>
  <c r="A119" i="206" s="1"/>
  <c r="A121" i="206" s="1"/>
  <c r="A123" i="206" s="1"/>
  <c r="A124" i="206" s="1"/>
  <c r="A125" i="206" s="1"/>
  <c r="A127" i="206" s="1"/>
  <c r="A129" i="206" s="1"/>
  <c r="A130" i="206" s="1"/>
  <c r="A131" i="206" s="1"/>
  <c r="A53" i="206"/>
  <c r="A54" i="206" s="1"/>
  <c r="A14" i="207"/>
  <c r="A15" i="207" s="1"/>
  <c r="A16" i="207" s="1"/>
  <c r="A17" i="207" s="1"/>
  <c r="A18" i="207" s="1"/>
  <c r="A19" i="207" s="1"/>
  <c r="A20" i="207" s="1"/>
  <c r="A21" i="207" s="1"/>
  <c r="A22" i="207" s="1"/>
  <c r="A24" i="207" s="1"/>
  <c r="A25" i="207" s="1"/>
  <c r="A26" i="207" s="1"/>
  <c r="A27" i="207" s="1"/>
  <c r="A28" i="207" s="1"/>
  <c r="A29" i="207" s="1"/>
  <c r="A30" i="207" s="1"/>
  <c r="A31" i="207" s="1"/>
  <c r="A32" i="207" s="1"/>
  <c r="A33" i="207" s="1"/>
  <c r="A34" i="207" s="1"/>
  <c r="A35" i="207" s="1"/>
  <c r="A36" i="207" s="1"/>
  <c r="A37" i="207" s="1"/>
  <c r="A38" i="207" s="1"/>
  <c r="A39" i="207" s="1"/>
  <c r="A40" i="207" s="1"/>
  <c r="A41" i="207" s="1"/>
  <c r="A42" i="207" s="1"/>
  <c r="A43" i="207" s="1"/>
  <c r="A44" i="207" s="1"/>
  <c r="A45" i="207" s="1"/>
  <c r="A46" i="207" s="1"/>
  <c r="A47" i="207" s="1"/>
  <c r="A49" i="207" s="1"/>
  <c r="A50" i="207" s="1"/>
  <c r="A51" i="207" s="1"/>
  <c r="A52" i="207" s="1"/>
  <c r="A57" i="207" s="1"/>
  <c r="A59" i="207" s="1"/>
  <c r="A60" i="207" s="1"/>
  <c r="A61" i="207" s="1"/>
  <c r="A62" i="207" s="1"/>
  <c r="A63" i="207" s="1"/>
  <c r="A65" i="207" s="1"/>
  <c r="A66" i="207" s="1"/>
  <c r="A67" i="207" s="1"/>
  <c r="A68" i="207" s="1"/>
  <c r="A70" i="207" s="1"/>
  <c r="A71" i="207" s="1"/>
  <c r="A72" i="207" s="1"/>
  <c r="A73" i="207" s="1"/>
  <c r="A74" i="207" s="1"/>
  <c r="A75" i="207" s="1"/>
  <c r="A77" i="207" s="1"/>
  <c r="A6" i="207"/>
  <c r="A8" i="207" s="1"/>
  <c r="A9" i="207" s="1"/>
  <c r="A10" i="207" s="1"/>
  <c r="A6" i="210"/>
  <c r="A7" i="210"/>
  <c r="A8" i="210"/>
  <c r="A9" i="210"/>
  <c r="A10" i="210"/>
  <c r="A11" i="210"/>
  <c r="A12" i="210"/>
  <c r="A13" i="210"/>
  <c r="A14" i="210"/>
  <c r="A15" i="210"/>
  <c r="A19" i="210"/>
  <c r="A7" i="211"/>
  <c r="A9" i="211"/>
  <c r="A10" i="211"/>
  <c r="A11" i="211"/>
  <c r="A12" i="211"/>
  <c r="A13" i="211"/>
  <c r="A14" i="211"/>
  <c r="A15" i="211"/>
  <c r="A35" i="211"/>
  <c r="A37" i="211" s="1"/>
  <c r="A39" i="211" s="1"/>
  <c r="A40" i="211" s="1"/>
  <c r="A41" i="211" s="1"/>
  <c r="A42" i="211" s="1"/>
  <c r="A44" i="211" s="1"/>
  <c r="A46" i="211" s="1"/>
  <c r="A48" i="211" s="1"/>
  <c r="A49" i="211" s="1"/>
  <c r="A50" i="211" s="1"/>
  <c r="A51" i="211" s="1"/>
  <c r="A52" i="211" s="1"/>
  <c r="A53" i="211" s="1"/>
  <c r="A54" i="211" s="1"/>
  <c r="A55" i="211" s="1"/>
  <c r="A57" i="211" s="1"/>
  <c r="A16" i="211"/>
  <c r="A17" i="211"/>
  <c r="A18" i="211"/>
  <c r="A19" i="211"/>
  <c r="A20" i="211"/>
  <c r="A21" i="211"/>
  <c r="A22" i="211"/>
  <c r="A23" i="211"/>
  <c r="A24" i="211"/>
  <c r="A25" i="211"/>
  <c r="A26" i="211"/>
  <c r="A27" i="211"/>
  <c r="A28" i="211"/>
  <c r="A29" i="211"/>
  <c r="A30" i="211"/>
  <c r="A31" i="211"/>
  <c r="A8" i="213"/>
  <c r="A9" i="213"/>
  <c r="A10" i="213"/>
  <c r="A11" i="213"/>
  <c r="A13" i="213"/>
  <c r="A14" i="213"/>
  <c r="A15" i="213"/>
  <c r="A17" i="213" s="1"/>
  <c r="A11" i="214"/>
  <c r="A12" i="214" s="1"/>
  <c r="A13" i="214" s="1"/>
  <c r="A14" i="214" s="1"/>
  <c r="A16" i="214" s="1"/>
  <c r="A17" i="214" s="1"/>
  <c r="A19" i="214" s="1"/>
  <c r="A8" i="214"/>
  <c r="A6" i="216"/>
  <c r="A8" i="216"/>
  <c r="A18" i="216"/>
  <c r="A20" i="216" s="1"/>
  <c r="A9" i="216"/>
  <c r="A10" i="216"/>
  <c r="A11" i="216"/>
  <c r="A13" i="216"/>
  <c r="A14" i="216"/>
</calcChain>
</file>

<file path=xl/comments1.xml><?xml version="1.0" encoding="utf-8"?>
<comments xmlns="http://schemas.openxmlformats.org/spreadsheetml/2006/main">
  <authors>
    <author>Gizbarut-Orna Goldfriend</author>
  </authors>
  <commentList>
    <comment ref="K5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
</t>
        </r>
        <r>
          <rPr>
            <sz val="9"/>
            <color indexed="81"/>
            <rFont val="Tahoma"/>
            <family val="2"/>
          </rPr>
          <t xml:space="preserve">
ואפריקה ישראל
סה"כ אחרים בניכוי 2.1 מלשח מ. החינוך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2.xml><?xml version="1.0" encoding="utf-8"?>
<comments xmlns="http://schemas.openxmlformats.org/spreadsheetml/2006/main">
  <authors>
    <author>Gizbarut-Orna Goldfriend</author>
  </authors>
  <commentList>
    <comment ref="D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היקף פרויקט עדכון לת.ע. 2020. במקור הקטנה של 5 מלשח. בפועל ב - 2019 בוצעה הקטנה של 2 מלשח</t>
        </r>
      </text>
    </comment>
    <comment ref="Q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</t>
        </r>
      </text>
    </comment>
  </commentList>
</comments>
</file>

<file path=xl/comments3.xml><?xml version="1.0" encoding="utf-8"?>
<comments xmlns="http://schemas.openxmlformats.org/spreadsheetml/2006/main">
  <authors>
    <author>Gizbarut-Orna Goldfriend</author>
  </authors>
  <commentList>
    <comment ref="Q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</t>
        </r>
      </text>
    </comment>
  </commentList>
</comments>
</file>

<file path=xl/comments4.xml><?xml version="1.0" encoding="utf-8"?>
<comments xmlns="http://schemas.openxmlformats.org/spreadsheetml/2006/main">
  <authors>
    <author>Gizbarut-Orna Goldfriend</author>
  </authors>
  <commentList>
    <comment ref="Q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</t>
        </r>
      </text>
    </comment>
  </commentList>
</comments>
</file>

<file path=xl/comments5.xml><?xml version="1.0" encoding="utf-8"?>
<comments xmlns="http://schemas.openxmlformats.org/spreadsheetml/2006/main">
  <authors>
    <author>Gizbarut-Orna Goldfriend</author>
  </authors>
  <commentList>
    <comment ref="Z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1001162203 ' 1001129763</t>
        </r>
      </text>
    </comment>
    <comment ref="Z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Z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 והספורט
</t>
        </r>
      </text>
    </comment>
    <comment ref="Z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4501719743 לאחר תקצוב ב - 2019</t>
        </r>
      </text>
    </comment>
    <comment ref="Z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תחשיב. אוהד 16.9.19 מעוגל ל - 700 אלשח 
מ. החינוך
</t>
        </r>
      </text>
    </comment>
    <comment ref="Z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Z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</t>
        </r>
      </text>
    </comment>
    <comment ref="Z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</t>
        </r>
      </text>
    </comment>
  </commentList>
</comments>
</file>

<file path=xl/comments6.xml><?xml version="1.0" encoding="utf-8"?>
<comments xmlns="http://schemas.openxmlformats.org/spreadsheetml/2006/main">
  <authors>
    <author>Gizbarut-Orna Goldfriend</author>
  </authors>
  <commentList>
    <comment ref="Z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1001162203 ' 1001129763</t>
        </r>
      </text>
    </comment>
    <comment ref="Z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Z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 והספורט
</t>
        </r>
      </text>
    </comment>
    <comment ref="Z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4501719743 לאחר תקצוב ב - 2019</t>
        </r>
      </text>
    </comment>
    <comment ref="Z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תחשיב. אוהד 16.9.19 מעוגל ל - 700 אלשח 
מ. החינוך
</t>
        </r>
      </text>
    </comment>
    <comment ref="Z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Z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</t>
        </r>
      </text>
    </comment>
    <comment ref="Z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ומ. החינוך</t>
        </r>
      </text>
    </comment>
  </commentList>
</comments>
</file>

<file path=xl/comments7.xml><?xml version="1.0" encoding="utf-8"?>
<comments xmlns="http://schemas.openxmlformats.org/spreadsheetml/2006/main">
  <authors>
    <author>Gizbarut-Orna Goldfriend</author>
  </authors>
  <commentList>
    <comment ref="Z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1001162203 ' 1001129763</t>
        </r>
      </text>
    </comment>
    <comment ref="Z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Z5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4501719743 לאחר תקצוב ב - 2019</t>
        </r>
      </text>
    </comment>
    <comment ref="Z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</t>
        </r>
      </text>
    </comment>
    <comment ref="Z9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תחשיב. אוהד 16.9.19 מעוגל ל - 700 אלשח 
מ. החינוך
</t>
        </r>
      </text>
    </comment>
    <comment ref="Z9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9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Z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</t>
        </r>
      </text>
    </comment>
    <comment ref="Z1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 והספורט
</t>
        </r>
      </text>
    </comment>
  </commentList>
</comments>
</file>

<file path=xl/comments8.xml><?xml version="1.0" encoding="utf-8"?>
<comments xmlns="http://schemas.openxmlformats.org/spreadsheetml/2006/main">
  <authors>
    <author>Gizbarut-Orna Goldfriend</author>
  </authors>
  <commentList>
    <comment ref="Z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</t>
        </r>
      </text>
    </comment>
    <comment ref="Z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הכלכלה והתעשיה</t>
        </r>
      </text>
    </comment>
  </commentList>
</comments>
</file>

<file path=xl/comments9.xml><?xml version="1.0" encoding="utf-8"?>
<comments xmlns="http://schemas.openxmlformats.org/spreadsheetml/2006/main">
  <authors>
    <author>Gizbarut-Orna Goldfriend</author>
  </authors>
  <commentList>
    <comment ref="Z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</t>
        </r>
      </text>
    </comment>
    <comment ref="Z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6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הכלכלה והתעשיה</t>
        </r>
      </text>
    </comment>
  </commentList>
</comments>
</file>

<file path=xl/comments10.xml><?xml version="1.0" encoding="utf-8"?>
<comments xmlns="http://schemas.openxmlformats.org/spreadsheetml/2006/main">
  <authors>
    <author>Gizbarut-Orna Goldfriend</author>
  </authors>
  <commentList>
    <comment ref="Z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</t>
        </r>
      </text>
    </comment>
    <comment ref="Z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הכלכלה והתעשיה</t>
        </r>
      </text>
    </comment>
  </commentList>
</comments>
</file>

<file path=xl/comments11.xml><?xml version="1.0" encoding="utf-8"?>
<comments xmlns="http://schemas.openxmlformats.org/spreadsheetml/2006/main">
  <authors>
    <author>Gizbarut-Orna Goldfriend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עובר מועצה 17.9.19
</t>
        </r>
      </text>
    </comment>
  </commentList>
</comments>
</file>

<file path=xl/comments12.xml><?xml version="1.0" encoding="utf-8"?>
<comments xmlns="http://schemas.openxmlformats.org/spreadsheetml/2006/main">
  <authors>
    <author>Gizbarut-Orna Goldfriend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עובר מועצה 17.9.19
</t>
        </r>
      </text>
    </comment>
  </commentList>
</comments>
</file>

<file path=xl/comments13.xml><?xml version="1.0" encoding="utf-8"?>
<comments xmlns="http://schemas.openxmlformats.org/spreadsheetml/2006/main">
  <authors>
    <author>Gizbarut-Orna Goldfriend</author>
  </authors>
  <commentList>
    <comment ref="Z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התררבות והספורט  מס' 1001188696</t>
        </r>
      </text>
    </comment>
    <comment ref="Z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המשרד לבטחון  פנים
</t>
        </r>
      </text>
    </comment>
  </commentList>
</comments>
</file>

<file path=xl/comments14.xml><?xml version="1.0" encoding="utf-8"?>
<comments xmlns="http://schemas.openxmlformats.org/spreadsheetml/2006/main">
  <authors>
    <author>Gizbarut-Orna Goldfriend</author>
  </authors>
  <commentList>
    <comment ref="Z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המשרד לבטחון  פנים
</t>
        </r>
      </text>
    </comment>
    <comment ref="Z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התררבות והספורט  מס' 1001188696</t>
        </r>
      </text>
    </comment>
  </commentList>
</comments>
</file>

<file path=xl/comments15.xml><?xml version="1.0" encoding="utf-8"?>
<comments xmlns="http://schemas.openxmlformats.org/spreadsheetml/2006/main">
  <authors>
    <author>Gizbarut-Orna Goldfriend</author>
  </authors>
  <commentList>
    <comment ref="Z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6.xml><?xml version="1.0" encoding="utf-8"?>
<comments xmlns="http://schemas.openxmlformats.org/spreadsheetml/2006/main">
  <authors>
    <author>Gizbarut-Orna Goldfriend</author>
  </authors>
  <commentList>
    <comment ref="Z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7.xml><?xml version="1.0" encoding="utf-8"?>
<comments xmlns="http://schemas.openxmlformats.org/spreadsheetml/2006/main">
  <authors>
    <author>Gizbarut-Orna Goldfriend</author>
  </authors>
  <commentList>
    <comment ref="Z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8.xml><?xml version="1.0" encoding="utf-8"?>
<comments xmlns="http://schemas.openxmlformats.org/spreadsheetml/2006/main">
  <authors>
    <author>Gizbarut-Orna Goldfriend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בוטל העדכון. צויין בהזרמות נוספות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19.xml><?xml version="1.0" encoding="utf-8"?>
<comments xmlns="http://schemas.openxmlformats.org/spreadsheetml/2006/main">
  <authors>
    <author>Gizbarut-Orna Goldfriend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בוטל העדכון. צויין בהזרמות נוספות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20.xml><?xml version="1.0" encoding="utf-8"?>
<comments xmlns="http://schemas.openxmlformats.org/spreadsheetml/2006/main">
  <authors>
    <author>Gizbarut-Orna Goldfriend</author>
  </authors>
  <commentList>
    <comment ref="AB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שונה מסעיף 764
000
</t>
        </r>
      </text>
    </comment>
  </commentList>
</comments>
</file>

<file path=xl/comments21.xml><?xml version="1.0" encoding="utf-8"?>
<comments xmlns="http://schemas.openxmlformats.org/spreadsheetml/2006/main">
  <authors>
    <author>Gizbarut-Orna Goldfriend</author>
  </authors>
  <commentList>
    <comment ref="AB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שונה מסעיף 764
000
</t>
        </r>
      </text>
    </comment>
  </commentList>
</comments>
</file>

<file path=xl/comments22.xml><?xml version="1.0" encoding="utf-8"?>
<comments xmlns="http://schemas.openxmlformats.org/spreadsheetml/2006/main">
  <authors>
    <author>Gizbarut-Orna Goldfriend</author>
  </authors>
  <commentList>
    <comment ref="Z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שתי הרשאות מ. התחבורה: שביל אופניים הבנים ומשה דיין מס' 1011050208 , 10010500241</t>
        </r>
      </text>
    </comment>
    <comment ref="AK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1.9.19הרשאה מ. התחבורה רח' הבנים. הועבר דיווח  ראשון 27.8.19</t>
        </r>
      </text>
    </comment>
    <comment ref="AT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Q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תב"ר</t>
        </r>
      </text>
    </comment>
    <comment ref="AF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1.8 מלשח  סעיף 750 והיתר סעיף 950</t>
        </r>
      </text>
    </comment>
    <comment ref="AK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</t>
        </r>
      </text>
    </comment>
    <comment ref="AT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</t>
        </r>
      </text>
    </comment>
    <comment ref="AF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</t>
        </r>
      </text>
    </comment>
    <comment ref="AT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 שינוי מימון</t>
        </r>
      </text>
    </comment>
    <comment ref="Q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ע"י הנדסה</t>
        </r>
      </text>
    </comment>
    <comment ref="AI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בוטל. לא נדרש. העבודה לא תתבצע ב - 2019 עםפ"י מייל הנדסה</t>
        </r>
      </text>
    </comment>
    <comment ref="BD6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
</t>
        </r>
      </text>
    </comment>
    <comment ref="AO8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נדרש. תוקצב פרטני 1.810 מלשח</t>
        </r>
      </text>
    </comment>
    <comment ref="AT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T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הרשאמ מ. התחבורה 
</t>
        </r>
      </text>
    </comment>
  </commentList>
</comments>
</file>

<file path=xl/comments23.xml><?xml version="1.0" encoding="utf-8"?>
<comments xmlns="http://schemas.openxmlformats.org/spreadsheetml/2006/main">
  <authors>
    <author>Gizbarut-Orna Goldfriend</author>
  </authors>
  <commentList>
    <comment ref="AT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הקבורה
</t>
        </r>
      </text>
    </comment>
    <comment ref="AK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נדרש עובר ל - 2020 11.9.19</t>
        </r>
      </text>
    </comment>
    <comment ref="BD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BD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T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מי הרצליה</t>
        </r>
      </text>
    </comment>
    <comment ref="AK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7.10.19: עודכן. יוזרם סופית
</t>
        </r>
      </text>
    </comment>
    <comment ref="AK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דיון 6.10.19: לא יוזרם. מוקפא</t>
        </r>
      </text>
    </comment>
    <comment ref="AT8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תרומה</t>
        </r>
      </text>
    </comment>
  </commentList>
</comments>
</file>

<file path=xl/comments24.xml><?xml version="1.0" encoding="utf-8"?>
<comments xmlns="http://schemas.openxmlformats.org/spreadsheetml/2006/main">
  <authors>
    <author>Gizbarut-Orna Goldfriend</author>
  </authors>
  <commentList>
    <comment ref="D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AC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980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8.7.18
</t>
        </r>
      </text>
    </comment>
    <comment ref="D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וע. 8.7.18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AC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980
</t>
        </r>
      </text>
    </comment>
    <comment ref="AH4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756וע. כספים 19.5.19 הקטנה. בינתיים לא לבצע הזרמת תקציב</t>
        </r>
      </text>
    </comment>
    <comment ref="AK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1.9.19</t>
        </r>
      </text>
    </comment>
    <comment ref="D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טלי 18.10.18</t>
        </r>
      </text>
    </comment>
    <comment ref="D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17.6.18</t>
        </r>
      </text>
    </comment>
    <comment ref="Z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התחייבות 110 אלפי ₪ מתוך 440 אלפי ₪ מס' התחייבות 201864041 בי"ס רמבם</t>
        </r>
      </text>
    </comment>
    <comment ref="AF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לקבל תשובה על שריון 2018 חוזה 8092.
3.4.19: הוזרם. התקבלה תשובה</t>
        </r>
      </text>
    </comment>
    <comment ref="AM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21.8.19 מיון בין סעיף 750 ל - 950. בדוק בהזרמת תקציב הבאה לאיזה סעיף</t>
        </r>
      </text>
    </comment>
    <comment ref="BD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E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לבדוק קובץ טלי מיון סעיפי 750</t>
        </r>
      </text>
    </comment>
    <comment ref="Z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BD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T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25.xml><?xml version="1.0" encoding="utf-8"?>
<comments xmlns="http://schemas.openxmlformats.org/spreadsheetml/2006/main">
  <authors>
    <author>Gizbarut-Orna Goldfriend</author>
  </authors>
  <commentList>
    <comment ref="AO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ראה בפרטני
</t>
        </r>
      </text>
    </comment>
    <comment ref="AC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תיקון הזק=רמה  ינואר. הוזרם לתבר 2096</t>
        </r>
      </text>
    </comment>
  </commentList>
</comments>
</file>

<file path=xl/comments26.xml><?xml version="1.0" encoding="utf-8"?>
<comments xmlns="http://schemas.openxmlformats.org/spreadsheetml/2006/main">
  <authors>
    <author>Gizbarut-Orna Goldfriend</author>
  </authors>
  <commentList>
    <comment ref="AT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G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22.5.19</t>
        </r>
      </text>
    </comment>
    <comment ref="AT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המדע</t>
        </r>
      </text>
    </comment>
  </commentList>
</comments>
</file>

<file path=xl/comments27.xml><?xml version="1.0" encoding="utf-8"?>
<comments xmlns="http://schemas.openxmlformats.org/spreadsheetml/2006/main">
  <authors>
    <author>Gizbarut-Orna Goldfriend</author>
  </authors>
  <commentList>
    <comment ref="AQ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צ.ל. מקעפ</t>
        </r>
      </text>
    </comment>
    <comment ref="AT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</commentList>
</comments>
</file>

<file path=xl/comments28.xml><?xml version="1.0" encoding="utf-8"?>
<comments xmlns="http://schemas.openxmlformats.org/spreadsheetml/2006/main">
  <authors>
    <author>Gizbarut-Orna Goldfriend</author>
  </authors>
  <commentList>
    <comment ref="G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עודן. בוטל העדכון. עודכן
 בהזרמות נוספות
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אוקטובר
</t>
        </r>
      </text>
    </comment>
    <comment ref="AT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הקרן לשמירה שטחים פתוחים</t>
        </r>
      </text>
    </comment>
    <comment ref="AM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להזרים תקציב לפני שאני מעדכנת את מחלקת נכסים ראה מייל של ענתצ דרור מה - 4.2.19 סרוק בתבר</t>
        </r>
      </text>
    </comment>
  </commentList>
</comments>
</file>

<file path=xl/comments29.xml><?xml version="1.0" encoding="utf-8"?>
<comments xmlns="http://schemas.openxmlformats.org/spreadsheetml/2006/main">
  <authors>
    <author>Gizbarut-Orna Goldfriend</author>
  </authors>
  <commentList>
    <comment ref="N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
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R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אושר בדיון אצל המנכ"ל
</t>
        </r>
      </text>
    </comment>
    <comment ref="AD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קעפ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ק.עודפים</t>
        </r>
      </text>
    </comment>
    <comment ref="AJ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ק.עודפים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 ליטל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AT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מפעל הפיס</t>
        </r>
      </text>
    </comment>
  </commentList>
</comments>
</file>

<file path=xl/comments30.xml><?xml version="1.0" encoding="utf-8"?>
<comments xmlns="http://schemas.openxmlformats.org/spreadsheetml/2006/main">
  <authors>
    <author>Gizbarut-Orna Goldfriend</author>
  </authors>
  <commentList>
    <comment ref="AI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להשלמת תשלום הפיצויים דוברוסקי-מטלון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בוטל העדכון. צויין בהזרמות נוספות
</t>
        </r>
      </text>
    </comment>
    <comment ref="AK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2.9.19</t>
        </r>
      </text>
    </comment>
    <comment ref="AK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2.9.19</t>
        </r>
      </text>
    </comment>
    <comment ref="N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31.xml><?xml version="1.0" encoding="utf-8"?>
<comments xmlns="http://schemas.openxmlformats.org/spreadsheetml/2006/main">
  <authors>
    <author>Gizbarut-Orna Goldfriend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AB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שונה מסעיף 764
000
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AE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755</t>
        </r>
      </text>
    </comment>
    <comment ref="AJ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לח. לפיתוח סעיף 750 סך של 150 אלשח. 300 אלשח לסעיף 984 ו - 500 אלשח לסעיף 985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לאומדן שהוקטן בת.ע. 2018. לא הוקטן התקציב עפ"י התוכנית ב - 2018
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</commentList>
</comments>
</file>

<file path=xl/comments32.xml><?xml version="1.0" encoding="utf-8"?>
<comments xmlns="http://schemas.openxmlformats.org/spreadsheetml/2006/main">
  <authors>
    <author>Gizbarut-Orna Goldfriend</author>
  </authors>
  <commentList>
    <comment ref="Q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הרשאות מ. החינוך
</t>
        </r>
      </text>
    </comment>
  </commentList>
</comments>
</file>

<file path=xl/sharedStrings.xml><?xml version="1.0" encoding="utf-8"?>
<sst xmlns="http://schemas.openxmlformats.org/spreadsheetml/2006/main" count="4246" uniqueCount="1506">
  <si>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</si>
  <si>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</si>
  <si>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</si>
  <si>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</si>
  <si>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</si>
  <si>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</si>
  <si>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</si>
  <si>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</si>
  <si>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</si>
  <si>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</si>
  <si>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</si>
  <si>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</si>
  <si>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</si>
  <si>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</si>
  <si>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</si>
  <si>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</si>
  <si>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</si>
  <si>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</si>
  <si>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</si>
  <si>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תמ"א 38</t>
  </si>
  <si>
    <t>תכנון פרויקטים פינוי בינוי</t>
  </si>
  <si>
    <t>התחדשות עירונית</t>
  </si>
  <si>
    <t>פינוי בינוי מעונות שרה</t>
  </si>
  <si>
    <t>מסמכי מדיניות להתחדשות עירונית בשכונות</t>
  </si>
  <si>
    <t>תב"ע לדיור בר השגה ברב קוק</t>
  </si>
  <si>
    <t>תב"ע חניון שטח מרינה לי 2073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</si>
  <si>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</si>
  <si>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</si>
  <si>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</si>
  <si>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</si>
  <si>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</si>
  <si>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מרכז תחבורה חדש</t>
  </si>
  <si>
    <t>תכנון חניון במתחם אגד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</si>
  <si>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</si>
  <si>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</si>
  <si>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</si>
  <si>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</si>
  <si>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</si>
  <si>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</si>
  <si>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</si>
  <si>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מתחם יהודה המכבי וזוהר טל</t>
  </si>
  <si>
    <t>ליווי תשתיות לאומיות</t>
  </si>
  <si>
    <t>רחובות תדהר קורן ואנה פרנק</t>
  </si>
  <si>
    <t>פתוח קטעי רח' דרך ירושלים גולומב</t>
  </si>
  <si>
    <t>רחוב בר כוכבא</t>
  </si>
  <si>
    <t>העתקות פרויקטים שונים</t>
  </si>
  <si>
    <t>פיתוח רח' אבוקה מולדת</t>
  </si>
  <si>
    <t>חיבור גשר הולכי רגל כביש 20</t>
  </si>
  <si>
    <t>מערכת בקרת רמזורים</t>
  </si>
  <si>
    <t>החלפת מדרכות</t>
  </si>
  <si>
    <t>מתחם הגאון מוילנא חתם סופר</t>
  </si>
  <si>
    <t>רח' גבעת החלומות פיתוח</t>
  </si>
  <si>
    <t>פארק הבאסה שלב ב'</t>
  </si>
  <si>
    <t>שצ"פ אל על והמינהרה</t>
  </si>
  <si>
    <t>ספורטק שלב ג'</t>
  </si>
  <si>
    <t>הוצאות בקשר עם תביעות סעיף 197</t>
  </si>
  <si>
    <t>פיתוח פארק שלב ג'</t>
  </si>
  <si>
    <t>הוצאות אכיפה-דירות נופש במרינה</t>
  </si>
  <si>
    <t>פיתוח פארק הבאסה</t>
  </si>
  <si>
    <t xml:space="preserve">       </t>
  </si>
  <si>
    <t>תכנון ייעוץ הנדסי "סל"</t>
  </si>
  <si>
    <t>החלפת גגות אסבסט</t>
  </si>
  <si>
    <t>שיפוץ מבני דת ציבוריים</t>
  </si>
  <si>
    <t>מיזוג אוויר במוס"ח</t>
  </si>
  <si>
    <t>ריהוט גנ"י</t>
  </si>
  <si>
    <t>עבודות שונות בפארק הרצליה</t>
  </si>
  <si>
    <t>שדרוג מקלטים ציבוריים</t>
  </si>
  <si>
    <t>שיפוצים מוס"ח 2014</t>
  </si>
  <si>
    <t>גידור שיפוץ גדרות מ.ספורט</t>
  </si>
  <si>
    <t>פרויקט שיגור לווין 2 דוכיפת 2</t>
  </si>
  <si>
    <t>הצטידות כיתות חדשות בי"ס</t>
  </si>
  <si>
    <t>מתקני כושר חוף הים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</si>
  <si>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</si>
  <si>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</si>
  <si>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</si>
  <si>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</si>
  <si>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שימור רצועת החוף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</si>
  <si>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</si>
  <si>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</si>
  <si>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</si>
  <si>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</si>
  <si>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</si>
  <si>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</si>
  <si>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</si>
  <si>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</si>
  <si>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</si>
  <si>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</si>
  <si>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פיצויי הפקעה גוש 6525 חל' 130,131</t>
  </si>
  <si>
    <t>תביעה פינוי גוש 6521 רחמים</t>
  </si>
  <si>
    <t>שיפוץ ב"מ ספריה+חניון גוש 6532 -346</t>
  </si>
  <si>
    <t>הקמת גינות לכלבים</t>
  </si>
  <si>
    <t>סככות הצללה לגני משחקים</t>
  </si>
  <si>
    <t>שדרוג תשתיות משטחי גומי גינות</t>
  </si>
  <si>
    <t>נטיעת עצים ברחבי העיר</t>
  </si>
  <si>
    <t>ריהוט רחוב</t>
  </si>
  <si>
    <t>סקר עצים מסוכנים ברחבי העיר</t>
  </si>
  <si>
    <t>פיתוח מתחם המסילה ודב הוז</t>
  </si>
  <si>
    <t>בית העלמין החדש</t>
  </si>
  <si>
    <t>עבודות פיתוח קטנות</t>
  </si>
  <si>
    <t>מתחם זרובבל</t>
  </si>
  <si>
    <t>כצלנסון-פיתוח</t>
  </si>
  <si>
    <t>עבודות פינוי ומיחזור הר' 1903</t>
  </si>
  <si>
    <t>סה"כ החברה לפיתוח הרצליה</t>
  </si>
  <si>
    <t>תב"ע חוף הים</t>
  </si>
  <si>
    <t>קע"פ</t>
  </si>
  <si>
    <t>אחרים</t>
  </si>
  <si>
    <t>חופים</t>
  </si>
  <si>
    <t>מתקני משחק ,ריהוט גן ומשטחי גומי</t>
  </si>
  <si>
    <t>איכות הסביבה</t>
  </si>
  <si>
    <t>ריכוז לפי אגפים/יחידות</t>
  </si>
  <si>
    <t>מרכיבי העלות</t>
  </si>
  <si>
    <t>מקורות מימון לפרויקט</t>
  </si>
  <si>
    <t>אגף/יחידה</t>
  </si>
  <si>
    <t>אומדן כולל לפרויקט</t>
  </si>
  <si>
    <t>תוספת לאומדן  לאישור מועצה</t>
  </si>
  <si>
    <t xml:space="preserve">יתרת תקציב 
</t>
  </si>
  <si>
    <t xml:space="preserve">אגף ת.ב.ל </t>
  </si>
  <si>
    <t xml:space="preserve">אגף ש.א.י.פ.ה </t>
  </si>
  <si>
    <t xml:space="preserve">איכות הסביבה </t>
  </si>
  <si>
    <t>החברה לפיתוח התיירות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</si>
  <si>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</si>
  <si>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</si>
  <si>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</si>
  <si>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</si>
  <si>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</si>
  <si>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תב"ע לדיור בר השגה בשמשון הגיבור</t>
  </si>
  <si>
    <t>צפון הרצליה הר' 2035</t>
  </si>
  <si>
    <t>הסדרת שצ"פ למגורים הר' 2257</t>
  </si>
  <si>
    <t>פיתוח מתחם המכללות הר' 1920/1</t>
  </si>
  <si>
    <t>פתוח מתחם הר' 1972 תחנה מרכזית</t>
  </si>
  <si>
    <t>רחוב החרש</t>
  </si>
  <si>
    <t>תכנון מבנה מעונות הסטודנטים</t>
  </si>
  <si>
    <t>שיקום האגם בפארק</t>
  </si>
  <si>
    <t>החברה לפיתוח התיירות הרצליה</t>
  </si>
  <si>
    <t>מחלקת נכסים וביטוח</t>
  </si>
  <si>
    <t>כללי</t>
  </si>
  <si>
    <t>שיפוץ ובינוי נכסים עירוניים כולל תשתיות</t>
  </si>
  <si>
    <t>מועדון פטנג בספורטק</t>
  </si>
  <si>
    <t>תב"ע קרית השחקים</t>
  </si>
  <si>
    <t>פית' מדרגות קיר תומך פנחס רוזן</t>
  </si>
  <si>
    <t>שביל אופניים הרצליה-ת"א הפקעות</t>
  </si>
  <si>
    <t>תכנון דיור בן ציון מיכאלי</t>
  </si>
  <si>
    <t>שיפוץ המקווה העירוני</t>
  </si>
  <si>
    <t>הקמת גינות בי"ס קהילתיות</t>
  </si>
  <si>
    <t>פיצויי הפקעה פארק הבאסה - פס"ד</t>
  </si>
  <si>
    <t>פיתוח שצ"פים במורדי הגטאות</t>
  </si>
  <si>
    <t>מתנ"ס נווה ישראל</t>
  </si>
  <si>
    <t>רחבת בנין עיריה חדש</t>
  </si>
  <si>
    <t>פינוי בינוי מול התחנה</t>
  </si>
  <si>
    <t>פיתוח מתחם אולפני הרצליה</t>
  </si>
  <si>
    <t>קו ניקוז שער הים</t>
  </si>
  <si>
    <t>פיתוח מתחם הר' 1903</t>
  </si>
  <si>
    <t>שימור אתרים</t>
  </si>
  <si>
    <t xml:space="preserve">פינוי בינוי צומת כדורי </t>
  </si>
  <si>
    <t>כיתות גן 4 שטח 302 גליל ים א'</t>
  </si>
  <si>
    <t>שצ"פ מערב קיר אקוסטי גליל ים ב'</t>
  </si>
  <si>
    <t>אולם ספורט חטיבת זאב</t>
  </si>
  <si>
    <t>בית כנסת "אור זרוע"-תוס.קומה</t>
  </si>
  <si>
    <t>חניונים הר'1900 -שינוי תב"ע</t>
  </si>
  <si>
    <t>דיור בר השגה</t>
  </si>
  <si>
    <t>שיפוץ חניון לב העיר</t>
  </si>
  <si>
    <t>פיתוח גליל ים ב'</t>
  </si>
  <si>
    <t>עבודות הרחבה התאמה איצטדיון</t>
  </si>
  <si>
    <t>תכנון רכבת עילית איזור תעשיה</t>
  </si>
  <si>
    <t>פרויקטים קטנים רזרבה אגפית</t>
  </si>
  <si>
    <t>שיפוצים שונים מתנ"ס יד התשעה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</si>
  <si>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</si>
  <si>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</si>
  <si>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</si>
  <si>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</si>
  <si>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שיפוץ בית הכנסת הגדול</t>
  </si>
  <si>
    <t>החלפת תאורה באולמות ספורט</t>
  </si>
  <si>
    <t>הצטיידות גנ"י חדשים ח"ר,ח"מ</t>
  </si>
  <si>
    <t>אגף בטחון, פיקוח  וסדר ציבורי</t>
  </si>
  <si>
    <t>תב"ע מרינה</t>
  </si>
  <si>
    <t>תל מיכל</t>
  </si>
  <si>
    <t>פיתוח גן לאומי אפולוניה</t>
  </si>
  <si>
    <t>חוף דרומי-כניסה חוף,טיילת העוגן</t>
  </si>
  <si>
    <t>פרויקטים סביבתיים</t>
  </si>
  <si>
    <t>תוכנית שיווק והפרדת פסולת</t>
  </si>
  <si>
    <t>פיתוח חוף רחצה "חוף הכוכבים"</t>
  </si>
  <si>
    <t>פרויקט "הרצליה נקיה מאסבסט"</t>
  </si>
  <si>
    <t>פרויקט תכסיות וניתוח מרחבי</t>
  </si>
  <si>
    <t>אגף בטחון פיקוח וסדר ציבורי</t>
  </si>
  <si>
    <t>גן 3 כיתות 401 גליל ים ב'</t>
  </si>
  <si>
    <t>כיתות מעון וגן שטח 303 גליל ים א'</t>
  </si>
  <si>
    <t xml:space="preserve">חניון המוסכים-תכנון </t>
  </si>
  <si>
    <t>חניון המדע תכנון</t>
  </si>
  <si>
    <t>נגישות לאנשים עם מוגבלויות</t>
  </si>
  <si>
    <t>מתחם דן אכדייה ליווי תכנוני</t>
  </si>
  <si>
    <t>שיפוצים ובטיחות אש מוזיאון</t>
  </si>
  <si>
    <t>התקנת מע. גילוי אש א.ס. היובל</t>
  </si>
  <si>
    <t>התאמות נגישות מוסדות חינוך</t>
  </si>
  <si>
    <t>שדרוג המרחב הציבורי</t>
  </si>
  <si>
    <t>הצטידות חדשה בי"ס אופק</t>
  </si>
  <si>
    <t>הצטידות חדשה בי"ס לב טוב</t>
  </si>
  <si>
    <t>הצטידות חדשה בי"ס גורדון</t>
  </si>
  <si>
    <t>רכישת מיכלי אצירה לפסולת ומיחזור</t>
  </si>
  <si>
    <t>פיתוח חורשת נוף ים</t>
  </si>
  <si>
    <t>שילוט ברחבי העיר</t>
  </si>
  <si>
    <t>פיצויי הפקעה פטריאלי 6524/21,22</t>
  </si>
  <si>
    <t>פיצויי הפקעה הרשקוביץ שושנה 6524/58,68</t>
  </si>
  <si>
    <t>פרויקטים דחופים בצ"מ 2017/2018</t>
  </si>
  <si>
    <t>תב"ע גשר קטן במרינה</t>
  </si>
  <si>
    <t>תכנון תב"ע כיכר דה שליט</t>
  </si>
  <si>
    <t>אגף הנדסה</t>
  </si>
  <si>
    <t>גשר מעל כביש 20</t>
  </si>
  <si>
    <t>גשר הולכי רגל מעל שבעת הכוכבים</t>
  </si>
  <si>
    <t>נגישות ליקויי שמיעה (מ.החינוך)</t>
  </si>
  <si>
    <t xml:space="preserve">שיפוצים שונים מוס"ח </t>
  </si>
  <si>
    <t>הנגשת כיתות ליקויי שמיעה (מ.החינוך)</t>
  </si>
  <si>
    <t>מתחם גליל ים</t>
  </si>
  <si>
    <t xml:space="preserve">מגרש סימולציה לאופניים </t>
  </si>
  <si>
    <t xml:space="preserve">רכישת ציוד טיפול זיהום חוף ים </t>
  </si>
  <si>
    <t xml:space="preserve">ליווי "מהיר" לעיר </t>
  </si>
  <si>
    <t>שריון מערך רכש</t>
  </si>
  <si>
    <t xml:space="preserve">מתחם נוריות  </t>
  </si>
  <si>
    <t xml:space="preserve">תכנון מתחם אפולוניה </t>
  </si>
  <si>
    <r>
      <t>פיר מעלית ומעלית בנין המועצה הדתית</t>
    </r>
    <r>
      <rPr>
        <b/>
        <sz val="11"/>
        <color rgb="FFFF0000"/>
        <rFont val="David"/>
        <family val="2"/>
        <charset val="177"/>
      </rPr>
      <t xml:space="preserve"> </t>
    </r>
  </si>
  <si>
    <t>בניית בי"ס ברחוב משה (ירוק)</t>
  </si>
  <si>
    <t>הקמת מערכות בטחוניות במוס. עיריה</t>
  </si>
  <si>
    <t>נגישות אקוסטית בי"ס</t>
  </si>
  <si>
    <t>הצטיידות חדשה בי"ס יוחנני</t>
  </si>
  <si>
    <t>ציפוי מגרשי ספורט</t>
  </si>
  <si>
    <t>שילוט 2016</t>
  </si>
  <si>
    <t>תכנון תב"ע הסדרת ייעודי קרקע לפיתוח טיילת החוף</t>
  </si>
  <si>
    <t>בניה עצמית ליד המתחם הבינתחומי</t>
  </si>
  <si>
    <t>ü</t>
  </si>
  <si>
    <t>החברה לפיתוח הרצליה בע"מ</t>
  </si>
  <si>
    <t>אגף ת.ב.ל</t>
  </si>
  <si>
    <t>אגף ש.א.י.פ.ה</t>
  </si>
  <si>
    <t>שדרוג גן שלווה</t>
  </si>
  <si>
    <t>הצבת קולרים ברחבי העיר</t>
  </si>
  <si>
    <t>רשות החופים</t>
  </si>
  <si>
    <t>סככות צל חוף הכוכבים 2017</t>
  </si>
  <si>
    <t>כסאות לנכים 2017</t>
  </si>
  <si>
    <t>משקפות למצילים 2017</t>
  </si>
  <si>
    <t>הכשרת חניון העוגן</t>
  </si>
  <si>
    <t xml:space="preserve">אגף חינוך 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</si>
  <si>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</si>
  <si>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</si>
  <si>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</si>
  <si>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</si>
  <si>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</si>
  <si>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</si>
  <si>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</si>
  <si>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</si>
  <si>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</si>
  <si>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</si>
  <si>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</si>
  <si>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עודכן ב - 920 אלפי ₪ עדכון איילת 22.9.16</t>
  </si>
  <si>
    <t>מימון תקציב בלתי רגיל</t>
  </si>
  <si>
    <t>סה"כ שימושים</t>
  </si>
  <si>
    <t>31.10.16:</t>
  </si>
  <si>
    <t>עדכון של איילת: 644 אלפי ₪ משיכה נוספת.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</si>
  <si>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</si>
  <si>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</si>
  <si>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</si>
  <si>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</si>
  <si>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</si>
  <si>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>מענקים ממקורות שלטוניים ובעיקר ממשרדי ממשלה.</t>
  </si>
  <si>
    <t>מענקים ממוסדות שאינם שלטוניים כגון : מפעל הפייס ,המועצה להסדר הימורים, השתתפויות ועוד.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</si>
  <si>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</si>
  <si>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</si>
  <si>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</si>
  <si>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</si>
  <si>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</si>
  <si>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</si>
  <si>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</si>
  <si>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</si>
  <si>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</si>
  <si>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</si>
  <si>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</si>
  <si>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</si>
  <si>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</si>
  <si>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</si>
  <si>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</si>
  <si>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 xml:space="preserve">מסגרת תוכנית פיתוח </t>
  </si>
  <si>
    <t>אחוז ביצוע</t>
  </si>
  <si>
    <t xml:space="preserve">סה"כ </t>
  </si>
  <si>
    <t xml:space="preserve">המשך ההשקעות בבניה חדשה כולל שדרוגים של מוסדות חינוך ברחבי העיר. </t>
  </si>
  <si>
    <t>עבודות פיתוח תשתיות, פארק, מוסדות חינוך ומבני ציבור במתחם גליל ים.</t>
  </si>
  <si>
    <t>הצעת התקציב הבלתי רגיל מסתכמת בהשקעה של</t>
  </si>
  <si>
    <t>3.</t>
  </si>
  <si>
    <t>חלוקת ההשקעה בתקציב  באלפי ₪ על פי אגפים/יחידות מפורטת להלן -</t>
  </si>
  <si>
    <t>שם פרק</t>
  </si>
  <si>
    <t>החברה לפיתוח הרצליה</t>
  </si>
  <si>
    <t>אגף בטחון,פיקוח וסדר ציבורי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</si>
  <si>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</si>
  <si>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</si>
  <si>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</si>
  <si>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</si>
  <si>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</si>
  <si>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</si>
  <si>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</si>
  <si>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</si>
  <si>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</si>
  <si>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</si>
  <si>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</si>
  <si>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</si>
  <si>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</si>
  <si>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</si>
  <si>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4.</t>
  </si>
  <si>
    <t>תב"רים לסגירה בשנת 2016</t>
  </si>
  <si>
    <t>כללי :</t>
  </si>
  <si>
    <t xml:space="preserve">הנחיות משרד הפנים קובעות :  </t>
  </si>
  <si>
    <t xml:space="preserve">תב"ר שהגיע לסיומו או לא הוחל בביצועו או לא הוצאו בגינו התחייבויות כספיות , עליו להיגרע מקובץ </t>
  </si>
  <si>
    <t xml:space="preserve">התב"רים במערכת הכספית של הרשות המקומית. </t>
  </si>
  <si>
    <t>עודף סופי בחשבון התב"ר יועבר לקרנות הרשות . יש לאשר את סגירת התב"רים במועצת העיר.</t>
  </si>
  <si>
    <t xml:space="preserve">במהלך שנת 2016 אושרה במועצת העיר  סגירת  פרויקטים שהסתיימו/לא נוצלו לשנת 2016 והחזרת </t>
  </si>
  <si>
    <t xml:space="preserve">עודפים לקרנות הרשות בסכום של 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</si>
  <si>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</si>
  <si>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</si>
  <si>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</si>
  <si>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</si>
  <si>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</si>
  <si>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</si>
  <si>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>משרד התשתיות והאנרגיה</t>
  </si>
  <si>
    <t xml:space="preserve">הכנסות בעד עבודות </t>
  </si>
  <si>
    <t xml:space="preserve">החברה לפיתוח הרצליה </t>
  </si>
  <si>
    <t xml:space="preserve">החברה לפיתוח תיירות </t>
  </si>
  <si>
    <t>רשות  מקרקעי ישראל</t>
  </si>
  <si>
    <t xml:space="preserve">אגף החינוך </t>
  </si>
  <si>
    <t>תוכן</t>
  </si>
  <si>
    <t>עמודים</t>
  </si>
  <si>
    <t>ריכוזים ודברי הסבר</t>
  </si>
  <si>
    <t xml:space="preserve">אגף בטחון פיקוח וסדר ציבורי     </t>
  </si>
  <si>
    <t>מימוש תקציב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</si>
  <si>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</si>
  <si>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</si>
  <si>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</si>
  <si>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</si>
  <si>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</si>
  <si>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</si>
  <si>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</si>
  <si>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</si>
  <si>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כיתות גן 4 שטח 301 גליל ים א'</t>
  </si>
  <si>
    <t xml:space="preserve">חלוקת העלויות בתקציב  באלפי ₪ על פי פרקים עיקריים מפורטת להלן –  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</si>
  <si>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</si>
  <si>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</si>
  <si>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</si>
  <si>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</si>
  <si>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</si>
  <si>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</si>
  <si>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</si>
  <si>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</si>
  <si>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</si>
  <si>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</si>
  <si>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</si>
  <si>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</si>
  <si>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</si>
  <si>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פרויקט השכרת אופניים</t>
  </si>
  <si>
    <t>סה"כ החברה לתיירות</t>
  </si>
  <si>
    <t>שיפוץ אולם ספורט היובל</t>
  </si>
  <si>
    <t>קרן ייעודית</t>
  </si>
  <si>
    <t>קרן יעודית  מתחם גליל ים</t>
  </si>
  <si>
    <t>סמטת ניסנוב</t>
  </si>
  <si>
    <t>תכנון חניון מרינה לי</t>
  </si>
  <si>
    <t>ציר העדפה</t>
  </si>
  <si>
    <t>בנית 3 גני ילדים (המסילה)</t>
  </si>
  <si>
    <t>ביכנ"ס מקדש מלך</t>
  </si>
  <si>
    <t>ריכוז</t>
  </si>
  <si>
    <t xml:space="preserve">החברה לפיתוח התיירות הרצליה     </t>
  </si>
  <si>
    <t xml:space="preserve">אגף תקשוב ומערכות מידע     </t>
  </si>
  <si>
    <t>מספר הפרויקטים המטופל ע"י אגף הנדסה :</t>
  </si>
  <si>
    <t>מקורות מימון לפרויקטים :</t>
  </si>
  <si>
    <t>מקורות מימון</t>
  </si>
  <si>
    <t>סכום</t>
  </si>
  <si>
    <t>מספר הפרויקטים המטופל ע"י החברה לפיתוח בע"מ :</t>
  </si>
  <si>
    <t>אחוז</t>
  </si>
  <si>
    <t>פרויקט</t>
  </si>
  <si>
    <t xml:space="preserve">מתחם גליל ים </t>
  </si>
  <si>
    <t xml:space="preserve">פרויקטים שונים </t>
  </si>
  <si>
    <t xml:space="preserve">מתוכם העיקריים : </t>
  </si>
  <si>
    <t>קרן ייעודית גליל ים</t>
  </si>
  <si>
    <t>מספר הפרויקטים המטופל ע"י האגף  :</t>
  </si>
  <si>
    <t>אגף ביטחון , פיקוח וסדר ציבורי</t>
  </si>
  <si>
    <t>מספר הפרויקטים המטופל ע"י האגף :</t>
  </si>
  <si>
    <t>אגף חינוך</t>
  </si>
  <si>
    <t>האגף אחראי בין היתר על רשות החופים והיחידה לאיכות הסביבה.</t>
  </si>
  <si>
    <t>החברה לפיתוח התיירות בהרצליה</t>
  </si>
  <si>
    <t>מתוקצב כולו מקרן עבודות פיתוח.</t>
  </si>
  <si>
    <t>וסכומי התקציב, הנדרש, אם בכלל, אינם ידועים מראש ותלויים לעיתים בהליכים משפטיים.</t>
  </si>
  <si>
    <t>אגף תקשוב  ומערכות מידע</t>
  </si>
  <si>
    <t>גן רשל, גנ"י בי"ס אילנות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</si>
  <si>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</si>
  <si>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</si>
  <si>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</si>
  <si>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</si>
  <si>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פרויקטים דחופים בלתי צפויים מראש/מימוני ביניים.</t>
  </si>
  <si>
    <t>פרק</t>
  </si>
  <si>
    <t>פרויקטים לביצוע ע"י החברה לפיתוח הרצליה</t>
  </si>
  <si>
    <t>5-16</t>
  </si>
  <si>
    <t>מספר הפרויקטים :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</si>
  <si>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</si>
  <si>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</si>
  <si>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</si>
  <si>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פיצויי הפקעה נכס גוש 6524/21,22 פטריאלי.</t>
  </si>
  <si>
    <t>פיצויי הפקעה נכס גוש 6524/52 ארז בן אהרון.</t>
  </si>
  <si>
    <t>פיצויי הפקעה נכס גוש 6524/58,68 הרשקוביץ שושנה.</t>
  </si>
  <si>
    <t>פיצויי הפקעה נכס הר' 1982,1929 גוש 6524/52. הרחבת ז'בוטינסקי ושטח הפארק.</t>
  </si>
  <si>
    <t>קרן ייעודית מתחם גליל ים</t>
  </si>
  <si>
    <t>יתרה לביצוע צפוי עד 31.12.2018</t>
  </si>
  <si>
    <t>אומדן לביצוע שנת 2019</t>
  </si>
  <si>
    <t>אומדן לביצוע שנת 2020 ואילך</t>
  </si>
  <si>
    <t>תקציב נוסף נדרש במסגרת תוכנית עבודה 2018</t>
  </si>
  <si>
    <t>תקציב נוסף נדרש מעבר לתוכנית עבודה 2018</t>
  </si>
  <si>
    <t>סה"כ תקציב נוסף נדרש 2018</t>
  </si>
  <si>
    <t>יתרת תקציב פנויה 31.12.2018</t>
  </si>
  <si>
    <t>תקציב נדרש 2019</t>
  </si>
  <si>
    <t>תאור הפרויקט</t>
  </si>
  <si>
    <t>עדכון מע. מידע הנדסי כתוצאה משינוי ייעודי קרקע עקב החלטות ועדות התכנון.</t>
  </si>
  <si>
    <t>ביצוע עבודות מדרכות לאחר השלמת עבודות בניה כתוצאה מהיתרים.</t>
  </si>
  <si>
    <t>סל עבודות ניקוז ברחבי העיר .</t>
  </si>
  <si>
    <t>פרויקט ממשלתי המתוקצב ע"י המדינה במקביל לרשות. הביצוע העירוני מתעכב עקב בעית פולש.</t>
  </si>
  <si>
    <t>תכנון מתחם חוף התכלת.
יש עתירה של בעלי הקרקע הפרטיים על השתהות בקידום  התוכנית . לו"ז מאי 2019.</t>
  </si>
  <si>
    <t>פיתוח הרחובות משער הים צפונה - תשתיות תאורה וגינון, הנשיא והתאנה.</t>
  </si>
  <si>
    <t>טיפול תכנוני בהגנה על המצוקים מפני התמוטטות.</t>
  </si>
  <si>
    <t>הכנת תוכנית מתאר כוללנית על מנת לאפשר לעיריה לתכנן תוכניות בסמכות וועדה מקומית.</t>
  </si>
  <si>
    <t>העסקת צוות יועצים שילווה את התכנון והביצוע של הפרויקט.</t>
  </si>
  <si>
    <t>העצמת הזכויות הנוספות לבנינים לצורך הגברת הכדאיות של ביצוע חיזוק מבנים.</t>
  </si>
  <si>
    <t>הקמת חניות והסדרים גיאומטרים ליד מבנה לזכר השואה שיוקם ע"י היזם (ליאור דינור ואחרים). מימון היזם מובטח בערבות.</t>
  </si>
  <si>
    <t>תכנון פרויקטים להתחדשות עירונית ופינוי בינוי.</t>
  </si>
  <si>
    <t>בדיקת התכנות טרם קביעת ותוך כדי בחינת מתחמי פינוי בינוי.</t>
  </si>
  <si>
    <t>תב"ע הר' 2394 (לשעבר הר  2159 )</t>
  </si>
  <si>
    <t>חיבור פארק שלב ב' עם שכונת המסילה בגשר הולכי רגל מעל כביש 20.</t>
  </si>
  <si>
    <t xml:space="preserve">תכנון בנייה ציבורית </t>
  </si>
  <si>
    <t>סל של שעות ייעוץ עבור בקשות פרטניות להיתר לפי צורך.</t>
  </si>
  <si>
    <t>הליך התנעה לתכנון מתחם לפינוי בינוי מול התחנה.</t>
  </si>
  <si>
    <r>
      <rPr>
        <sz val="11"/>
        <rFont val="David"/>
        <family val="2"/>
      </rPr>
      <t xml:space="preserve">תכנון </t>
    </r>
    <r>
      <rPr>
        <sz val="11"/>
        <rFont val="David"/>
        <family val="2"/>
        <charset val="177"/>
      </rPr>
      <t>שינוי גבולות העיר</t>
    </r>
  </si>
  <si>
    <t>עלויות לצורך מתן מענה לדיון במשרד הפנים עקב אישורה של תוכנית תמ"ל מס' 1068.</t>
  </si>
  <si>
    <t>בדיקה ותכנון איצטדיון ספורט רב תכליתי בעיר. תלוי בקידומה של תוכנית קרית שחקים תב"ר 1799.</t>
  </si>
  <si>
    <t>חניון עצמאות</t>
  </si>
  <si>
    <t>פיתוח חניון זמני במתחם אגד.</t>
  </si>
  <si>
    <t>שדרות ה - 93 הבאר</t>
  </si>
  <si>
    <t>יהודה הנשיא רבי עקיבא רזיאל</t>
  </si>
  <si>
    <t>תכנון אסטרטגי ציר מעפילים</t>
  </si>
  <si>
    <t>תכנון ציר המעפילים הכניסה הצפונית לעיר בשיתוף מועצה מקומית כפר שמריהו.</t>
  </si>
  <si>
    <t>פיתוח מתחם מבנה משכן אומנים</t>
  </si>
  <si>
    <t xml:space="preserve">פיתוח משה דיין </t>
  </si>
  <si>
    <t>תכנון וביצוע רחוב משה דיין כולל חיבור לכביש 20, הילס, אופני דן.</t>
  </si>
  <si>
    <t>נילי - עבודות פיתוח והסדרת תנועה</t>
  </si>
  <si>
    <t>החלפת קו ניקוז בדוד המלך</t>
  </si>
  <si>
    <t>פיתוח וביצוע שידרוג ויזואלי מתחם בני בניימין הנדיב</t>
  </si>
  <si>
    <t>תכנון שצ"פים במתחם הר' 1960</t>
  </si>
  <si>
    <t>רחוב הפרטיזנים</t>
  </si>
  <si>
    <t>שיכון דרום הר' 2312</t>
  </si>
  <si>
    <t>הר מירון בר כוכבא הר' 2266</t>
  </si>
  <si>
    <t>ביצוע הריסות עפ"י צווים</t>
  </si>
  <si>
    <t>תוכנית מתאר איזור התעסוקה הר/2440</t>
  </si>
  <si>
    <t>תב"ע מעברת רשף - מערב נוף ים</t>
  </si>
  <si>
    <t>תוכנית לשיקום מעברת רשף והקמת שכונת מגורים חדשה בשילוב שטחי ציבור , שטחים פתוחים ותיירות.</t>
  </si>
  <si>
    <t>שינוי תוכנית גליל ים א' ב'</t>
  </si>
  <si>
    <t>מעון לאנשים עם מוגבלויות - גליל ים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</si>
  <si>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</si>
  <si>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</si>
  <si>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</si>
  <si>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 xml:space="preserve">תקציב נוסף נדרש במסגרת תוכנית עבודה 2018 </t>
  </si>
  <si>
    <t xml:space="preserve">תקציב נוסף נדרש מעבר לתוכנית עבודה 2018   </t>
  </si>
  <si>
    <t>סל עבודות קטנות עפ"י דרישה.</t>
  </si>
  <si>
    <t>סל עבודות תכנון עפ"י דרישה.</t>
  </si>
  <si>
    <t>מרכז פיס לתרבות מוסיקה קהילה</t>
  </si>
  <si>
    <t>שביל צמרות ישראל (שביל האינטגרציה)</t>
  </si>
  <si>
    <t>שצ"פ רבי עקיבא דרומה (השביל הירוק)</t>
  </si>
  <si>
    <t>תכנון להקמת רכבת עילית מתחנת הרכבת לאיזור התעשיה.</t>
  </si>
  <si>
    <t>מתחם קמפוס הרצליה (יד גיורא)</t>
  </si>
  <si>
    <t>פיתוח חורשת הפרחים</t>
  </si>
  <si>
    <t>שיפוץ הספריה נורדאו</t>
  </si>
  <si>
    <t>תכנון מתנ"ס רחוב המסילה</t>
  </si>
  <si>
    <t>החלפת עמודי תאורה באיזור תעשיה</t>
  </si>
  <si>
    <t>החלפת עמודי מחסום איזור תעשיה</t>
  </si>
  <si>
    <t>גנ"י נווה עמל ציפורן מוריה</t>
  </si>
  <si>
    <t>גנ"י מרכז ויצמן תמר תאנה</t>
  </si>
  <si>
    <t>גן ילדים מתחם זרובבל</t>
  </si>
  <si>
    <t>תוספת גלריה אולם היכל אומ.הבמה</t>
  </si>
  <si>
    <t>עבודות פיתוח בכנ"ס אברהם אבינו</t>
  </si>
  <si>
    <t>שיפוץ בית הורים</t>
  </si>
  <si>
    <t>הכשרת החוף הנפרד</t>
  </si>
  <si>
    <t>בית ספר בן גוריון</t>
  </si>
  <si>
    <t>סינמטק בבנין עיריה חדש</t>
  </si>
  <si>
    <t>מועדון טלוויזיה קהילתית בשכונת צמרות</t>
  </si>
  <si>
    <r>
      <t xml:space="preserve">בנית ספריה שטח 408 גליל ים ב'
 </t>
    </r>
    <r>
      <rPr>
        <b/>
        <sz val="11"/>
        <rFont val="David"/>
        <family val="2"/>
      </rPr>
      <t>(*) סגירת תב"ר איחוד תב"ר ראה מס' 1909</t>
    </r>
  </si>
  <si>
    <t xml:space="preserve">כיתות מעון 5 יום 5 כיתות גן-. 404 גליל ים ב' </t>
  </si>
  <si>
    <r>
      <t xml:space="preserve">ספריה+מ.קהילתי ש.406 גליל ים ב' </t>
    </r>
    <r>
      <rPr>
        <b/>
        <sz val="11"/>
        <rFont val="David"/>
        <family val="2"/>
      </rPr>
      <t xml:space="preserve"> (*) סגירת תב"ר איחוד תב"ר ראה מס' 1912</t>
    </r>
  </si>
  <si>
    <r>
      <t xml:space="preserve">בית ספר יסודי 18 כיתות 408 גליל ים ב'  </t>
    </r>
    <r>
      <rPr>
        <b/>
        <sz val="11"/>
        <rFont val="David"/>
        <family val="2"/>
      </rPr>
      <t>(*) סגירת תב"ר איחוד תב"ר ראה מס' 1909</t>
    </r>
  </si>
  <si>
    <t>גן 3 כיתות 402 גליל ים ב'(כולל חניון)</t>
  </si>
  <si>
    <t>בית ספר יסודי 18 כיתות מגרש 304 גלילי ים א'</t>
  </si>
  <si>
    <t>סה"כ פרויקטים מתחם גליל ים</t>
  </si>
  <si>
    <t>תקציב נוסף נדרש במסגרת תוכנית עבודה2018</t>
  </si>
  <si>
    <t>תקציב נוסף נדרש מעבר לתוכנית עבודה2018</t>
  </si>
  <si>
    <t>סל לייעוץ ותכנון הנדסי.</t>
  </si>
  <si>
    <t>החלפת גגות אסבסט במוסדות ציבור עפ"י רשימה  ובעקבות החוק הקשור במבני אסבסט.</t>
  </si>
  <si>
    <t>סל לשיפוץ בתי כנסת ע"פ תוכנית שתוגש במהלך השנה.</t>
  </si>
  <si>
    <t>סל להחלפה ושדרוג מזגנים במוסדות עירייה.</t>
  </si>
  <si>
    <t>סל לשיפוץ ובינוי נכסים עירוניים.</t>
  </si>
  <si>
    <t>סל לאיטום גגות מוסדות חינוך ומוסדות עירייה.</t>
  </si>
  <si>
    <t>סל לעבודות בטיחות במוס"ח.</t>
  </si>
  <si>
    <t>סל לשדרוג ריהוט בגני ילדים.</t>
  </si>
  <si>
    <t>שדרוג כבישים מדרכות תשתיות</t>
  </si>
  <si>
    <t>שיפוצי מוסדות חינוך שונים  (לב טוב ,גורדון)</t>
  </si>
  <si>
    <t>עבודות שיקום לשיפור איכות ומראה המים באגם.</t>
  </si>
  <si>
    <t>עבודות שיקום חזיתות המקווה.</t>
  </si>
  <si>
    <t xml:space="preserve"> התקנת גופי תאורה בטכנולוגיה מתקדמת במגרשי הספורט</t>
  </si>
  <si>
    <t>התקנת גופי תאורה בטכנולוגיה מתקדמת במגרשי ספורט.</t>
  </si>
  <si>
    <t>סל לעבודות הסדרת ליקויים כיבוי אש במוס"ח  לפי סקר.</t>
  </si>
  <si>
    <t>עבודות השלמת קירוי הפטיו במתנ"ס.</t>
  </si>
  <si>
    <t>שלב ב' של עבודות שיפוצים יסודיים הרחבות בקומת הקרקע, מטבח, חזיתות.</t>
  </si>
  <si>
    <t>המשך עבודות שדרוג לוחות חשמל והוספת מפסקי חירום עפ"י הצורך.</t>
  </si>
  <si>
    <t xml:space="preserve">הצבת קרוואנים ופיתוח </t>
  </si>
  <si>
    <t>סל להחלפת ושדרוג תקרות אקוסטיות במוס"ח,בעקבות שדרוג התאורה</t>
  </si>
  <si>
    <t xml:space="preserve">בניית בית ספר ברח' משה-12 כתות </t>
  </si>
  <si>
    <t>שיפוץ יסודי מעון בן סרוק כולל הצטיידות</t>
  </si>
  <si>
    <t>שיפוץ מעבדת רובוטיקה בהנדסאים</t>
  </si>
  <si>
    <t>שיפוץ אולם אירועים, מרפסת,מדרגות  מועצה דתית</t>
  </si>
  <si>
    <t>שיפוץ קומת  קרקע בעלות עיריה מוהליבר פינת הדר</t>
  </si>
  <si>
    <t>תוספת כיתות /חדרי ספח ברנדיס</t>
  </si>
  <si>
    <t>התאמת מבנה שיפוץ גנ"י לאה גולדברג 1</t>
  </si>
  <si>
    <t>שיפוץ מבנה אגף תבל ואגף הבטחון</t>
  </si>
  <si>
    <t>עבודות שיפוץ כללי למשרדי האגפים כולל חדר ישיבות</t>
  </si>
  <si>
    <t>ספירת מלאי וסימון הרכוש העירוני</t>
  </si>
  <si>
    <t>ספירת רכוש במוסדות חינוך ויחידות עירוניות וכן סימון הרכוש העירוני.</t>
  </si>
  <si>
    <t>הצטיידות לחמ"ל החדש</t>
  </si>
  <si>
    <t>סה"כ תקציב 2018 שהוזרם לפרויקטים בגינם נדרש תקציב 2019</t>
  </si>
  <si>
    <t>הקמת חפ"ק עירוני חדש</t>
  </si>
  <si>
    <t>הצטיידות כיתות חדשות בעקבות גידול עפ"י צפי במס' תלמידים.</t>
  </si>
  <si>
    <t>הצטיידות בר אילן לאחר שיפוץ</t>
  </si>
  <si>
    <t>הצטיידות בי"ס בר אילן אחרי השיפוץ.</t>
  </si>
  <si>
    <t>הצטיידות בי"ס יצחק נבון אלתרמן</t>
  </si>
  <si>
    <t>הצטיידות גנ"י חדשים באלתרמן</t>
  </si>
  <si>
    <t>הצטידות גנ"י חדשים  גליל ים מגרש301/2</t>
  </si>
  <si>
    <t>נגישות אקוסטית מ.החינוך 2017</t>
  </si>
  <si>
    <t>המשך הצטיידות אופק אחרי השיפוץ.</t>
  </si>
  <si>
    <t>סדנת רובוטיקה בהנדסאים</t>
  </si>
  <si>
    <t>מרחבי למידה</t>
  </si>
  <si>
    <t>עבודות שונות,שיפוצים, ציוד בספריות, מרכזים קהילתיים, מוזיאונים.לפי פרוט.</t>
  </si>
  <si>
    <t>הצטיידות מבנה תרבות מערב העיר</t>
  </si>
  <si>
    <t>מקרן דיגיטלי לסינמטק</t>
  </si>
  <si>
    <r>
      <t>שדרוג מערכת השקייה ממוחשבות (</t>
    </r>
    <r>
      <rPr>
        <sz val="11"/>
        <rFont val="David"/>
        <family val="2"/>
      </rPr>
      <t>חדשים</t>
    </r>
    <r>
      <rPr>
        <b/>
        <sz val="11"/>
        <rFont val="David"/>
        <family val="2"/>
        <charset val="177"/>
      </rPr>
      <t>)</t>
    </r>
  </si>
  <si>
    <t>שיפוץ חזיתות בתים כולל: פיתוח חצרות, חדרי מדרגות, מעלית (רכוש משותף). בשיתוף האגודה לתרבות הדיור</t>
  </si>
  <si>
    <t xml:space="preserve">שיקום שדרוג,הקמה ונגישות גינות ציבוריות </t>
  </si>
  <si>
    <t>הקמת גינות כלבים כולל: פיתוח שבילים, גידור, תאורה, ברזיות, ריהוט גן תואם, עבודות גינון והשקייה.</t>
  </si>
  <si>
    <t>הצללת אזורים של מתקני משחקים לנוחות הציבור.</t>
  </si>
  <si>
    <t>קידום אמנת ברית ערים כתוכנית המשך לתוכנית להפחתת פליטות של פורום ה-15</t>
  </si>
  <si>
    <t>הסרת גגות אסבסט ממבנים בעיר וסיוע לתושבים לאיסוף אסבסט בהיקפים קטנים.</t>
  </si>
  <si>
    <t>רכישת מיכלי אצירה מפלסטיק ומתכת לפסולת ומיחזור.</t>
  </si>
  <si>
    <t>עבודות פיתוח מעבר לקיר האקוסטי כולל גינון קבוע בתוואי שלא ישתנה.</t>
  </si>
  <si>
    <t>בי"ס אלון פיתוח חצר אחורית</t>
  </si>
  <si>
    <t>הקמת פינות מיחזור ברחבי העיר (פינות המרכזות מיכלי אצירה לסוגים שונים של פסולת כגון: בקבוקים, זכוכית, נייר, אריזות ועוד).</t>
  </si>
  <si>
    <t>ספורטק חידוש מתחם מתקני משחק</t>
  </si>
  <si>
    <t>פרויקט מומה בן גוריון,סמדר</t>
  </si>
  <si>
    <t>ביצוע שצ"פ רחוב המסילה כולל גידור, הסדרת המרכז המסחרי אל-על נורדאו, עבודות גינון נוספות.</t>
  </si>
  <si>
    <t>חורשת אקליפטוסים נחלת עדה</t>
  </si>
  <si>
    <t>שדרוג החורשה כולל: שבילים, בונקרים, הקמת תשתיות פנאי ונופש (ספסלים, ברזיות) ועוד.</t>
  </si>
  <si>
    <t>סקר טבע עירוני</t>
  </si>
  <si>
    <t>הקמה שדרוג סככות המתנה אוטובוס</t>
  </si>
  <si>
    <t xml:space="preserve">ארלוזרוב - דרך ירושלים </t>
  </si>
  <si>
    <t xml:space="preserve">שדרוג גן דפנה אילת </t>
  </si>
  <si>
    <t>הסדרת החוף הנפרד</t>
  </si>
  <si>
    <t>תחנת הצלה חוף הכוכבים 2017</t>
  </si>
  <si>
    <t>שילוט חופי רחצה 2017</t>
  </si>
  <si>
    <t>מיול לפיקוח והצלה 2018</t>
  </si>
  <si>
    <t>אופנוע ים כולל זיווד 2018</t>
  </si>
  <si>
    <t>ציוד הצלה ובטיחות 2018</t>
  </si>
  <si>
    <t>מערכות מתקדמות לעיר חכמה כולל שו"ב מצלמות וציוד נלווה.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</si>
  <si>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</si>
  <si>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</si>
  <si>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 xml:space="preserve">הקמת מרכז שליטה ובקרה  עירוני </t>
  </si>
  <si>
    <t xml:space="preserve">הקמת אתר עירוני ופורטל </t>
  </si>
  <si>
    <t>פיצויי הפקעה הר' 1940 6664/105</t>
  </si>
  <si>
    <t>פיצויי הפקעה הר'1929 6424/52</t>
  </si>
  <si>
    <t>מקורת מימון - יתרה שלא מומשה</t>
  </si>
  <si>
    <t>יתרה שלא מומשה</t>
  </si>
  <si>
    <t>סה"כ אגף חינוך</t>
  </si>
  <si>
    <t>שנת  2019</t>
  </si>
  <si>
    <t>שנת 2019</t>
  </si>
  <si>
    <t>תב"ע טיילת שלב א'</t>
  </si>
  <si>
    <t>פיתוח ושדרוג מתחם מבואות השרון</t>
  </si>
  <si>
    <t>שיפוץ פנים הדירות של דיירי עמידר הנמצאים במצב סוציו אוקונומי קשה. העבודה מבוצעת ע"י חברת עמידר השתתפות העיריה 50%.</t>
  </si>
  <si>
    <t>מסגרת עבודות של  פרויקטים תחבורתיים עפ"י החלטות ועדת תנועה ופניות הציבור.</t>
  </si>
  <si>
    <t>פיצויי הפקעה בגוש 6525/6 הר/ 1704. טרם שולמו הפיצויים ליתרת בעלי המקרקעין.</t>
  </si>
  <si>
    <t>פיצויי הפקעה בגוש 6525 חלקות 130,131 הר/ 1704. טרם שולמו הפיצויים ליתרת בעלי המקרקעין. טרם הסתיים ההליך המשפטי.</t>
  </si>
  <si>
    <t>עלויות בקשר עם תביעה של פינוי נכס גוש 6521 חלק' 21-23, 67-68. משפחת רחמים. טרם הסתיים ההליך המשפטי.</t>
  </si>
  <si>
    <t>פרויקט בניה עצמית בו לעיריה 3 יח"ד בבית מגורים משותף.</t>
  </si>
  <si>
    <r>
      <t xml:space="preserve">רחוב בר כוכבא </t>
    </r>
    <r>
      <rPr>
        <b/>
        <sz val="12"/>
        <rFont val="David"/>
        <family val="2"/>
      </rPr>
      <t>(*) שינוי מימון</t>
    </r>
  </si>
  <si>
    <t>אגף  נכסים וביטוח</t>
  </si>
  <si>
    <t>אגף ת.נ.ו.ס</t>
  </si>
  <si>
    <t>הצטיידות  גנים חדשים כולל  ח"מ שנבנו לאחרונה או יבנו לקראת תש"פ.</t>
  </si>
  <si>
    <t>סל להקמת ושדרוג תשתיות כולל עמודי תאורה והתקנת גופי תאורה בטכנולוגיה מתקדמת עפ"י תוכנית רב שנתית.</t>
  </si>
  <si>
    <t>עבודות בביצוע.כולל גינת כלבים.</t>
  </si>
  <si>
    <t xml:space="preserve">שדרוג המרחב הציבורי באיזור התעשיה </t>
  </si>
  <si>
    <t>עבודות הרחבת והכשרת חלקות נוספות בבית העלמין החדש.</t>
  </si>
  <si>
    <t>המשך עבודות פיתוח במתחם הרחובות הנוריות, אנצו סירני , דב גרונר , שלמה בן יוסף , חביבה רייך.</t>
  </si>
  <si>
    <t>המשך עבודות פיתוח במתחם אלוני ים הר' 2030.</t>
  </si>
  <si>
    <t>המשך עבודות פיתוח שצ"פ בשכונת צמרות.</t>
  </si>
  <si>
    <t>המשך עבודות פיתוח במתחם הר' 1903 הרצליה הילס.</t>
  </si>
  <si>
    <t xml:space="preserve">המשך עבודות בניית בי"ס חדש ברחוב אלתרמן. </t>
  </si>
  <si>
    <t xml:space="preserve">בי"ס חדש "יצחק נבון" מתחם אלתרמן </t>
  </si>
  <si>
    <t xml:space="preserve">מימון רמ"י. </t>
  </si>
  <si>
    <t>הכשרת חניון העוגן במרינה לחניון בתשלום.</t>
  </si>
  <si>
    <t>מסגרת עבודות של החלפת עמודי תאורה באיזור התעשיה.</t>
  </si>
  <si>
    <t>מסגרת עבודות של החלפת עמודי מחסום באיזור התעשיה.</t>
  </si>
  <si>
    <t>בניית גנ"י בנווה עמל.</t>
  </si>
  <si>
    <t>בניית גנ"י בויצמן.</t>
  </si>
  <si>
    <t>בניית גן ילדים במתחם זרובבל.</t>
  </si>
  <si>
    <t>בניית גנ"י - גן רשל ובב"ס אילנות.</t>
  </si>
  <si>
    <t>פיתוח מתחם ומבנה משכן האומנים.</t>
  </si>
  <si>
    <t>עבודות פיתוח ביכנ"ס "אברהם אבינו" בשכונת יד התשעה.</t>
  </si>
  <si>
    <t>תכנון עבודות שיפוץ בית ההורים ברחוב אנה פרנק.</t>
  </si>
  <si>
    <r>
      <t xml:space="preserve">פיתוח מתחם גליל ים הר' 1985 א' </t>
    </r>
    <r>
      <rPr>
        <b/>
        <sz val="11"/>
        <rFont val="David"/>
        <family val="2"/>
      </rPr>
      <t>(*) איחוד תב"ר ראה  מס' 1963</t>
    </r>
  </si>
  <si>
    <r>
      <t xml:space="preserve">חיבור שכונת גליל ים לנווה ישראל </t>
    </r>
    <r>
      <rPr>
        <b/>
        <sz val="11"/>
        <rFont val="David"/>
        <family val="2"/>
      </rPr>
      <t>(*) סגירת תב"ר איחוד תב"ר ראה מס' 1547</t>
    </r>
  </si>
  <si>
    <t>סה"כ רשות החופים</t>
  </si>
  <si>
    <t>מספר פרויקטים</t>
  </si>
  <si>
    <t>התקנת קירוי קשיח במגרשי ספורט: דור, תיכון חדש, גורדון,לב טוב,נבון.</t>
  </si>
  <si>
    <t>סה"כ אגף נכסים וביטוח</t>
  </si>
  <si>
    <t>הכנת תוכנית אב לקיימות בעיריית הרצליה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</si>
  <si>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</si>
  <si>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</si>
  <si>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</si>
  <si>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</si>
  <si>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</si>
  <si>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תוספות שינויים ושיפורים שדרוג מערכות הליבה החברה לאוטומציה.</t>
  </si>
  <si>
    <t>פרויקט המושתת על מערכת GIS: שדרוג, הרחבת שרתים,תוספות לאפליקציות חדשות.</t>
  </si>
  <si>
    <t>פרויקט  בניית אודיטוריום ,תוספת 6 כתות ו-2 ממ"דים , שיפוץ כללי. בשנת 2019: בניית אודיטוריום.</t>
  </si>
  <si>
    <t>הקרן לשמירה על שטחים פתוחים</t>
  </si>
  <si>
    <t>עבודה סלילה, גינון ותאורה במתחם רחובות דליה רביקוביץ, אסתר ראב וסמוכים.</t>
  </si>
  <si>
    <t>המשך עבודות הרחבה והתאמה לדרישות הבטיחות כולל שדרוג מגרש הדשא ושיפוץ השרותים/מלתחות</t>
  </si>
  <si>
    <t>סל הוצאות בקשר עם תביעות סעיף 197.</t>
  </si>
  <si>
    <t>הכנת מסמכי מדיניות להתחדשות עירונית בשכונות לגיבוש מדיניות לחידוש המרקם הקיים בשכונות.</t>
  </si>
  <si>
    <t>פיתוח סימטה שהפכה לדרך במסגרת תב"ע 2029 בנווה עמל. 2019- תכנון.</t>
  </si>
  <si>
    <t>הכנת תב"ע בשיתוף מועצת כפר שמריהו לתכנון קישוריות שביל אופניים ופארק בתחום המסילה המתפנה ואפשרות לבחינת חיבור תחבורתי נוסף להרצליה ב'.</t>
  </si>
  <si>
    <t>תב"ע תוכנית שיקום המסילה המתפנה הר '2435</t>
  </si>
  <si>
    <t xml:space="preserve">ביצוע שצ"פ בקטע הנביאים בני בנימין. ב - 2019 : תכנון בלבד. </t>
  </si>
  <si>
    <t>תכנון במסגרת שינוי תב"ע חניונים הר' 1900. חניונים: משכית, גלגלי הפלדה,מדינת היהודים.</t>
  </si>
  <si>
    <t>בניית אולם ספורט בבי"ס ויצמן. ב - 2019: תכנון.</t>
  </si>
  <si>
    <t>הצללות קבועות מעל מגרשי ספורט  עפ"י תוכנית רב שנתית. ב - 2019 :ויצמן,רעות ונבון.</t>
  </si>
  <si>
    <t>עבודות שונות בפארק כולל חידוש מסלולים,שרותים טרומיים.</t>
  </si>
  <si>
    <t>סל לביצוע עבודות פרויקטים קטנים הנדרשים ע"י האגף מעת לעת.</t>
  </si>
  <si>
    <t>סל עבודות שיפוצים שונות במוס"ח לרבות שיפוצים יסודיים בגנ"י  על פי רשימה שתאושר ע"י הנהלת העיר.</t>
  </si>
  <si>
    <t>רכישת נשקים חדשים כולל תוספת נדרשת והחלפת ישנים.</t>
  </si>
  <si>
    <t>משרד נייד (רכב)  הכולל :
מרכז תקשורת רב ערוצית ,תורן תקשורת טלסקופי,עמדת מחשב,קיר תדרוך,עזרים שונים , בלון תאורה להארה של זירת ארוע ,מיזוג אויר,תאורה,מרכז אנרגיה.</t>
  </si>
  <si>
    <t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</t>
  </si>
  <si>
    <t>עבודות במרחב הציבורי בשכונות השונות ברחבי העיר כולל ריהוט רחוב עפ"י תוכנית עבודה שתאושר ע"י הנהלת העיר. בשנת 2019 - ביצוע שרותים  ליד בית קינן ובשד' חן.</t>
  </si>
  <si>
    <t>עבודות פיתוח ושדרוג החצר האחורית במתחם בי"ס אלון כולל: תשתית ניקוז, הסדרת מגרש הכדורגל, דשא סינטטי, ריצוף . ב -2019: ביצוע הצללה.</t>
  </si>
  <si>
    <t>עבודות הנגשה של מוס"ח ומבני ציבור כנדרש עפ"י החוק במסגרת תוכנית רב שנתית.</t>
  </si>
  <si>
    <t>פרויקטים דחופים בצ"מ 2019/2020</t>
  </si>
  <si>
    <t>עב' פיתוח דחופות בלתי צפויות, מימוני ביניים, שיתעוררו במהלך השנה ויבוצעו עפ"י החלטות הנהלת העיר. שנים 2019/2020.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</si>
  <si>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</si>
  <si>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</si>
  <si>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החנויות ע"ש העיריה בפנקסי הרישום.</t>
  </si>
  <si>
    <t>טרם הסתיים הליך רישום הנכס ע"ש העיריה בפנקסי הרישום.</t>
  </si>
  <si>
    <t>פיצויי הפקעה בפארק.</t>
  </si>
  <si>
    <t>פיצויי הפקעה בפארק תוכנית הר' 1941.</t>
  </si>
  <si>
    <t>שיפוץ חלקי של בית משותף בו מצויים הספריה והחניון בבעלות העיריה.</t>
  </si>
  <si>
    <t>פיצויי הפקעה בעקבות פס"ד. טרם הושלם הדיון מול רשויות המס.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</si>
  <si>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</si>
  <si>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</si>
  <si>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</si>
  <si>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</si>
  <si>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 xml:space="preserve"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</t>
  </si>
  <si>
    <t>מימון משרד הפנים.</t>
  </si>
  <si>
    <t>מימון חלקי משרד הפנים.</t>
  </si>
  <si>
    <t>עבודות הגנה מצוקים וגידור חופי הים</t>
  </si>
  <si>
    <t>רכישת מיול נוסף לפיקוח והצלה. מימון משרד הפנים.</t>
  </si>
  <si>
    <t>רכישת אופנוע ים כולל זיווד. מימון משרד הפנים.</t>
  </si>
  <si>
    <t>החלפה והוספת ציוד הצלה ובטיחות. מימון משרד הפנים.</t>
  </si>
  <si>
    <t xml:space="preserve"> אגף ת.ב.ל</t>
  </si>
  <si>
    <t>סה"כ מינהל הנדסה</t>
  </si>
  <si>
    <t xml:space="preserve">מינהל  הנדסה </t>
  </si>
  <si>
    <t>מינהל הנדסה</t>
  </si>
  <si>
    <t>פיתוח  ברח' העפרוני וזאב במתחם.
אומדן ביצוע כולל תאורה וסלילת רחוב משולב .</t>
  </si>
  <si>
    <t>סל עבודות פיתוח קטנות מזדמנות הנדרשות במהלך השנה.</t>
  </si>
  <si>
    <t>סל תכנון של תוכניות ופרויקטים, מדידות ותכנון ראשוני.</t>
  </si>
  <si>
    <t>הכנת תב"עות לשימור אתרים.</t>
  </si>
  <si>
    <t>סל תכנון של תב"עות הנדרשות במהלך השנה.</t>
  </si>
  <si>
    <t>תכנון התחדשות עירונית ביד התשעה.</t>
  </si>
  <si>
    <t>הערכות להתנגדות לתוכנית שמקדם מינהל התכנון והועדה המחוזית לכל צפון הרצליה ללא שיתוף העירייה.</t>
  </si>
  <si>
    <t>עלויות אכיפה צווי בית משפט במרינה.</t>
  </si>
  <si>
    <t>עבודות פיתוח במתחם הרחובות והרחבתם.</t>
  </si>
  <si>
    <t>תכנון שינוי תב"ע משצ"פ למגורים בעקבות היתרים קיימים משנות ה - 90 שאינם תואמים למצב הסטטוטורי הקיים.</t>
  </si>
  <si>
    <t>תכנון מתחם מעונות שרה לפינוי ובינוי.מימון משרד הבינוי.</t>
  </si>
  <si>
    <t>הכנת תב"ע לבניית חניון מתחת לשצ"פ במתחם "מרינה לי".</t>
  </si>
  <si>
    <t>טרם הופקעו כל החלקות.</t>
  </si>
  <si>
    <t>הסדרת דרכי גישה למבני מגורים והסדרת פלישות לשטחי ציבור. המשך תכנון וביצוע השצ"פים כ - 1,300 מ"ר.</t>
  </si>
  <si>
    <t>תכנון תב"ע לשטח התחנה המרכזית החדשה.</t>
  </si>
  <si>
    <t>סה"כ אגף ש.א.י.פ.ה</t>
  </si>
  <si>
    <t>סה"כ אגף ת.נ.ו.ס</t>
  </si>
  <si>
    <t>סה"כ אגף בטחון פיקוח וסדר ציבורי</t>
  </si>
  <si>
    <t>סה"כ אגף ת.ב.ל</t>
  </si>
  <si>
    <t>הכנת פרוגרמות עירוניות : שטחים מבונים,איזור תעשיה, מרחב ציבורי,תוכניות תמ"א 38, סוקולוב.</t>
  </si>
  <si>
    <t>הכנת פרוגרמות עירוניות עפ"י הנדרש</t>
  </si>
  <si>
    <t>פרק 73</t>
  </si>
  <si>
    <t>פרק 74</t>
  </si>
  <si>
    <t>פרק 76</t>
  </si>
  <si>
    <t>פרק 99</t>
  </si>
  <si>
    <t>התקציב מיועד לפיתוח חופי רחצה היערכות לקראת עונת הרחצה.</t>
  </si>
  <si>
    <t>פרק 82</t>
  </si>
  <si>
    <t>פרק 93</t>
  </si>
  <si>
    <t>פרק 61</t>
  </si>
  <si>
    <t>פרק 72</t>
  </si>
  <si>
    <t>פרק 81</t>
  </si>
  <si>
    <t>פרק 747 חופים</t>
  </si>
  <si>
    <t>פרק 747</t>
  </si>
  <si>
    <t>פרק 84</t>
  </si>
  <si>
    <t>פרק 87</t>
  </si>
  <si>
    <t>פרק 85</t>
  </si>
  <si>
    <t>התאמות נגישות מוס"ח</t>
  </si>
  <si>
    <t>בניית בי"ס ירוק ברח' משה</t>
  </si>
  <si>
    <t>פרק 749</t>
  </si>
  <si>
    <t>פרויקט : שיפוץ ותוספת בניה בר אילן</t>
  </si>
  <si>
    <t>פרויקט שהסתיים</t>
  </si>
  <si>
    <t>הארכת דרך ירושלים והתחברות אליה</t>
  </si>
  <si>
    <t>צומת הבריגדה היהודית -מנחם בגין- בטיחות</t>
  </si>
  <si>
    <t>פיתוח רחוב גבעת החלומות לרבות עבודות ניקוז ותאורה.</t>
  </si>
  <si>
    <t>פיתוח מתחם הרחובות אוצר הצמחים, אבן אודם, הראשונים. 
ב - 2019 : תכנון.</t>
  </si>
  <si>
    <t>תכנון שבילי אופנים וביצוע ברחבי העיר. מימון מ. התחבורה.</t>
  </si>
  <si>
    <t>פיתוח מתחם הרחובות יהודה המכבי, זוהר טל, האצל, הגבורה. תכנון ותחילת ביצוע.</t>
  </si>
  <si>
    <t xml:space="preserve">ליווי יועצי תנועה, איכות הסביבה, במסגרת סלילת כביש 531 וכביש 20. </t>
  </si>
  <si>
    <t>תכנון פיתוח מתחם התחנה.</t>
  </si>
  <si>
    <t xml:space="preserve">המשך עבודות פיתוח במתחם. </t>
  </si>
  <si>
    <t>תכנון צומת הרב גורן מוהליבר עקב ריבוי תאונות דרכים עפ"י נתוני הרלב"ד. מימון מ. התחבורה.</t>
  </si>
  <si>
    <t>תכנון צומת הבריגדה היהודית -מנחם בגין עקב ריבוי תאונות דרכים עפ"י נתוני הרלב"ד. מימון מ. התחבורה.</t>
  </si>
  <si>
    <t>תקשורת ברחבי העיר ומוסדות חינוך, תוכנית הצטיידות מיחשוב מוסדות חינוך.</t>
  </si>
  <si>
    <t>פרויקט בביצוע .</t>
  </si>
  <si>
    <t>פרק 848</t>
  </si>
  <si>
    <t>הארכת דרך ירושלים  עד לרחוב הנגב וחיבור רבי עקיבא, פיתוח רח' יבנה . ב - 2019 : תחילת תכנון.</t>
  </si>
  <si>
    <t>פינוי בינוי סוקולוב רח' ירושלים</t>
  </si>
  <si>
    <t>תב"ע משולש המנהרה הר' 2350</t>
  </si>
  <si>
    <t>ביצוע  עבודות סלילה ופיתוח סופי רח' דן שומרון. פיתוח שצ"פ האקליפטוס. תכנון רח' דורי.</t>
  </si>
  <si>
    <t>תכנון מתחם צומת כדורי לפינוי ובינוי.עדכון מימון מ. הבינוי.</t>
  </si>
  <si>
    <t>תכנון תב"ע לשכונה חדשה בהרצליה הצעירה. שטח בגודל של כ - 50 דונם , כ - 300 יח"ד.</t>
  </si>
  <si>
    <t>הקמת מערכת בקרת רמזורים ברחבי העיר.</t>
  </si>
  <si>
    <t>תכנון איזור תעשיה ושכונת מגורים במשולש התחבורה. מקודם בותמ"ל .</t>
  </si>
  <si>
    <t>העסקת צוות יועצים לתכנון התב"ע  לדיור בר השגה רח' בן ציון.</t>
  </si>
  <si>
    <t>פינוי בינוי סוקולוב רח' ירושלים . מימון מ. הבינוי.</t>
  </si>
  <si>
    <t>פיתוח מתחם אולפני הרצליה תב"ע הר' 2180.</t>
  </si>
  <si>
    <t>תוכנית מתארית ומפורטת חלקית לאורך רחוב המנהרה ועד פארק הואדי. התוכנית כוללת מתחם לשימור. יש עתירה לבימ"ש של בעלי קרקע פרטיים.</t>
  </si>
  <si>
    <t>עבודות השלמה סופיות  לרבות מתכננים ופיקוח עקב התארכות תקופת הביצוע של הפרויקט.</t>
  </si>
  <si>
    <t xml:space="preserve">פיתוח קטע הרחוב מרבי עקיבא עד דוד רזיאל. 2019 - תכנון. </t>
  </si>
  <si>
    <t>עבודות עק פרויקט " מהיר לעיר" כולל תוספת חיפוי קיר בטון.</t>
  </si>
  <si>
    <t>סל  עבודות תכנון , בדיקות, סקרים ודרישות  מכח החלטות של ועדות סטטוטוריות בלתי צפויות.</t>
  </si>
  <si>
    <t>לאור החלטת בימ"ש שהעיריה תבצע שינויים גיאומטרים וקיר.</t>
  </si>
  <si>
    <t>תכנון שצ"פים במתחם  הר' 1960 : קורן,דן שומרון ,דורי ומשה שמיר.</t>
  </si>
  <si>
    <r>
      <t>הפיכת תוכנית אסטרטגית  לתוכנית סטטוטורית, לתוכנית מתאר בועדה המחוזית בהתאם ליו"ר הועדה המחוזית.</t>
    </r>
    <r>
      <rPr>
        <sz val="11"/>
        <color rgb="FFFF0000"/>
        <rFont val="David"/>
        <family val="2"/>
      </rPr>
      <t xml:space="preserve"> </t>
    </r>
  </si>
  <si>
    <t>תכנון צומת השרון בר אילן  עקב ריבוי תאונות דרכים עפ"י נתוני הרלב"ד. מימון מ. התחבורה.</t>
  </si>
  <si>
    <t xml:space="preserve">השלמת רח' משכית, פיתוח החושלים, השלמת שצ"פים . </t>
  </si>
  <si>
    <t>המשך עבודות הקמת חדרי פעילויות, בית קפה לרבות תוספת שרותים.</t>
  </si>
  <si>
    <t>הקמת מבנה תרבות כולל חדרי מחול וקונסבטוריון . מימון מפעל הפייס.</t>
  </si>
  <si>
    <t>ב - 2019: תכנון צומת אבא אבן הצדף,עקב ריבוי תאונות דרכים עפ"י נתוני הרלב"ד. מימון מ. התחבורה.</t>
  </si>
  <si>
    <t>הקמת מסוף תחבורה חדש , חניון ל -60 אוטובוסים , הסדרת ציר תנועה  רחוב בן ציון מיכאלי. מימון משרד התחבורה.</t>
  </si>
  <si>
    <t>עבודות פיתוח כולל קו ניקוז רחוב שער הים. מימון תאגיד המים.</t>
  </si>
  <si>
    <t xml:space="preserve">הקמה של קמפוס המדעים הכולל:בי"ס להנדסאים ותיכון חדש. </t>
  </si>
  <si>
    <t>פיתוח שצ"פ בגבעת הפרחים כולל הנגשה.</t>
  </si>
  <si>
    <t>תכנון מתנ"ס ברחוב המסילה.</t>
  </si>
  <si>
    <t>בניית ביכנ"ס ברח' מקדש מלך. ב - 2019: תכנון.</t>
  </si>
  <si>
    <t>עבודות הקמת אולם ספורט בנגיד ובנדיב  כולל הריסת אולמות ומקלט קיימים.</t>
  </si>
  <si>
    <t xml:space="preserve">שיפוץ אולם ספורט היובל כולל פיתוח המבואה והמתחם. </t>
  </si>
  <si>
    <t>עבודות פיתוח. מימון רמ"י במסגרת הסכם "הגג".</t>
  </si>
  <si>
    <t>בניית החניון במימון  חברת אפריקה ישראל.</t>
  </si>
  <si>
    <t>מתחם המשתלה  תב"ע 1874</t>
  </si>
  <si>
    <t>הקמת בריכה ומרכז לאומנויות לחימה</t>
  </si>
  <si>
    <t>פיתוח מתחם מתנ"ס נווה עמל ומגרשי טניס</t>
  </si>
  <si>
    <t>הסדרת צומת ברנר בר כוכבא בן גוריון</t>
  </si>
  <si>
    <t>קירוי והצללה מגרשי ספורט עירוניים</t>
  </si>
  <si>
    <t>השקעה בתשתיות והרחבת  חניונים</t>
  </si>
  <si>
    <t>הקמת אולם ספורט הנגיד הנדיב</t>
  </si>
  <si>
    <t>מימון רמ"י במסגרת הסכם "הגג".</t>
  </si>
  <si>
    <t>תיקון ליקויים סקר כיבוי אש בי"ס</t>
  </si>
  <si>
    <t>החלפת צילרים אולמות ספורט נ. ישראל,סמדר ,נוף ים</t>
  </si>
  <si>
    <t>סל לשדרוג כבישים במקביל לעבודת תאגיד המים ומדרכות ברחבי העיר עפ"י תוכנית עבודה שתאושר ע"י הנהלת העיר.</t>
  </si>
  <si>
    <t>ב - 2019: הצטיידות אולם הספורט בר אילן.</t>
  </si>
  <si>
    <t xml:space="preserve">עבודות במסגרת מערכות כיבוי אש והמשך שדרוג מערכת מיזוג במוזיאון. </t>
  </si>
  <si>
    <t>בנית פיר מעלית חיצוני בעקבות ביקורת של יועץ נגישות וקושי הנדסי לבנות את הפיר בתוך המבנה.</t>
  </si>
  <si>
    <t>התקנת מעליות, שרותים ,רמפות בבי"ס עפ"י תוכנית רב שנתית.</t>
  </si>
  <si>
    <t>שיפוץ קומת הקרקע במבנה לטובת פעילות  יחידת הבריאות העירונית.</t>
  </si>
  <si>
    <t>תוספת כיתות וחדרי ספח בקומת המסד בבי"ס ברנדיס.</t>
  </si>
  <si>
    <t>התאמת מבנה ושיפוץ יסודי של 2 גנ"י.</t>
  </si>
  <si>
    <t>התקנת ספרינקלרים אולם ספורט ראשונים</t>
  </si>
  <si>
    <t>התקנת מערכת ספרינקלרים באולם הספורט עפ"י דרישות רשות כיבוי אש.</t>
  </si>
  <si>
    <t>עבודות מיזוג, חשמל, נגרות תקשורת  והצטיידות לחמ"ל האחורי.</t>
  </si>
  <si>
    <t>פרויקט שיגור לווין 3  בשיתוף פעולה עם המועצה האזורית שער הנגב  הנמצא בשלבים הסופיים לפני שיגור.</t>
  </si>
  <si>
    <t xml:space="preserve">הצטיידות מעבדה בהנדסאים הנמצא בבניה. </t>
  </si>
  <si>
    <t>פרויקט לווינים - ישראל 70</t>
  </si>
  <si>
    <t>פרויקט שיגור 70 לווינים בשיתוף עם 70 ערים ומועצות עירוניות. מימון מ. המדע.</t>
  </si>
  <si>
    <t>הקמת מתקנים בחוף כוכבים וחוף זבולון. בשנת 2019 מתוכנן בחוף הנכים והשרון.</t>
  </si>
  <si>
    <t>הצטיידות כלי שייט עבור המרכז לחינוך וספורט ימי כולל החינוך המיוחד.</t>
  </si>
  <si>
    <t>הקמה שיפוץ רצפות פרקט אולמות ספורט</t>
  </si>
  <si>
    <t>עבודות התאמה לתקן חדש מגרשי ספורט</t>
  </si>
  <si>
    <t>עבודות שיפוץ במתקנים במגרשי הספורט בהתאם לדוחות מכון התקנים.</t>
  </si>
  <si>
    <t>הקמת גינה קהילתית בהרצליה הירוקה. שדרוג תשתיות בגינות קהילתיות. איתור מקום ליער עירוני נוסף בעיר.</t>
  </si>
  <si>
    <t>ב - 2019 יהיה במסגרת תב"ר 1254.</t>
  </si>
  <si>
    <t>ב - 2019 יהיה במסגרת תב"ר 2038.</t>
  </si>
  <si>
    <t>תוכנית  אב להפחתת זיהום אויר</t>
  </si>
  <si>
    <t>פיתוח נופי דרך ירושלים כביש 531</t>
  </si>
  <si>
    <t>הרצליה ב' שצ" פ המסילה, מ.מסחרי</t>
  </si>
  <si>
    <t>הקמה ושדרוג סככות המתנה לאוטובוס. מימון מ. התחבורה.</t>
  </si>
  <si>
    <t>הסדרת השטח לאורך רח' ארלוזרוב קטע: בית"ר-דרך ירושלים. ייצוב פני הקרקע למניעת סחף והסדרת שיפועים וניקוזים, הסדרת המדרכה וגינון והשקייה.</t>
  </si>
  <si>
    <t>נטיעת עצים ברחבי העיר לרבות פתיחת ריצוף קיים במדרכה,  והתקנת מגן סביב העץ במקרה הצורך.</t>
  </si>
  <si>
    <t>חינוך לקיימות. קול קורא לשנים 2018-2019. מימון מ. להגנת הסביבה</t>
  </si>
  <si>
    <t>ביצוע מיפוי וסקר עצים מסוכנים ברחבי העיר, בגינות ציבוריות,במוס"ח לטיפול ומניעת ארועים בטיחותיים, סימון וסקר ממוחשב.</t>
  </si>
  <si>
    <t>רכישה והתקנת שילוט מסוגים שונים ברחבי העיר: שלטי רחוב, מספור על הבתים, שלטי הכוונה למוסדות מקומיים ואזוריים, שלטי כניסה לשכונות וכו'.</t>
  </si>
  <si>
    <t>הקמת מערכת להשכרת אופניים ברחבי העיר ובאיזור התעסוקה כחלק מתוכנית האב להפחתת פליטות גזי חממה. מימון מ. להגנת הסביבה.</t>
  </si>
  <si>
    <t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</t>
  </si>
  <si>
    <t>הסדרת הגן המרכזי בשכונת גן רש"ל כולל: מתקני משחק, משטח גומי, עבודות גינון, השקייה, פיתוח והנגשה.</t>
  </si>
  <si>
    <t>מימון מ. להגנת הסביבה.</t>
  </si>
  <si>
    <t>עבודות גידור בהתאם לנדרש.</t>
  </si>
  <si>
    <t>הכנת תב"ע .</t>
  </si>
  <si>
    <t>שיקום ופיתוח המצודה בתל מיכל.</t>
  </si>
  <si>
    <t>עבודות פיתוח בחוף הדרומי.</t>
  </si>
  <si>
    <t>מימון רמ"י.</t>
  </si>
  <si>
    <t>עבודות פיתוח בחוף הכוכבים.</t>
  </si>
  <si>
    <t>תכנון להסדרת ייעודיי קרקע בטיילת החוף.</t>
  </si>
  <si>
    <t xml:space="preserve">עבודות פיתוח מתחם מבואות השרון. </t>
  </si>
  <si>
    <t>פריסת תשתיות תקשורת ברחבי העיר ומוס"ח</t>
  </si>
  <si>
    <t>התקנת מערכות  שו"ב מצלמות מוס"ח מבני ציבור</t>
  </si>
  <si>
    <t>הקמת מרכז שליטה ובקרה  במיקום שיקבע ע"י הנהלת העיר כולל אמצעי מולטי מדיה למתן מענה לתשתית העיר החכמה. הההקמה כוללת עבודות בינוי, מולטימדיה וריהוט.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</si>
  <si>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</si>
  <si>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רכישת חנויות במרכז דגניה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</si>
  <si>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</si>
  <si>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</si>
  <si>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</si>
  <si>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</si>
  <si>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</si>
  <si>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שרותים עירוניים שונים (76)</t>
  </si>
  <si>
    <t>חינוך (81)</t>
  </si>
  <si>
    <t>ספורט (82)</t>
  </si>
  <si>
    <t>מבני דת ציבוריים (85)</t>
  </si>
  <si>
    <t>איכות הסביבה (87)</t>
  </si>
  <si>
    <t>העברה מתקציב רגיל 2018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</si>
  <si>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</si>
  <si>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</si>
  <si>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</si>
  <si>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</si>
  <si>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</si>
  <si>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</si>
  <si>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>פרויקט בביצוע</t>
  </si>
  <si>
    <t>112 - 109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</si>
  <si>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</si>
  <si>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</si>
  <si>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</si>
  <si>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</si>
  <si>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</si>
  <si>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t>השלמת עבודות במתחם.</t>
  </si>
  <si>
    <t>פיתוח שביל כניסה והסדרת גישה לבתים.</t>
  </si>
  <si>
    <t>פיתוח תשתיות.</t>
  </si>
  <si>
    <t>השלמת חיבור כניסה מכביש 2 לרח' החרש.</t>
  </si>
  <si>
    <t>הסדרת ניקוז בצומת הרחובות.</t>
  </si>
  <si>
    <t>שיפוץ הספרייה בבי"ס היובל. מימון תרומה.</t>
  </si>
  <si>
    <t>הכשרת סינמטק בבניין העיריה החדש.</t>
  </si>
  <si>
    <t>תכנון מבנה מעונות לסטודנטים ברח' בן שפרוט.</t>
  </si>
  <si>
    <t>תוספת קומה בביכנ"ס אור זרוע ברח' אבן עזרא.</t>
  </si>
  <si>
    <t>הקמת מועדון טלויזיה קהילתית במרכז יום לקשיש בצמרות.</t>
  </si>
  <si>
    <r>
      <rPr>
        <sz val="11"/>
        <rFont val="David"/>
        <family val="2"/>
      </rPr>
      <t>תכנון שיפוץ/הריסה ובניה מחדש של בי"ס.</t>
    </r>
    <r>
      <rPr>
        <sz val="11"/>
        <rFont val="David"/>
        <family val="2"/>
        <charset val="177"/>
      </rPr>
      <t xml:space="preserve">
ב - 2019 : תכנון</t>
    </r>
  </si>
  <si>
    <r>
      <t>סל עבודות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לשדרוג במרחב הציבורי כולל ריהוט רחוב באיזור התעשיה.</t>
    </r>
  </si>
  <si>
    <t xml:space="preserve">בניית אולם ספורט חדש בחטיבה. </t>
  </si>
  <si>
    <r>
      <t>בניית מתנ"ס חדש בשכונה.</t>
    </r>
    <r>
      <rPr>
        <sz val="11"/>
        <color rgb="FFFF0000"/>
        <rFont val="David"/>
        <family val="2"/>
      </rPr>
      <t xml:space="preserve"> </t>
    </r>
  </si>
  <si>
    <t xml:space="preserve"> תכנון בניית מתנ"ס חדש בשכונת נווה עמל, פיתוח מגרשי טניס.</t>
  </si>
  <si>
    <t>השקעה בתשתיות ובמערכות מיכון בחניונים ברחבי העיר.</t>
  </si>
  <si>
    <t>שיפוצים שונים מוס"ח</t>
  </si>
  <si>
    <t>סל להקמת מערכות בטחוניות.</t>
  </si>
  <si>
    <t>ובהצטיידות מוסדות חינוך חדשים ולאחר שיפוץ.</t>
  </si>
  <si>
    <t xml:space="preserve">אגף נכסים וביטוח         </t>
  </si>
  <si>
    <t xml:space="preserve">שיקום ושדרוג גינות ציבוריות כולל  הנגשה, שדרוג מע. השקייה, מתקני משחק. </t>
  </si>
  <si>
    <t>הסדרה נופית של דרכים ושל שטחי מוס"ח.</t>
  </si>
  <si>
    <t xml:space="preserve">פרויקט שיפוצי חזיתות בתים במסגרת אגודת תרבות הדיור. </t>
  </si>
  <si>
    <t>מרבית הפרויקטים של האגף הינם פיצויי הפקעה. פרויקטים אלו נמשכים זמן רב</t>
  </si>
  <si>
    <t>פיתוח מתחם המכללות הר' 1920/1 .</t>
  </si>
  <si>
    <t>פינוי בינוי סוקולוב - רח' ירושלים</t>
  </si>
  <si>
    <t>פיתוח מתחם רזיאל מע' תב"ע 1706</t>
  </si>
  <si>
    <t>אוצר הצמחים ,הראשונים ואבן אודם</t>
  </si>
  <si>
    <t>צומת הרב גורן מוהליבר - בטיחות</t>
  </si>
  <si>
    <t>צומת השרון בר אילן -בטיחות</t>
  </si>
  <si>
    <t>תכנון כולל לסוגיית חיזוק הקשר בין מזרח העיר למערבה באמצעות תוספות של גשרים להולכי רגל ורכב דו גלגלי.</t>
  </si>
  <si>
    <t>הסדרת שבילי גישה רגלית וכניסת כלי רכב לחניות,שביל פינוי אשפה,פיתוח כולל גינון ותאורה</t>
  </si>
  <si>
    <t>הגדלת קו הניקוז ברח' דוד המלך בקטע קרן היסוד - מדינת היהודים בתאום עם עבודות מים וביוב של תאגיד המים.</t>
  </si>
  <si>
    <t>עפ"י תיקון לחוק הרשויות, נדרש לבצע סקר חריגות בניה.</t>
  </si>
  <si>
    <t>סקר חריגות בניה ברחבי העיר</t>
  </si>
  <si>
    <t>בהמשך לסקר חריגות בניה, הרשות נדרשת לבצע צווים שיפוטיים ולבצע הריסות במקרים בהם לא בוצעו.</t>
  </si>
  <si>
    <t>שינוי לתוכנית הר' 1985 ב' עקב ריבוי י"ד והצורך לספק שטחים ציבוריים בגינם.</t>
  </si>
  <si>
    <t>תוכנית לצורך מידע מה וכמה ניתן לבנות  בהתאם לתשתיות הקיימות במרכז ותוכנית לבחינת הנדרש לאוכלוסיה בשכונות עפ"י תחזיות גידול האוכלוסיה.</t>
  </si>
  <si>
    <t>בדיקת התכנות והכנת תב"עות של מתחמים מפוצלים בין מס' בעלים באיזהת"ש החשובים מבחינה ציבורית.</t>
  </si>
  <si>
    <t>תכנון החניון מתחת לשצ"פ במתחם המרינה לי.</t>
  </si>
  <si>
    <t>תכנון פיתוח רחוב הפרטיזנים.</t>
  </si>
  <si>
    <t>תכנון פיתוח מתחם שיכון דרום.</t>
  </si>
  <si>
    <t>תכנון פיתוח הרחובות הר מירון בר כוכבא בעקבות אישור תוכנית התחדשות עירונית.</t>
  </si>
  <si>
    <t>פיתוח רח' צ.ה.ל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</si>
  <si>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</si>
  <si>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שדרוג כבישים מדרכות ,תשתיות</t>
  </si>
  <si>
    <t>(3) גנ"י מדעיים באלתרמן</t>
  </si>
  <si>
    <t>(3) גנ"י  במתחם אלתרמן</t>
  </si>
  <si>
    <t>יתרת עבודות השלמה שינויים קומה 4  ומחלקת הגיל הרך.</t>
  </si>
  <si>
    <r>
      <t>המשך עבודות פיתוח רחוב צ.ה.ל כולל סובה להורדת והעלאת תלמידים ליד ביה"ס.</t>
    </r>
    <r>
      <rPr>
        <sz val="11"/>
        <color rgb="FFFF0000"/>
        <rFont val="David"/>
        <family val="2"/>
      </rPr>
      <t xml:space="preserve"> </t>
    </r>
  </si>
  <si>
    <r>
      <t>עבודות בניה ופיתוח גנ"י ילדים מדעיים באלתרמן.</t>
    </r>
    <r>
      <rPr>
        <sz val="11"/>
        <color rgb="FFFF0000"/>
        <rFont val="David"/>
        <family val="2"/>
      </rPr>
      <t xml:space="preserve"> </t>
    </r>
  </si>
  <si>
    <t>עבודות הכשרת החוף הנפרד, מעברים ושיפוץ כולל גשר מעבר.</t>
  </si>
  <si>
    <t>התקנה שדרוג מזגנים במוסדות העיריה</t>
  </si>
  <si>
    <t>ב-2019 צפויים להפתח 3 גנים (כולל ח"מ 1). מימון מ. החינוך.</t>
  </si>
  <si>
    <t xml:space="preserve">מערכות הקרנה דיגיטליות, באמצעות מקרןdcp, במטרה לאפשר הקרנת סרטים בשיטה חדשנית שתגרום להרחבת היצע התכנים לקהל. </t>
  </si>
  <si>
    <t>סל עבודות איטום מקלטים  עפ"י תוכנית.</t>
  </si>
  <si>
    <t>המשך חידוש ציפוי מגרשי הספורט לפי התוכנית השנתית.</t>
  </si>
  <si>
    <t>עבודות נגישות לאנשים עם מוגבלויות, מדידות נכסים ובדיקות נכסים לצורך גביית היטלי פיתוח,</t>
  </si>
  <si>
    <t>התקציב הבלתי רגיל לשנת 2019 – ביצוע</t>
  </si>
  <si>
    <t>הצעת התקציב הבלתי רגיל לשנת 2020</t>
  </si>
  <si>
    <t xml:space="preserve">ביצוע תקציב הבלתי רגיל לשנת 2019    </t>
  </si>
  <si>
    <t>תקציב בלתי רגיל לשנת 2020 בהשקעה של</t>
  </si>
  <si>
    <t xml:space="preserve">לביצוע פרויקטים בשנת 2020 בסכום של  </t>
  </si>
  <si>
    <t>התקציב הבלתי רגיל לשנת 2019</t>
  </si>
  <si>
    <t xml:space="preserve">הצעת התקציב הבלתי רגיל לשנת 2019  אושרה במועצת העיר בחודש דצמבר 2018 . </t>
  </si>
  <si>
    <r>
      <t xml:space="preserve">הצעת התקציב הבלתי רגיל לשנת 2019 הסתכמה בסכום של  </t>
    </r>
    <r>
      <rPr>
        <b/>
        <sz val="12"/>
        <color theme="1"/>
        <rFont val="David"/>
        <family val="2"/>
        <charset val="177"/>
      </rPr>
      <t>489,408 אלפי ₪ .</t>
    </r>
  </si>
  <si>
    <t xml:space="preserve">להלן נתוני ביצוע באלפי ₪ של התקציב הבלתי רגיל לשנת 2019 : </t>
  </si>
  <si>
    <t>ביצוע כולל צפי עד 31.12.2019</t>
  </si>
  <si>
    <t>תקציב מעבר למסגרת תוכנית הפיתוח  כולל צפי עד 31.12.2019</t>
  </si>
  <si>
    <t xml:space="preserve">הפרויקטים הבולטים לשנת 2020 הינם :   </t>
  </si>
  <si>
    <t xml:space="preserve">חינוך </t>
  </si>
  <si>
    <t xml:space="preserve">תרבות וספורט </t>
  </si>
  <si>
    <t xml:space="preserve">רווחה </t>
  </si>
  <si>
    <t>שנת  2020</t>
  </si>
  <si>
    <t>שיפוץ חזיתות/עמידר</t>
  </si>
  <si>
    <t>שנת 2020</t>
  </si>
  <si>
    <t>העברה מתקציב רגיל 2019</t>
  </si>
  <si>
    <t>יתרה לביצוע צפוי עד 31.12.2019</t>
  </si>
  <si>
    <t>אומדן לביצוע שנת 2020</t>
  </si>
  <si>
    <t>אומדן לביצוע שנת 2021 ואילך</t>
  </si>
  <si>
    <t>יתרת תקציב פנויה 31.12.2019</t>
  </si>
  <si>
    <t>תקציב נדרש 2020</t>
  </si>
  <si>
    <t xml:space="preserve">סך התקציב הנדרש בשנת 2020 ע"י מינהל הנדסה מסתכם ב - </t>
  </si>
  <si>
    <t>פרויקטים עיקריים בשנת 2020 :</t>
  </si>
  <si>
    <t>תקציב נוסף נדרש במסגרת תוכנית עבודה 2019</t>
  </si>
  <si>
    <t>תקציב נוסף נדרש מעבר לתוכנית עבודה 2019</t>
  </si>
  <si>
    <t>סה"כ תקציב נוסף נדרש 2019</t>
  </si>
  <si>
    <t>תקציב נוסף נדרש במסגרת תוכנית עבודה2019</t>
  </si>
  <si>
    <t>תקציב נוסף נדרש מעבר לתוכנית עבודה2019</t>
  </si>
  <si>
    <t>התקציב הבלתי רגיל לשנת 2019 - ביצוע</t>
  </si>
  <si>
    <t>ספטמבר</t>
  </si>
  <si>
    <t xml:space="preserve">תוכנית המתאר הכוללנית </t>
  </si>
  <si>
    <t>ת..ע 2020</t>
  </si>
  <si>
    <t>תוקצב.נכלל בתקציב</t>
  </si>
  <si>
    <r>
      <t xml:space="preserve">תכנון </t>
    </r>
    <r>
      <rPr>
        <sz val="11"/>
        <rFont val="David"/>
        <family val="2"/>
        <charset val="177"/>
      </rPr>
      <t xml:space="preserve">וביצוע  תוכנית אב לשבילי אופניים </t>
    </r>
  </si>
  <si>
    <r>
      <t xml:space="preserve">רח' גבעת החלומות פיתוח </t>
    </r>
    <r>
      <rPr>
        <b/>
        <sz val="11"/>
        <color rgb="FFFF0000"/>
        <rFont val="David"/>
        <family val="2"/>
      </rPr>
      <t>(*) עבר לח. לפיתוח</t>
    </r>
  </si>
  <si>
    <r>
      <t xml:space="preserve">מתחם נוף ים פיתוח </t>
    </r>
    <r>
      <rPr>
        <b/>
        <sz val="11"/>
        <color rgb="FFFF0000"/>
        <rFont val="David"/>
        <family val="2"/>
      </rPr>
      <t>(*) עבר לח. לפיתוח</t>
    </r>
  </si>
  <si>
    <r>
      <t xml:space="preserve">ספורטק שלב ג' </t>
    </r>
    <r>
      <rPr>
        <b/>
        <sz val="11"/>
        <color rgb="FFFF0000"/>
        <rFont val="David"/>
        <family val="2"/>
      </rPr>
      <t>(*) עבר לח. לפיתוח</t>
    </r>
  </si>
  <si>
    <r>
      <rPr>
        <sz val="11"/>
        <rFont val="David"/>
        <family val="2"/>
        <charset val="177"/>
      </rPr>
      <t>התחדשות עירונית יד  התשעה</t>
    </r>
    <r>
      <rPr>
        <b/>
        <sz val="11"/>
        <rFont val="David"/>
        <family val="2"/>
      </rPr>
      <t xml:space="preserve"> </t>
    </r>
  </si>
  <si>
    <r>
      <t>תכנון חיבוריות בין מזרח למערב</t>
    </r>
    <r>
      <rPr>
        <b/>
        <sz val="11"/>
        <rFont val="David"/>
        <family val="2"/>
      </rPr>
      <t xml:space="preserve"> </t>
    </r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</si>
  <si>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ובשכונות</t>
    </r>
    <r>
      <rPr>
        <b/>
        <sz val="11"/>
        <rFont val="David"/>
        <family val="2"/>
      </rPr>
      <t xml:space="preserve"> </t>
    </r>
  </si>
  <si>
    <r>
      <t xml:space="preserve">תוכנית אסטרטגית </t>
    </r>
    <r>
      <rPr>
        <sz val="11"/>
        <rFont val="David"/>
        <family val="2"/>
        <charset val="177"/>
      </rPr>
      <t>באזהת"ש</t>
    </r>
  </si>
  <si>
    <r>
      <t xml:space="preserve">יהודה הנשיא רבי עקיבא רזיאל </t>
    </r>
    <r>
      <rPr>
        <b/>
        <sz val="11"/>
        <color rgb="FFFF0000"/>
        <rFont val="David"/>
        <family val="2"/>
      </rPr>
      <t>(*) עבר לח. לפיתוח</t>
    </r>
  </si>
  <si>
    <r>
      <t xml:space="preserve">תכנון חניון מרינה לי </t>
    </r>
    <r>
      <rPr>
        <b/>
        <sz val="11"/>
        <color rgb="FFFF0000"/>
        <rFont val="David"/>
        <family val="2"/>
      </rPr>
      <t>(*) עבר לח. לפיתוח</t>
    </r>
  </si>
  <si>
    <r>
      <t xml:space="preserve">נילי - עבודות פיתוח והסדרת תנועה </t>
    </r>
    <r>
      <rPr>
        <b/>
        <sz val="11"/>
        <color rgb="FFFF0000"/>
        <rFont val="David"/>
        <family val="2"/>
      </rPr>
      <t>(*) עבר לח. לפיתוח</t>
    </r>
  </si>
  <si>
    <r>
      <t xml:space="preserve">החלפת קו ניקוז בדוד המלך </t>
    </r>
    <r>
      <rPr>
        <b/>
        <sz val="11"/>
        <color rgb="FFFF0000"/>
        <rFont val="David"/>
        <family val="2"/>
      </rPr>
      <t>(*) עבר לח. לפיתוח</t>
    </r>
  </si>
  <si>
    <r>
      <t xml:space="preserve">אוצר הצמחים ,הראשונים ואבן אודם </t>
    </r>
    <r>
      <rPr>
        <b/>
        <sz val="11"/>
        <color rgb="FFFF0000"/>
        <rFont val="David"/>
        <family val="2"/>
      </rPr>
      <t>(*) עבר לח. לפיתוח</t>
    </r>
  </si>
  <si>
    <r>
      <t xml:space="preserve">שיכון דרום הר' 2312 </t>
    </r>
    <r>
      <rPr>
        <b/>
        <sz val="11"/>
        <color rgb="FFFF0000"/>
        <rFont val="David"/>
        <family val="2"/>
      </rPr>
      <t>(*) עבר לח. לפיתוח</t>
    </r>
  </si>
  <si>
    <r>
      <t xml:space="preserve">תוכנית מתאר איזור התעסוקה הר/2440 </t>
    </r>
    <r>
      <rPr>
        <b/>
        <sz val="11"/>
        <color rgb="FFFF0000"/>
        <rFont val="David"/>
        <family val="2"/>
      </rPr>
      <t>(*) עבר לח. לפיתוח</t>
    </r>
  </si>
  <si>
    <r>
      <t xml:space="preserve">כלביה </t>
    </r>
    <r>
      <rPr>
        <b/>
        <strike/>
        <sz val="11"/>
        <rFont val="David"/>
        <family val="2"/>
        <charset val="177"/>
      </rPr>
      <t>(*) נסגר 2019</t>
    </r>
  </si>
  <si>
    <r>
      <t xml:space="preserve">כיכר בן גוריון הבנים </t>
    </r>
    <r>
      <rPr>
        <b/>
        <sz val="11"/>
        <rFont val="David"/>
        <family val="2"/>
      </rPr>
      <t>(*) נסגר 2019</t>
    </r>
  </si>
  <si>
    <r>
      <t xml:space="preserve">הקמת חניון ציבורי ליד סובארו </t>
    </r>
    <r>
      <rPr>
        <b/>
        <sz val="11"/>
        <rFont val="David"/>
        <family val="2"/>
      </rPr>
      <t>(*) נסגר 2019</t>
    </r>
  </si>
  <si>
    <r>
      <t xml:space="preserve">שינוי רמזורים מדינת היהודים </t>
    </r>
    <r>
      <rPr>
        <b/>
        <sz val="11"/>
        <rFont val="David"/>
        <family val="2"/>
      </rPr>
      <t>(*) נסגר 2019</t>
    </r>
  </si>
  <si>
    <r>
      <t>בניית 3 גנ"י חדשים (יד התשעה)</t>
    </r>
    <r>
      <rPr>
        <b/>
        <sz val="11"/>
        <rFont val="David"/>
        <family val="2"/>
      </rPr>
      <t xml:space="preserve"> (*) נסגר 2019</t>
    </r>
  </si>
  <si>
    <r>
      <t xml:space="preserve">בניה חדשה בי"ס אופק </t>
    </r>
    <r>
      <rPr>
        <b/>
        <sz val="11"/>
        <rFont val="David"/>
        <family val="2"/>
      </rPr>
      <t>(*) נסגר 2019</t>
    </r>
  </si>
  <si>
    <r>
      <t xml:space="preserve">תוכנית אב לשילוט </t>
    </r>
    <r>
      <rPr>
        <b/>
        <sz val="11"/>
        <rFont val="David"/>
        <family val="2"/>
      </rPr>
      <t>(*) נסגר 2019</t>
    </r>
  </si>
  <si>
    <r>
      <t xml:space="preserve">אולם ספורט ויצמן  תכנון </t>
    </r>
    <r>
      <rPr>
        <sz val="11"/>
        <rFont val="David"/>
        <family val="2"/>
      </rPr>
      <t>וביצוע</t>
    </r>
    <r>
      <rPr>
        <b/>
        <sz val="11"/>
        <rFont val="David"/>
        <family val="2"/>
      </rPr>
      <t xml:space="preserve"> </t>
    </r>
  </si>
  <si>
    <r>
      <t>פארק גליל ים</t>
    </r>
    <r>
      <rPr>
        <b/>
        <sz val="11"/>
        <rFont val="David"/>
        <family val="2"/>
      </rPr>
      <t xml:space="preserve"> </t>
    </r>
    <r>
      <rPr>
        <b/>
        <strike/>
        <sz val="11"/>
        <rFont val="David"/>
        <family val="2"/>
      </rPr>
      <t/>
    </r>
  </si>
  <si>
    <r>
      <rPr>
        <sz val="11"/>
        <rFont val="David"/>
        <family val="2"/>
        <charset val="177"/>
      </rPr>
      <t>שטח 408 גליל ים ב</t>
    </r>
    <r>
      <rPr>
        <sz val="11"/>
        <rFont val="David"/>
        <family val="2"/>
      </rPr>
      <t xml:space="preserve">'-גנ"י, בי"ס, ספריה </t>
    </r>
  </si>
  <si>
    <r>
      <t>קיריית החינוך ( מגרש 406)-</t>
    </r>
    <r>
      <rPr>
        <sz val="11"/>
        <rFont val="David"/>
        <family val="2"/>
      </rPr>
      <t xml:space="preserve">ספריה, מרכז קהילתי </t>
    </r>
  </si>
  <si>
    <t>בת.ע. 2020</t>
  </si>
  <si>
    <t>הפרש</t>
  </si>
  <si>
    <t>תבר 576</t>
  </si>
  <si>
    <t>תבר 1904</t>
  </si>
  <si>
    <t>תבר 1998 שאיפה</t>
  </si>
  <si>
    <r>
      <t xml:space="preserve">בטיחות אש במוס"ח </t>
    </r>
    <r>
      <rPr>
        <b/>
        <sz val="11"/>
        <rFont val="David"/>
        <family val="2"/>
      </rPr>
      <t>(*) נסגר 2019</t>
    </r>
  </si>
  <si>
    <r>
      <t>הצללות בי"ס , גנ"י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מוס. עירוניים</t>
    </r>
  </si>
  <si>
    <r>
      <t xml:space="preserve">תוספת בניה בי"ס יוחנני </t>
    </r>
    <r>
      <rPr>
        <b/>
        <sz val="11"/>
        <rFont val="David"/>
        <family val="2"/>
      </rPr>
      <t>(*) נסגר 2019</t>
    </r>
  </si>
  <si>
    <r>
      <t xml:space="preserve">שיפוץ בית חם לנערים </t>
    </r>
    <r>
      <rPr>
        <b/>
        <sz val="11"/>
        <rFont val="David"/>
        <family val="2"/>
      </rPr>
      <t>(*) נסגר 2019</t>
    </r>
  </si>
  <si>
    <r>
      <t xml:space="preserve">גנרטורים מושתקים לחרום </t>
    </r>
    <r>
      <rPr>
        <b/>
        <sz val="11"/>
        <rFont val="David"/>
        <family val="2"/>
      </rPr>
      <t>(*) נסגר 2019</t>
    </r>
  </si>
  <si>
    <r>
      <t xml:space="preserve">רכישת מכשירי החייאה עפ"י חוק </t>
    </r>
    <r>
      <rPr>
        <b/>
        <sz val="11"/>
        <rFont val="David"/>
        <family val="2"/>
      </rPr>
      <t>(*) נסגר 2019</t>
    </r>
  </si>
  <si>
    <r>
      <t xml:space="preserve">הצטיידות גנ"י ותיקים (מ. הפייס) </t>
    </r>
    <r>
      <rPr>
        <b/>
        <sz val="11"/>
        <rFont val="David"/>
        <family val="2"/>
      </rPr>
      <t>(*) נסגר 2019</t>
    </r>
  </si>
  <si>
    <r>
      <t xml:space="preserve">הקמת גינות בי"ס קהילתיות </t>
    </r>
    <r>
      <rPr>
        <b/>
        <sz val="11"/>
        <color rgb="FFFF0000"/>
        <rFont val="David"/>
        <family val="2"/>
      </rPr>
      <t>(*) עבר לשאיפה</t>
    </r>
  </si>
  <si>
    <r>
      <t xml:space="preserve">פרויקט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שיגור לווין דוכיפת 3 </t>
    </r>
  </si>
  <si>
    <t>המשך הצטיידות בי"סחדש  יצחק נבון.</t>
  </si>
  <si>
    <t>בניית מרחבי למידה  ב - 30 בי"ס לפי אומדן ממוצע של 50 אלפי ₪ לבי"ס בשנים 2019 -2020.יתכן השתתפות מ. החינוך.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</si>
  <si>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</si>
  <si>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t xml:space="preserve">סירות מתקנים מועדון ימי </t>
  </si>
  <si>
    <t>הקמה ושיפוץ רצפות פרקט:אולם ראשונים אולם אילנות. ב - 2019 :אולמות אלון ורעות, סמדר והיובל.</t>
  </si>
  <si>
    <r>
      <t xml:space="preserve">שד' מע.השקייה ממוחשבות מוס"ח </t>
    </r>
    <r>
      <rPr>
        <b/>
        <sz val="11"/>
        <rFont val="David"/>
        <family val="2"/>
      </rPr>
      <t>(*) נסגר 2019</t>
    </r>
  </si>
  <si>
    <r>
      <t xml:space="preserve">שיפוץ חזיתות "המרכז החדש" </t>
    </r>
    <r>
      <rPr>
        <b/>
        <sz val="11"/>
        <rFont val="David"/>
        <family val="2"/>
      </rPr>
      <t>(*) נסגר 2019</t>
    </r>
  </si>
  <si>
    <r>
      <t xml:space="preserve">הנגשת גינות ציבוריות </t>
    </r>
    <r>
      <rPr>
        <b/>
        <sz val="11"/>
        <rFont val="David"/>
        <family val="2"/>
      </rPr>
      <t>(*) נסגר 2019</t>
    </r>
  </si>
  <si>
    <r>
      <t xml:space="preserve">שדרוג </t>
    </r>
    <r>
      <rPr>
        <sz val="11"/>
        <rFont val="David"/>
        <family val="2"/>
        <charset val="177"/>
      </rPr>
      <t xml:space="preserve">וטיפול המרחב הציבורי </t>
    </r>
  </si>
  <si>
    <r>
      <t xml:space="preserve">ריהוט הצטידות כלביה חדשה </t>
    </r>
    <r>
      <rPr>
        <b/>
        <sz val="11"/>
        <rFont val="David"/>
        <family val="2"/>
      </rPr>
      <t>(*) נסגר 2019</t>
    </r>
  </si>
  <si>
    <r>
      <t xml:space="preserve">שדרוג ריהוט רחוב גן אזור תעשיה </t>
    </r>
    <r>
      <rPr>
        <b/>
        <sz val="11"/>
        <rFont val="David"/>
        <family val="2"/>
      </rPr>
      <t>(*) נסגר 2019</t>
    </r>
  </si>
  <si>
    <r>
      <t xml:space="preserve">פרויקט השכרת אופניים </t>
    </r>
    <r>
      <rPr>
        <b/>
        <sz val="11"/>
        <color rgb="FFFF0000"/>
        <rFont val="David"/>
        <family val="2"/>
      </rPr>
      <t>(*) עבר לח.לפיתוח</t>
    </r>
  </si>
  <si>
    <r>
      <t xml:space="preserve">הקמת פינות מיחזור </t>
    </r>
    <r>
      <rPr>
        <sz val="11"/>
        <rFont val="David"/>
        <family val="2"/>
      </rPr>
      <t>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ברחבי העיר </t>
    </r>
  </si>
  <si>
    <r>
      <t>הסדרת שטחי</t>
    </r>
    <r>
      <rPr>
        <sz val="11"/>
        <rFont val="David"/>
        <family val="2"/>
      </rPr>
      <t xml:space="preserve"> 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</si>
  <si>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r>
      <t>סוכת הצלה 2016</t>
    </r>
    <r>
      <rPr>
        <b/>
        <sz val="11"/>
        <rFont val="David"/>
        <family val="2"/>
      </rPr>
      <t xml:space="preserve"> (*) נסגר 2019</t>
    </r>
  </si>
  <si>
    <r>
      <t xml:space="preserve">ציוד הצלה ובטיחות 2016 </t>
    </r>
    <r>
      <rPr>
        <b/>
        <sz val="11"/>
        <rFont val="David"/>
        <family val="2"/>
      </rPr>
      <t>(*) נסגר 2019</t>
    </r>
  </si>
  <si>
    <t>פיתוח חופי רחצה</t>
  </si>
  <si>
    <t xml:space="preserve">סל עבודות פיתוח והיערכות לקראת פתיחת עונת הרחצה ובמהלכה. </t>
  </si>
  <si>
    <r>
      <t xml:space="preserve">ציוד הצלה חופי רחצה 2017 </t>
    </r>
    <r>
      <rPr>
        <b/>
        <sz val="11"/>
        <rFont val="David"/>
        <family val="2"/>
      </rPr>
      <t>(*) נסגר 2019</t>
    </r>
  </si>
  <si>
    <t>פיצויי הפקעה הר'1929 6524/52</t>
  </si>
  <si>
    <r>
      <t xml:space="preserve">פרויקטים דחופים בצ"מ 2015/2016 </t>
    </r>
    <r>
      <rPr>
        <b/>
        <sz val="11"/>
        <rFont val="David"/>
        <family val="2"/>
      </rPr>
      <t>(*) נסגר 2019</t>
    </r>
  </si>
  <si>
    <t>סה"כ צפוי עד 31.12.19</t>
  </si>
  <si>
    <t>סה"כ תקציב שמומש/ימומש עד 31.12.19</t>
  </si>
  <si>
    <t>מקורת מימון - סה"כ מימוש תקציב עד 31.12.19</t>
  </si>
  <si>
    <t>מקורת מימון - מימוש תקציב צפוי עד 31.12.19</t>
  </si>
  <si>
    <t>סה"כ מומש עד 30.9.19</t>
  </si>
  <si>
    <t>תוכנית פיתוח שנתית 2019 : מימוש - מינהל הנדסה הנדסה</t>
  </si>
  <si>
    <t>תוכנית פיתוח שנתית 2019 : מימוש - החברה לפיתוח הרצליה</t>
  </si>
  <si>
    <t>תוכנית פיתוח שנתית 2019 : מימוש - אגף ת.ב.ל</t>
  </si>
  <si>
    <t>תוכנית פיתוח שנתית 2019 : מימוש - אגף בטחון, פיקוח וסדר ציבורי</t>
  </si>
  <si>
    <t>תוכנית פיתוח שנתית 2019 : מימוש - אגף חינוך</t>
  </si>
  <si>
    <t>תוכנית פיתוח שנתית 2019 : מימוש - אגף ת.נ.ו.ס</t>
  </si>
  <si>
    <t>תוכנית פיתוח שנתית 2019 : מימוש - אגף ש.א.י.פ.ה</t>
  </si>
  <si>
    <t>תוכנית פיתוח שנתית 2019 : מימוש - רשות החופים</t>
  </si>
  <si>
    <t xml:space="preserve">תוכנית פיתוח שנתית 2019 : מימוש - החברה לפיתוח תיירות </t>
  </si>
  <si>
    <t>תוכנית פיתוח שנתית 2019 : מימוש - אגף תקשוב ומערכות מידע</t>
  </si>
  <si>
    <t>תוכנית פיתוח שנתית 2019 : מימוש - אגף נכסים וביטוח</t>
  </si>
  <si>
    <t>תוכנית פיתוח שנתית 2019 : מימוש - מינהל כללי</t>
  </si>
  <si>
    <t>תוכנית פיתוח שנתית 2019 : ריכוז לפי אגפים/יחידות</t>
  </si>
  <si>
    <t>ביצוע עד 31.12.2018</t>
  </si>
  <si>
    <t>אומדן לביצוע  2019 מעודכן</t>
  </si>
  <si>
    <t>תקציב מעודכן  2019</t>
  </si>
  <si>
    <t>תקציב שאושר לביצוע בתוכנית הפיתוח 2019</t>
  </si>
  <si>
    <t>תקציב  נדרש מעבר לתוכנית הפיתוח 2019</t>
  </si>
  <si>
    <t>הבקשה/תאור</t>
  </si>
  <si>
    <t xml:space="preserve">מימוש 2/2019 
 </t>
  </si>
  <si>
    <t xml:space="preserve">מימוש 3/2019 
 </t>
  </si>
  <si>
    <t xml:space="preserve">מימוש 4/2019 
 </t>
  </si>
  <si>
    <t xml:space="preserve">מימוש 6/2019 
 </t>
  </si>
  <si>
    <t xml:space="preserve">מימוש 8/2019 
 </t>
  </si>
  <si>
    <t xml:space="preserve">מימוש 9/2019 
 </t>
  </si>
  <si>
    <t>סה"כ צפי עד 31.12.19</t>
  </si>
  <si>
    <t>הנדסה</t>
  </si>
  <si>
    <t>4/19.5.19</t>
  </si>
  <si>
    <t>14/25.6.19</t>
  </si>
  <si>
    <t>כיכר העוגן השונית</t>
  </si>
  <si>
    <t>7/22.9.19</t>
  </si>
  <si>
    <r>
      <t xml:space="preserve">רח' ז'בוטינסקי אלתרמן הבריגדה </t>
    </r>
    <r>
      <rPr>
        <b/>
        <sz val="12"/>
        <rFont val="David"/>
        <family val="2"/>
      </rPr>
      <t>(*) שינוי מימון</t>
    </r>
  </si>
  <si>
    <t>תוספת הרשאה של רמ"י. שינוי מימון.</t>
  </si>
  <si>
    <t>סה"כ הנדסה</t>
  </si>
  <si>
    <t>3/24.3.19</t>
  </si>
  <si>
    <t>10/16.4.19</t>
  </si>
  <si>
    <r>
      <t xml:space="preserve">בניה חדשה בי"ס "אופק" </t>
    </r>
    <r>
      <rPr>
        <b/>
        <sz val="12"/>
        <rFont val="David"/>
        <family val="2"/>
      </rPr>
      <t>(*) שינוי מימון וסגירת תב"ר</t>
    </r>
  </si>
  <si>
    <r>
      <t xml:space="preserve">שיפוץ הספריה בנורדאו </t>
    </r>
    <r>
      <rPr>
        <b/>
        <sz val="12"/>
        <rFont val="David"/>
        <family val="2"/>
      </rPr>
      <t>(*) שינוי מימון</t>
    </r>
  </si>
  <si>
    <t>5/7.7.19</t>
  </si>
  <si>
    <t>15/23.7.19</t>
  </si>
  <si>
    <t>מרכז פיס לתרבות מוסיקה וקהילה</t>
  </si>
  <si>
    <t>הגנה על מצוקי הים</t>
  </si>
  <si>
    <t>ביכנ"ס "אור זרוע" תוספת קומה</t>
  </si>
  <si>
    <t>ניל"י עבודות פיתוח והסדרת תנועה</t>
  </si>
  <si>
    <t>תבל</t>
  </si>
  <si>
    <t>2/24.2.19</t>
  </si>
  <si>
    <t>8/12.3.19</t>
  </si>
  <si>
    <r>
      <t xml:space="preserve">תוספת בניה בי"ס יוחנני </t>
    </r>
    <r>
      <rPr>
        <b/>
        <sz val="12"/>
        <rFont val="David"/>
        <family val="2"/>
      </rPr>
      <t>(*) שינוי מימון</t>
    </r>
  </si>
  <si>
    <r>
      <t xml:space="preserve">עיצוב חצר לימודית בי"ס גורדון </t>
    </r>
    <r>
      <rPr>
        <b/>
        <sz val="12"/>
        <rFont val="David"/>
        <family val="2"/>
      </rPr>
      <t>(*) עבר לח. לפיתוח</t>
    </r>
  </si>
  <si>
    <t>שיפוצים מוסדות רווחה</t>
  </si>
  <si>
    <t>שדרוג כבישים מדרכות ותשתיות</t>
  </si>
  <si>
    <t>עבודות שונות בפארק</t>
  </si>
  <si>
    <r>
      <t xml:space="preserve">תיקון ליקויים סקר כיבוי אש מוס"ח </t>
    </r>
    <r>
      <rPr>
        <b/>
        <sz val="12"/>
        <rFont val="David"/>
        <family val="2"/>
      </rPr>
      <t>ועיריה (*) עדכון ייעוד</t>
    </r>
  </si>
  <si>
    <t xml:space="preserve"> חסכון והתייעלות אנרגטית במוס"ח וציבור</t>
  </si>
  <si>
    <t>תוכנית לניהול בטיחות</t>
  </si>
  <si>
    <r>
      <t xml:space="preserve">שיפוצים שונים מוס"ח </t>
    </r>
    <r>
      <rPr>
        <b/>
        <sz val="12"/>
        <rFont val="David"/>
        <family val="2"/>
      </rPr>
      <t>(*) שינוי מימון</t>
    </r>
  </si>
  <si>
    <t>שיפוץ ושדרוג תיכון אחיה</t>
  </si>
  <si>
    <t>רכישת רכבים</t>
  </si>
  <si>
    <t>שיפוץ אולם ספורט נווה ישראל</t>
  </si>
  <si>
    <t>גני ילדים בבניה טרומים רח' דוד השמעוני</t>
  </si>
  <si>
    <t>6/4.8.19</t>
  </si>
  <si>
    <t>17/10.9.19</t>
  </si>
  <si>
    <t>סה"כ תבל</t>
  </si>
  <si>
    <t>אגף פיקוח בטחון וסדר ציבורי</t>
  </si>
  <si>
    <r>
      <t xml:space="preserve">גנרטורים מושתקים לחרום </t>
    </r>
    <r>
      <rPr>
        <b/>
        <sz val="12"/>
        <rFont val="David"/>
        <family val="2"/>
      </rPr>
      <t>(*) תוספת וסגירת תב"ר</t>
    </r>
  </si>
  <si>
    <t>הקמת מערכות בטחוניות במוסדות  עירייה</t>
  </si>
  <si>
    <t>סה"כ אגף פיקוח בטחון וסדר ציבורי</t>
  </si>
  <si>
    <r>
      <t xml:space="preserve">הצטיידות בחי"ס יצחק נבון באלתרמן </t>
    </r>
    <r>
      <rPr>
        <b/>
        <sz val="12"/>
        <rFont val="David"/>
        <family val="2"/>
      </rPr>
      <t>(*) שינוי מימון</t>
    </r>
  </si>
  <si>
    <t>חידוש ריהוט בי"ס</t>
  </si>
  <si>
    <t>חדש. החלפת ריהוט כיתות א' .</t>
  </si>
  <si>
    <t>הצטיידות גנ"י חדשים גליל ים מגרש 301/302</t>
  </si>
  <si>
    <t>תוספת. הקדמת תקציב מ - 2020.</t>
  </si>
  <si>
    <t>הצטיידות גנ"י חדשים אלתרמן</t>
  </si>
  <si>
    <t>הקטנת תקציב.</t>
  </si>
  <si>
    <t>הצטיידות גנ"י חדשים ח"ר, ח"מ</t>
  </si>
  <si>
    <t>תוספת. הצטיידות לאחר שיפוץ 4 גנ"י הרצליה הצעירה, 1 גן ממ"ד בהרצליה פיתוח.</t>
  </si>
  <si>
    <t>אגף תנוס</t>
  </si>
  <si>
    <t>1/3.2.19</t>
  </si>
  <si>
    <t>7/19.2.19</t>
  </si>
  <si>
    <t>גידור שיפוץ מגרשי ספורט</t>
  </si>
  <si>
    <t>הקמה ושיפוץ רצפות פרקט אולמות ספורט</t>
  </si>
  <si>
    <t>הקדמת תקציב מ - 2020.</t>
  </si>
  <si>
    <t>סה"כ אגף תנוס</t>
  </si>
  <si>
    <r>
      <t xml:space="preserve">שיפוץ חזיתות המרכז החדש </t>
    </r>
    <r>
      <rPr>
        <b/>
        <sz val="12"/>
        <rFont val="David"/>
        <family val="2"/>
      </rPr>
      <t>(*) הקטנת תקציב וסגירה</t>
    </r>
  </si>
  <si>
    <t>סה"כ ש.א.י.פ.ה</t>
  </si>
  <si>
    <t>שילוט חופים 2019</t>
  </si>
  <si>
    <t>חדש. מימון מ. הפנים.</t>
  </si>
  <si>
    <t>ציוד הצלה ובטיחות 2019</t>
  </si>
  <si>
    <t>אופנוע ים 2019</t>
  </si>
  <si>
    <t>סה"כ חופים</t>
  </si>
  <si>
    <t>החברה לתיירות</t>
  </si>
  <si>
    <t>אגף נכסים</t>
  </si>
  <si>
    <t>פיצויי הפקעה ארז בן אהרון הר' 1929</t>
  </si>
  <si>
    <t>הקדמת תקציב מ-2020.המשך תשלומי פיצויים.</t>
  </si>
  <si>
    <t>סה"כ אגף נכסים</t>
  </si>
  <si>
    <r>
      <t xml:space="preserve">פרויקטים דחופים בצ"מ 2017/2018 </t>
    </r>
    <r>
      <rPr>
        <b/>
        <sz val="12"/>
        <rFont val="David"/>
        <family val="2"/>
      </rPr>
      <t>(*) שינוי מימון והקטנת תב"ר</t>
    </r>
  </si>
  <si>
    <t>הקטנת תקציב. התב"ר לקראת סגירה.</t>
  </si>
  <si>
    <r>
      <t xml:space="preserve">פרויקטים תחבורתיים בעיר </t>
    </r>
    <r>
      <rPr>
        <b/>
        <sz val="12"/>
        <rFont val="David"/>
        <family val="2"/>
      </rPr>
      <t>(*) שינוי מימון</t>
    </r>
  </si>
  <si>
    <t>שינוי מימון. תקבולים משרד התחבורה.</t>
  </si>
  <si>
    <t>סה"כ מצטבר</t>
  </si>
  <si>
    <t>תקצוב תב"רים שאושרו במועצה מעבר לתוכנית הפיתוח השנתית 2019</t>
  </si>
  <si>
    <t>מסגרת ביצוע  עבודות מדרכות לאחר השלמת עבודות בניה כתוצאה מהיתרים.</t>
  </si>
  <si>
    <t>פרויקט ממשלתי המתוקצב ע"י המדינה במקביל לרשות. הביצוע העירוני מתעכב עקב בעית פולש והמינהל.</t>
  </si>
  <si>
    <t xml:space="preserve"> תוכנית המתאר הכוללנית </t>
  </si>
  <si>
    <t xml:space="preserve"> תכנון חיבוריות בין מזרח למערב </t>
  </si>
  <si>
    <r>
      <t xml:space="preserve">בדיקת התכנות של מתחמי פינוי בינוי ותכנון פרויקטים להתחדשות עירונית ופינוי בינוי. </t>
    </r>
    <r>
      <rPr>
        <b/>
        <sz val="11"/>
        <rFont val="David"/>
        <family val="2"/>
      </rPr>
      <t>איחוד עם תב"ר 1674.</t>
    </r>
  </si>
  <si>
    <r>
      <t xml:space="preserve">בדיקת התכנות טרם קביעת ותוך כדי בחינת מתחמי פינוי בינוי. </t>
    </r>
    <r>
      <rPr>
        <b/>
        <sz val="11"/>
        <rFont val="David"/>
        <family val="2"/>
      </rPr>
      <t>ראה תב"ר 1660.</t>
    </r>
  </si>
  <si>
    <t>תכנון חניון תת קרקעי במתחם התחנה המרכזית הישנה.</t>
  </si>
  <si>
    <r>
      <t xml:space="preserve">מסמכי מדיניות </t>
    </r>
    <r>
      <rPr>
        <b/>
        <sz val="11"/>
        <rFont val="David"/>
        <family val="2"/>
      </rPr>
      <t xml:space="preserve"> 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(*) עדכון שם</t>
    </r>
  </si>
  <si>
    <r>
      <t>הכנת מסמכי מדיניות להתחדשות עירונית בשכונות לגיבוש מדיניות לחידוש המרקם הקיים בשכונות.</t>
    </r>
    <r>
      <rPr>
        <b/>
        <sz val="11"/>
        <rFont val="David"/>
        <family val="2"/>
      </rPr>
      <t xml:space="preserve"> איחוד עם תב"ר 1759.</t>
    </r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</si>
  <si>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ובשכונות </t>
    </r>
  </si>
  <si>
    <r>
      <t xml:space="preserve">תוכנית לצורך מידע מה וכמה ניתן לבנות  בהתאם לתשתיות הקיימות במרכז ותוכנית לבחינת הנדרש לאוכלוסיה בשכונות עפ"י תחזיות גידול האוכלוסיה. </t>
    </r>
    <r>
      <rPr>
        <b/>
        <sz val="11"/>
        <rFont val="David"/>
        <family val="2"/>
      </rPr>
      <t>ראה תב"ר 1756.</t>
    </r>
  </si>
  <si>
    <r>
      <t xml:space="preserve">תוכנית אסטרטגית </t>
    </r>
    <r>
      <rPr>
        <sz val="11"/>
        <rFont val="David"/>
        <family val="2"/>
        <charset val="177"/>
      </rPr>
      <t>באזהת"ש</t>
    </r>
    <r>
      <rPr>
        <b/>
        <sz val="11"/>
        <rFont val="David"/>
        <family val="2"/>
      </rPr>
      <t xml:space="preserve"> </t>
    </r>
  </si>
  <si>
    <t>תשלומי פיצויים להפקעות לביצוע שביל אופניים זמני ע"י משרד התחבורה.</t>
  </si>
  <si>
    <t>עבודות עקב פרויקט " מהיר לעיר" כולל תוספת חיפוי קיר בטון.</t>
  </si>
  <si>
    <t>חדש</t>
  </si>
  <si>
    <t>תכנית פיתוח של המרחב הציבורי תל מיכל</t>
  </si>
  <si>
    <t>9/2019:בוצע</t>
  </si>
  <si>
    <t xml:space="preserve">9/2019 לביצוע </t>
  </si>
  <si>
    <t xml:space="preserve">תקציב נוסף נדרש במסגרת תוכנית עבודה 2019 </t>
  </si>
  <si>
    <t xml:space="preserve">תקציב נוסף נדרש מעבר לתוכנית עבודה 2019   </t>
  </si>
  <si>
    <t xml:space="preserve">השלמת רח' משכית, פיתוח החושלים, השלמת שצ"פים והשלמת תכנון רח' שנקר. </t>
  </si>
  <si>
    <t xml:space="preserve">עבודות בביצוע.כולל גינת כלבים והשלמת שצ"פים. </t>
  </si>
  <si>
    <t>השלמת עבודות גינון ותיקונים במתחם. לקראת סגירת תב"ר.</t>
  </si>
  <si>
    <t>יתרת עבודות השלמה שינויים קומה  0 ו - 3. לקראת סיום.</t>
  </si>
  <si>
    <t>הקמת מבנה תרבות כולל חדרי מחול וקונסבטוריון . מימון מפעל הפייס. לקראת סיום.</t>
  </si>
  <si>
    <t>ממתין לחן סופי.</t>
  </si>
  <si>
    <t>פיתוח שביל כניסה והסדרת גישה לבתים. ממתין לחן סופי.</t>
  </si>
  <si>
    <t>פיתוח תשתיות. בשלבי סיום.</t>
  </si>
  <si>
    <t>המשך עבודות פיתוח שצ"פ בשכונת צמרות. ממתין לחן סופי.</t>
  </si>
  <si>
    <t>הקמת מבנה מועדון במגרשי הפטנג.</t>
  </si>
  <si>
    <t>תוספת קומה בביכנ"ס אור זרוע ברח' אבן עזרא. לקראת סיום.</t>
  </si>
  <si>
    <t>תכנון במסגרת שינוי תב"ע חניונים הר' 1900. חניונים: משכית (השלמה לתכנון מפורט), גלגלי הפלדה.</t>
  </si>
  <si>
    <t xml:space="preserve">עבודות פיתוח כולל קו ניקוז רחוב שער הים. מימון תאגיד המים. </t>
  </si>
  <si>
    <t>המשך תכנון חניון ברח' מדינת היהודים.</t>
  </si>
  <si>
    <t>המשך תכנון חניון ברח' המדע.</t>
  </si>
  <si>
    <t>הכשרת חניון העוגן במרינה לחניון בתשלום. ממתין להיתר.</t>
  </si>
  <si>
    <t>ממתין לחן סופי ותקבול מימון מ. החינוך.</t>
  </si>
  <si>
    <t>בניית גנ"י בויצמן. פינסקר פינת מנדלבלט.</t>
  </si>
  <si>
    <t>גן רשל, גנ"י בבי"ס אילנות</t>
  </si>
  <si>
    <r>
      <t xml:space="preserve">אולם ספורט ויצמן  תכנון </t>
    </r>
    <r>
      <rPr>
        <sz val="11"/>
        <rFont val="David"/>
        <family val="2"/>
      </rPr>
      <t xml:space="preserve">וביצוע </t>
    </r>
  </si>
  <si>
    <t>בניית אולם ספורט בבי"ס ויצמן. ב - 2020: ביצוע.</t>
  </si>
  <si>
    <t xml:space="preserve">עבודות הכשרת החוף הנפרד, מעברים ושיפוץ כולל גשר מעבר. </t>
  </si>
  <si>
    <t>עיצוב חצר לימודית בי"ס גורדון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</si>
  <si>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</si>
  <si>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</si>
  <si>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t xml:space="preserve">מתוקצב 7.4 מלשח רמ"י. </t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</si>
  <si>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</si>
  <si>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השלמת 6 כיתות בנבון</t>
  </si>
  <si>
    <t>מתקן חניה עילי בספיר</t>
  </si>
  <si>
    <t>גנ"י חדשים</t>
  </si>
  <si>
    <t>חורשת האקליפטוסים במתחם הר 1960</t>
  </si>
  <si>
    <t>מתחם בזק</t>
  </si>
  <si>
    <t>בית ספר בן צבי</t>
  </si>
  <si>
    <t xml:space="preserve">מימון מ. התחבורה. עבר מהנדסה. </t>
  </si>
  <si>
    <t>תכנון צומת הרב גורן מוהליבר עקב ריבוי תאונות דרכים עפ"י נתוני הרלב"ד. מימון מ. התחבורה. עבר מהנדסה.</t>
  </si>
  <si>
    <r>
      <t>הצללות בי"ס וגנ"י</t>
    </r>
    <r>
      <rPr>
        <b/>
        <sz val="11"/>
        <rFont val="David"/>
        <family val="2"/>
      </rPr>
      <t xml:space="preserve">  </t>
    </r>
    <r>
      <rPr>
        <sz val="11"/>
        <rFont val="David"/>
        <family val="2"/>
      </rPr>
      <t xml:space="preserve">ומתנס"ים </t>
    </r>
  </si>
  <si>
    <t>עבודות שונות בפארק כולל שביל גישה ליער מאכל, חידוש מסלול שלב ב' צפוני.</t>
  </si>
  <si>
    <t>מימון מ. החינוך. ממתין לתקבול סופי.</t>
  </si>
  <si>
    <t>החלפת מערכות צ'לרים באולמות הספורט מימון מ. האנרגיה.</t>
  </si>
  <si>
    <t>התקנת מעליות, שרותים ,רמפות בבי"ס עפ"י תוכנית רב שנתית. מימון מ. החינוך בי"ס רמב"ם.</t>
  </si>
  <si>
    <t>מסגרת עבודות במרחב הציבורי.</t>
  </si>
  <si>
    <t>בניית בית ספר ברח' משה-12 כתות. מימון מ. החינוך. היתר בשלב סופי. ממתין להרשאה מ. החינוך.</t>
  </si>
  <si>
    <t>עבודות חיפוי חיצוני עפ"י דרישת מינהל הנדסה.</t>
  </si>
  <si>
    <t>ייסגר עם קבלת תקבולי מ. החינוך.</t>
  </si>
  <si>
    <t>הכנת תוכנית לניהול הבטיחות בעיריה עפ"י דרישות החוק.</t>
  </si>
  <si>
    <t>שיפוצים מוס.רווחה</t>
  </si>
  <si>
    <t>מרכז שלום המשפחה בהסתדרות 4 , נתיבים להורות בויצמן 19.</t>
  </si>
  <si>
    <t>החלפת מזגנים והחלפת תאורה ללדים במוס"ח. מומן מ. הכלכלה והתעשיה.</t>
  </si>
  <si>
    <t>עבודות שיפוץ ושדרוג ביה"ס.</t>
  </si>
  <si>
    <t>החלפת רכבים קיימים ורכישת תוספת רכבים עפ"י רשימה.</t>
  </si>
  <si>
    <t>עבודות שיפוץ האולם כולל הצטיידות.</t>
  </si>
  <si>
    <t>החלפת מזגנים , החלפת תאורה ללדים  ובקרת מבנים במוס"ח ובמוסדות עירוניים. מימון מ. הכלכלה והתעשיה.</t>
  </si>
  <si>
    <t>גידור מרחב האירועים בפארק</t>
  </si>
  <si>
    <t>עבודות גידור קבוע, תאורה תשתיות ושערים במרחב האירועים בפארק.</t>
  </si>
  <si>
    <t>הקמת יחידת חילוץ הצטיידות</t>
  </si>
  <si>
    <t>הצטיידות  של יחידת חילוץ מתנדבים שעברו הכשרה בפיקוד העורף לתפקוד במצבי חרום .</t>
  </si>
  <si>
    <t>התקנת חיבורים חיצוניים לגנרטורים במוס"ח וציבור</t>
  </si>
  <si>
    <t>פרויקט שיגור לווין 2 במסגרת FP7 של האיחוד האירופי.</t>
  </si>
  <si>
    <t>הנגשת כיתות ליקווי שמיעה. ייסגר עם קבלת  יתרת התקבולים ממ. החינוך.</t>
  </si>
  <si>
    <t>הצטיידות  גנים חדשים כולל  ח"מ שנבנו לאחרונה או יבנו לקראת תש"פ ופתיחת גנים במבנים קיימים.</t>
  </si>
  <si>
    <r>
      <t xml:space="preserve">פרויקט </t>
    </r>
    <r>
      <rPr>
        <sz val="11"/>
        <rFont val="David"/>
        <family val="2"/>
      </rPr>
      <t xml:space="preserve"> שיגור לווין דוכיפת 3</t>
    </r>
    <r>
      <rPr>
        <b/>
        <sz val="11"/>
        <rFont val="David"/>
        <family val="2"/>
      </rPr>
      <t xml:space="preserve"> </t>
    </r>
  </si>
  <si>
    <t>שינוי מימון מ. החינוך.</t>
  </si>
  <si>
    <t>פרויקט החלפת ריהוט המותאם למאה ה - 21  בכל ביה"ס. תוכנית רב שנתית. ב - 2020: 3 שכבות גיל.</t>
  </si>
  <si>
    <t xml:space="preserve">חדרי מייקרס בבתי הספר </t>
  </si>
  <si>
    <t xml:space="preserve">בניית חדרי מייקרס בבתי הספר לפי חלוקה גאוגרפית. חדר אחד ישמש מס' בתי הספר. אומדן של חדר אחד - 80 אלף ₪ </t>
  </si>
  <si>
    <t>הצטיידות מעבדות תיכון ראשונים</t>
  </si>
  <si>
    <t>הצטיידות חדשה של מעבדות בתיכון ראשונים עקב גידול משמעותי במספר התלמידים ומספר הפעילויות .</t>
  </si>
  <si>
    <t xml:space="preserve">עיצוב חדשני של כיתות האם </t>
  </si>
  <si>
    <t>הקמת מרחבי למידה חדשניים בשכבת כיתות ז' בחט"ב רעות הכולל ריהוט ועיצוב פנים.</t>
  </si>
  <si>
    <t>המשך חידוש ציפוי מגרשי הספורט לפי התוכנית השנתית. אילנות, היובל, רעות, שיכון דרום, סמדר.</t>
  </si>
  <si>
    <t>שיפוץ מבנה מועדון נוער הכוכב השמיני</t>
  </si>
  <si>
    <t>שיפוץ מועדון הנוער יוסף נבו 18 הכולל איטום גגות וקירות, החלפות תקרות.</t>
  </si>
  <si>
    <t>רישות מוסדות תרבות ופנאי</t>
  </si>
  <si>
    <t>לקראת סיום.</t>
  </si>
  <si>
    <t>הצללת אזורים של מתקני משחקים לנוחות הציבור. נחקק חוק חדש שאושר בוועדת הפנים המחייב את הרשויות להקים הצללות בגני משחקים.</t>
  </si>
  <si>
    <t>קידום אמנת ברית ערים כתוכנית המשך לתוכנית להפחתת פליטות של פורום ה-15.</t>
  </si>
  <si>
    <r>
      <t>שדרוג</t>
    </r>
    <r>
      <rPr>
        <sz val="11"/>
        <rFont val="David"/>
        <family val="2"/>
        <charset val="177"/>
      </rPr>
      <t xml:space="preserve"> וטיפול המרחב הציבורי</t>
    </r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</si>
  <si>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</si>
  <si>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t>הקמת גינות קהילתיות בית ספריות במימון קרן הועדה החקלאית.</t>
  </si>
  <si>
    <t>עבודות במתחם מתקני הכושר:החלפת חול,דשא סינטטי. החלפת מתקני משחק וגידור.</t>
  </si>
  <si>
    <t>עבודות פיתוח השטח בין שכונת יד התשעה לקיר האקוסטי של כביש 531, כולל פיתוח השצ"פ.</t>
  </si>
  <si>
    <t>עבודות פיתוח ושדרוג החצר האחורית במתחם בי"ס אלון כולל הצללה. העבודות הסתיימו.</t>
  </si>
  <si>
    <r>
      <t xml:space="preserve">הסדרת שטחי </t>
    </r>
    <r>
      <rPr>
        <sz val="11"/>
        <rFont val="David"/>
        <family val="2"/>
      </rPr>
      <t>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</si>
  <si>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t>ביצוע שצ"פ רחוב המסילה כולל גידור, הסדרת המרכז המסחרי אל-על נורדאו, עבודות גינון נוספות. העבודות הסתיימו.</t>
  </si>
  <si>
    <t>שדרוג מתחם המשקל העירוני</t>
  </si>
  <si>
    <t>עבודות במתחם המשקל העירוני להסדרת נושא הבטיחות.</t>
  </si>
  <si>
    <t>שדרוג רחוב וינגגיט</t>
  </si>
  <si>
    <t>שדרוג רחוב בן גוריון</t>
  </si>
  <si>
    <t>עבודות שדרוג ושיקום שטחי הגינון  לצידי הרחוב במקטעים שטרם שודרגו. שטח של כ- 4.5 דונם.</t>
  </si>
  <si>
    <t>הקמת סככות המתנה לאוטובוס כולל תשתיות</t>
  </si>
  <si>
    <t>הקמת 25 סככות המתנה משודרגות מתוכן 5 ממוזגות.</t>
  </si>
  <si>
    <t>קידום ושימור הטבע העירוני בעיר</t>
  </si>
  <si>
    <t>הקטנת תקציב , שינוי מימון מימון מ. להגנת הסביבה. סגירת תב"ר.</t>
  </si>
  <si>
    <t>טרם הסתיימה עבודה בתחנת הצלה חוף הכוכבים .</t>
  </si>
  <si>
    <r>
      <t>פיתוח חופי רחצה</t>
    </r>
    <r>
      <rPr>
        <strike/>
        <sz val="11"/>
        <rFont val="David"/>
        <family val="2"/>
      </rPr>
      <t/>
    </r>
  </si>
  <si>
    <t>מימון משרד הפנים. עבור רכישת 2 סככות נוספות הצללה לחוף הכוכבים.</t>
  </si>
  <si>
    <t>מימון משרד הפנים. יבוצעו עבודות נוספות בחוף הנפרד.</t>
  </si>
  <si>
    <t>מימון משרד הפנים.בניית התחנה טרם הסתיימה. ממתינים להיתר בנייה.</t>
  </si>
  <si>
    <t>סככות צל חוף נוף ים + חוף זבולון</t>
  </si>
  <si>
    <t>תוספות שינויים ושיפורים שדרוג מערכות הליבה החברה לאוטומציה וציוד חומרה.</t>
  </si>
  <si>
    <t xml:space="preserve">מיזמים קהילתיים </t>
  </si>
  <si>
    <t>הטמעת מערכת הגנה מפני אלימות ברשת תחת פלטפורמה קהילות לומדות EACH. הקמת מערכת ניטור קולי התראות לפיקוח במסגרת עיר חכמה. הכל בשיתוף פעולה עם מרכז היזמות העירוני.</t>
  </si>
  <si>
    <t>רכישת זכויות דיירות מוגנת חנות (קראוזר) מרכז מסחרי נוף ים גוש 6670 חל' 269</t>
  </si>
  <si>
    <t>תבר 1957</t>
  </si>
  <si>
    <t>תבר 576 הוזרם</t>
  </si>
  <si>
    <t>.</t>
  </si>
  <si>
    <t>מס' תב"ר (סדרי עדיפויות)</t>
  </si>
  <si>
    <t>הכנת תב"ע . מימון רמ"י.</t>
  </si>
  <si>
    <t>משרד  לבטחון הפנים</t>
  </si>
  <si>
    <t>מימוש תקציב בלתי רגיל במסגרת תוכנית הפיתוח השנתית 2019</t>
  </si>
  <si>
    <t>בניית בי"ס יסודי 18 כיתות,  אולם ספורט בינוני (לקבל מימון מ. הספורט) , מגרש ספורט , חדר שנאים, חניון תתקרקעי 2 מפלסים. 2020 : אומדן מימון מ. החינוך בי"ס.</t>
  </si>
  <si>
    <r>
      <t xml:space="preserve">בניית בי"ס יסודי 18 כיתות, 5 כיתות גן, מועדון תנועת נוער, אולם ספורט בינוני (לקבל מימון מ. הספורט) , מגרש ספורט משולב, חדר שנאים , חניון תתקרקעי 2 מפלסים. </t>
    </r>
    <r>
      <rPr>
        <sz val="11"/>
        <rFont val="David"/>
        <family val="2"/>
      </rPr>
      <t>לו"ז לאיכלוס 8/2022. 2020:אומדן מימון מ. החינוך בי"ס וגנ"י.</t>
    </r>
  </si>
  <si>
    <t>פיתוח רח' הארז והחרוב</t>
  </si>
  <si>
    <t>פיתוח רחובות הארז והחרוב. תכנון וביצוע.</t>
  </si>
  <si>
    <t>סקר תשתיות קיימות</t>
  </si>
  <si>
    <t>משרד תרבות והספורט</t>
  </si>
  <si>
    <r>
      <t xml:space="preserve">בניית אולם ספורט חדש בחטיבה. </t>
    </r>
    <r>
      <rPr>
        <sz val="11"/>
        <rFont val="David"/>
        <family val="2"/>
      </rPr>
      <t xml:space="preserve">בקשת מימון מ. התרבות והספורט. </t>
    </r>
  </si>
  <si>
    <t>שיפוץ חלקי של בית משותף בו מצויים הספריה והחניון בבעלות העיריה. סוקולוב 56.</t>
  </si>
  <si>
    <t>הצטיידות כלי שייט עבור המרכז לחינוך וספורט ימי כולל החינוך המיוחד. התקבל מימון מ. התרבות והספורט.</t>
  </si>
  <si>
    <r>
      <t xml:space="preserve">מתחם רחוב משה </t>
    </r>
    <r>
      <rPr>
        <b/>
        <sz val="11"/>
        <rFont val="David"/>
        <family val="2"/>
      </rPr>
      <t>(*) נסגר 2019</t>
    </r>
  </si>
  <si>
    <r>
      <t xml:space="preserve">שיפוצים מוס"ח תוכנית אב </t>
    </r>
    <r>
      <rPr>
        <b/>
        <sz val="11"/>
        <rFont val="David"/>
        <family val="2"/>
      </rPr>
      <t>(*) נסגר 2019</t>
    </r>
  </si>
  <si>
    <r>
      <t xml:space="preserve">בקשות להיתר בלתי צפויות </t>
    </r>
    <r>
      <rPr>
        <b/>
        <sz val="11"/>
        <rFont val="David"/>
        <family val="2"/>
      </rPr>
      <t>(*) נסגר 2019</t>
    </r>
  </si>
  <si>
    <r>
      <t xml:space="preserve">היכל ספורט רב תכליתי  </t>
    </r>
    <r>
      <rPr>
        <b/>
        <sz val="11"/>
        <rFont val="David"/>
        <family val="2"/>
      </rPr>
      <t>(*) נסגר 2019</t>
    </r>
  </si>
  <si>
    <r>
      <t xml:space="preserve">בדיקות תכנוניות כללי </t>
    </r>
    <r>
      <rPr>
        <b/>
        <sz val="11"/>
        <rFont val="David"/>
        <family val="2"/>
      </rPr>
      <t>(*) נסגר 2019</t>
    </r>
  </si>
  <si>
    <r>
      <t xml:space="preserve">שדרוג חצרות במוס"ח </t>
    </r>
    <r>
      <rPr>
        <b/>
        <sz val="11"/>
        <rFont val="David"/>
        <family val="2"/>
      </rPr>
      <t>(*) נסגר 2019</t>
    </r>
  </si>
  <si>
    <r>
      <t xml:space="preserve">איטום גגות (מוס"ח,מוסדות עיריה) </t>
    </r>
    <r>
      <rPr>
        <b/>
        <sz val="11"/>
        <rFont val="David"/>
        <family val="2"/>
      </rPr>
      <t>(*) נסגר 2019</t>
    </r>
  </si>
  <si>
    <r>
      <t xml:space="preserve">החלפת חול בארגזי חול </t>
    </r>
    <r>
      <rPr>
        <b/>
        <sz val="11"/>
        <rFont val="David"/>
        <family val="2"/>
      </rPr>
      <t>(*) נסגר 2019</t>
    </r>
  </si>
  <si>
    <r>
      <t xml:space="preserve">בטיחות מוס"ח </t>
    </r>
    <r>
      <rPr>
        <b/>
        <sz val="11"/>
        <rFont val="David"/>
        <family val="2"/>
      </rPr>
      <t>(*) נסגר 2019</t>
    </r>
  </si>
  <si>
    <r>
      <t xml:space="preserve">התקנת עמודי תאורה </t>
    </r>
    <r>
      <rPr>
        <b/>
        <sz val="11"/>
        <rFont val="David"/>
        <family val="2"/>
      </rPr>
      <t>(*) נסגר 2019</t>
    </r>
  </si>
  <si>
    <r>
      <t xml:space="preserve">גידור מוס"ח </t>
    </r>
    <r>
      <rPr>
        <b/>
        <sz val="11"/>
        <rFont val="David"/>
        <family val="2"/>
      </rPr>
      <t>(*) נסגר 2019</t>
    </r>
  </si>
  <si>
    <r>
      <t xml:space="preserve">בניית גנ"י חדשים </t>
    </r>
    <r>
      <rPr>
        <b/>
        <sz val="11"/>
        <rFont val="David"/>
        <family val="2"/>
      </rPr>
      <t>(מ. החינוך) (*) נסגר 2019</t>
    </r>
  </si>
  <si>
    <r>
      <t xml:space="preserve">רכישת מחסני חצר לגנ"י </t>
    </r>
    <r>
      <rPr>
        <b/>
        <sz val="11"/>
        <rFont val="David"/>
        <family val="2"/>
      </rPr>
      <t>(*) נסגר 2019</t>
    </r>
  </si>
  <si>
    <r>
      <t xml:space="preserve">שיפוץ גני ילדים </t>
    </r>
    <r>
      <rPr>
        <b/>
        <sz val="11"/>
        <rFont val="David"/>
        <family val="2"/>
      </rPr>
      <t>(*) נסגר 2019</t>
    </r>
  </si>
  <si>
    <r>
      <t xml:space="preserve">שיפוץ חטיבה צעירה ברנדייס </t>
    </r>
    <r>
      <rPr>
        <b/>
        <sz val="11"/>
        <rFont val="David"/>
        <family val="2"/>
      </rPr>
      <t>(*) נסגר 2019</t>
    </r>
  </si>
  <si>
    <r>
      <t xml:space="preserve">תוספת בניה בי"ס אילנות </t>
    </r>
    <r>
      <rPr>
        <b/>
        <sz val="11"/>
        <rFont val="David"/>
        <family val="2"/>
      </rPr>
      <t>(*) נסגר 2019</t>
    </r>
  </si>
  <si>
    <r>
      <t xml:space="preserve">שיפוץ בי"ס היובל </t>
    </r>
    <r>
      <rPr>
        <b/>
        <sz val="11"/>
        <rFont val="David"/>
        <family val="2"/>
      </rPr>
      <t>(*) נסגר 2019</t>
    </r>
  </si>
  <si>
    <r>
      <t xml:space="preserve">שיפוץ מעבדות,קולנוע תיכון ראשונים </t>
    </r>
    <r>
      <rPr>
        <b/>
        <sz val="11"/>
        <rFont val="David"/>
        <family val="2"/>
      </rPr>
      <t>(*) נסגר 2019</t>
    </r>
  </si>
  <si>
    <r>
      <t xml:space="preserve">רכישת  מכשירים ייבוש ידיים  בי"ס </t>
    </r>
    <r>
      <rPr>
        <b/>
        <sz val="11"/>
        <rFont val="David"/>
        <family val="2"/>
      </rPr>
      <t>(*) נסגר 2019</t>
    </r>
  </si>
  <si>
    <r>
      <t xml:space="preserve">תקרות אקוסטיות בגנ"י </t>
    </r>
    <r>
      <rPr>
        <b/>
        <sz val="11"/>
        <rFont val="David"/>
        <family val="2"/>
      </rPr>
      <t>(*) נסגר 2019</t>
    </r>
  </si>
  <si>
    <r>
      <t>רכיש</t>
    </r>
    <r>
      <rPr>
        <strike/>
        <sz val="11"/>
        <rFont val="David"/>
        <family val="2"/>
      </rPr>
      <t>ת 2 טרקטורים רשות החופים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(*) נסגר 2019</t>
    </r>
  </si>
  <si>
    <r>
      <t xml:space="preserve">הצטיידות מבנה תרבות עירוני </t>
    </r>
    <r>
      <rPr>
        <b/>
        <sz val="11"/>
        <rFont val="David"/>
        <family val="2"/>
      </rPr>
      <t>(*) נסגר 2019</t>
    </r>
  </si>
  <si>
    <r>
      <t>רכישת כלי נגינה בקונסבטוריון</t>
    </r>
    <r>
      <rPr>
        <b/>
        <sz val="11"/>
        <rFont val="David"/>
        <family val="2"/>
      </rPr>
      <t xml:space="preserve"> (*) נסגר 2019</t>
    </r>
  </si>
  <si>
    <r>
      <t xml:space="preserve">פיתוח חופי רחצה 2016/2017 </t>
    </r>
    <r>
      <rPr>
        <b/>
        <sz val="11"/>
        <rFont val="David"/>
        <family val="2"/>
      </rPr>
      <t>(*) נסגר 2019</t>
    </r>
  </si>
  <si>
    <r>
      <t xml:space="preserve">רכישת נשקים </t>
    </r>
    <r>
      <rPr>
        <b/>
        <sz val="11"/>
        <rFont val="David"/>
        <family val="2"/>
      </rPr>
      <t>(*) נסגר 2019</t>
    </r>
  </si>
  <si>
    <r>
      <t xml:space="preserve">פיתוח ושדרוג מתחם מבואות השרון </t>
    </r>
    <r>
      <rPr>
        <b/>
        <sz val="11"/>
        <rFont val="David"/>
        <family val="2"/>
      </rPr>
      <t>(*) נסגר 2019</t>
    </r>
  </si>
  <si>
    <r>
      <t xml:space="preserve">הקמת בריכה לימודית במרכז הספורט החדש </t>
    </r>
    <r>
      <rPr>
        <b/>
        <sz val="11"/>
        <rFont val="David"/>
        <family val="2"/>
      </rPr>
      <t>(*) נסגר 2019</t>
    </r>
  </si>
  <si>
    <r>
      <t xml:space="preserve">זרובבל השלמת מדרכות בכביש 100 </t>
    </r>
    <r>
      <rPr>
        <b/>
        <sz val="11"/>
        <rFont val="David"/>
        <family val="2"/>
      </rPr>
      <t>(*) נסגר 2019</t>
    </r>
  </si>
  <si>
    <r>
      <t xml:space="preserve">שיפוץ בית קפה פארק שלב ב' </t>
    </r>
    <r>
      <rPr>
        <b/>
        <sz val="11"/>
        <rFont val="David"/>
        <family val="2"/>
      </rPr>
      <t>(*) נסגר 2019</t>
    </r>
  </si>
  <si>
    <r>
      <t xml:space="preserve">שדרוג והנגשה אולם ספורט אילנות </t>
    </r>
    <r>
      <rPr>
        <b/>
        <sz val="11"/>
        <rFont val="David"/>
        <family val="2"/>
      </rPr>
      <t>(*) נסגר 2019</t>
    </r>
  </si>
  <si>
    <r>
      <t>ספריה בבית ספר היובל</t>
    </r>
    <r>
      <rPr>
        <b/>
        <sz val="11"/>
        <rFont val="David"/>
        <family val="2"/>
      </rPr>
      <t xml:space="preserve"> (*) נסגר 2019</t>
    </r>
  </si>
  <si>
    <r>
      <t>פיצויי הפקעה ארז בן אהרון 6524/52</t>
    </r>
    <r>
      <rPr>
        <b/>
        <sz val="11"/>
        <rFont val="David"/>
        <family val="2"/>
      </rPr>
      <t xml:space="preserve"> (*) נסגר 2019</t>
    </r>
  </si>
  <si>
    <t>תיקון ליקויים סקר כיבוי אש מוס"ח  ועיריה</t>
  </si>
  <si>
    <t>סל לעבודות הסדרת ליקויים כיבוי אש במוס"ח ובמוסדות עיריה  לפי סקר.</t>
  </si>
  <si>
    <t>תב"ע תוכנית שיקום המסילה המתפנה הר ' 2435</t>
  </si>
  <si>
    <r>
      <t xml:space="preserve">הצטיידות מעבדות מגמות תיכון היובל </t>
    </r>
    <r>
      <rPr>
        <b/>
        <sz val="11"/>
        <rFont val="David"/>
        <family val="2"/>
      </rPr>
      <t>(*) נסגר 2019</t>
    </r>
  </si>
  <si>
    <r>
      <t xml:space="preserve">גדרות שטחים ציבוריים </t>
    </r>
    <r>
      <rPr>
        <b/>
        <sz val="12"/>
        <rFont val="David"/>
        <family val="2"/>
      </rPr>
      <t xml:space="preserve">(*) </t>
    </r>
    <r>
      <rPr>
        <b/>
        <sz val="11"/>
        <rFont val="David"/>
        <family val="2"/>
      </rPr>
      <t>נסגר 2019</t>
    </r>
  </si>
  <si>
    <r>
      <t xml:space="preserve">שיפורים בשטחים ציבוריים במרינה </t>
    </r>
    <r>
      <rPr>
        <b/>
        <sz val="12"/>
        <rFont val="David"/>
        <family val="2"/>
      </rPr>
      <t xml:space="preserve">(*) </t>
    </r>
    <r>
      <rPr>
        <b/>
        <sz val="11"/>
        <rFont val="David"/>
        <family val="2"/>
      </rPr>
      <t>נסגר 2019</t>
    </r>
  </si>
  <si>
    <r>
      <t xml:space="preserve">פיתוח ותשתיות חוף הכוכבים </t>
    </r>
    <r>
      <rPr>
        <b/>
        <sz val="12"/>
        <rFont val="David"/>
        <family val="2"/>
      </rPr>
      <t xml:space="preserve">(*) </t>
    </r>
    <r>
      <rPr>
        <b/>
        <sz val="11"/>
        <rFont val="David"/>
        <family val="2"/>
      </rPr>
      <t>נסגר 2019</t>
    </r>
  </si>
  <si>
    <t>אחוז ביצוע ת.ע. 2019</t>
  </si>
  <si>
    <t>תקציב מעבר לת.ע.2019</t>
  </si>
  <si>
    <t xml:space="preserve">סה"כ אחוז ביצוע </t>
  </si>
  <si>
    <t>תוכנת ניהול ותאום תשתיות</t>
  </si>
  <si>
    <t>עבודות פיתוח. מימון רמ"י במסגרת הסכם "הגג". שינוי מימון  רמ"י.</t>
  </si>
  <si>
    <t>ביצוע  עבודות סלילה ופיתוח סופי רח' דן שומרון. תכנון רח' דורי.</t>
  </si>
  <si>
    <t xml:space="preserve">פינוי בינוי סוקולוב רח' ירושלים . מימון מ. הבינוי. </t>
  </si>
  <si>
    <t xml:space="preserve">עבודות השלמה סופיות  לרבות מתכננים ופיקוח עקב התארכות תקופת הביצוע של הפרויקט. </t>
  </si>
  <si>
    <r>
      <t>תכנון ציר המעפילים הכניסה הצפונית לעיר בשיתוף מועצה מקומית כפר שמריהו.</t>
    </r>
    <r>
      <rPr>
        <b/>
        <sz val="11"/>
        <rFont val="David"/>
        <family val="2"/>
      </rPr>
      <t xml:space="preserve"> </t>
    </r>
  </si>
  <si>
    <r>
      <t>תוספת גלריה בהיכל אומנויות הבמה.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בשלבי תכנון והיתר. הביצוע מתוכנן ב - 2021.</t>
    </r>
  </si>
  <si>
    <t>תכנון עבודות שיפוץ בית ההורים ברחוב אנה פרנק. בשנת 2020 עבודות שדרוג ושיפוץ כללי.</t>
  </si>
  <si>
    <r>
      <t>עבודות הקמת אולם ספורט בנגיד ובנדיב  כולל הריסת אולמות ומקלט קיימים.</t>
    </r>
    <r>
      <rPr>
        <b/>
        <sz val="11"/>
        <rFont val="David"/>
        <family val="2"/>
      </rPr>
      <t xml:space="preserve"> </t>
    </r>
  </si>
  <si>
    <r>
      <t xml:space="preserve">מעון לאנשים עם מוגבלויות - </t>
    </r>
    <r>
      <rPr>
        <strike/>
        <sz val="11"/>
        <rFont val="David"/>
        <family val="2"/>
      </rPr>
      <t xml:space="preserve">גליל ים </t>
    </r>
    <r>
      <rPr>
        <b/>
        <sz val="11"/>
        <rFont val="David"/>
        <family val="2"/>
      </rPr>
      <t>ביד התשעה (*) עדכון שם</t>
    </r>
  </si>
  <si>
    <t>המשך עבודות פיתוח במתחם. פיתוח השצ"פ.</t>
  </si>
  <si>
    <t>המשך עבודות פיתוח במתחם הר' 1903 הרצליה הילס. פיתוח שצ"פ מערבי.</t>
  </si>
  <si>
    <t>המשך עבודות בניית בי"ס חדש ברחוב אלתרמן. ח-ן סופיים.</t>
  </si>
  <si>
    <r>
      <t>בניית מתנ"ס חדש בשכונה.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/>
    </r>
  </si>
  <si>
    <r>
      <t xml:space="preserve">הוספת 6 כיתות כולל מיקלוט במתחם בי"ס נבון. </t>
    </r>
    <r>
      <rPr>
        <sz val="11"/>
        <rFont val="David"/>
        <family val="2"/>
      </rPr>
      <t>הצטיידות בחינוך.</t>
    </r>
    <r>
      <rPr>
        <b/>
        <sz val="11"/>
        <rFont val="David"/>
        <family val="2"/>
      </rPr>
      <t xml:space="preserve"> </t>
    </r>
  </si>
  <si>
    <t>הקמת ארנה</t>
  </si>
  <si>
    <t>ציר ירושלים יבנה/הנגב</t>
  </si>
  <si>
    <t>תכנון ציר הרחובות ירושלים יבנה/הנגב המסתמן להיות אחד מעורקי התחבורה הראשיים בעיר.</t>
  </si>
  <si>
    <t>תוכנית שבילי אופניים בשצ"פים עירוניים</t>
  </si>
  <si>
    <t>הכנת תוכנית לניצול יעיל לשצ"פים ברחבי העיר לשימושי שבילי אופניים והתקנת מצללות.</t>
  </si>
  <si>
    <t xml:space="preserve">רכישת אופנוע ים כולל זיווד. מימון משרד הפנים. </t>
  </si>
  <si>
    <t xml:space="preserve">החלפה והוספת ציוד הצלה ובטיחות. מימון משרד הפנים. </t>
  </si>
  <si>
    <t>נגישות אקוסטית 2019 (מ.החינוך)</t>
  </si>
  <si>
    <t>תכנון וביצוע שבילי אופנים וביצוע ברחבי העיר . ב - 2020 : תכנון: רח' הבנים, גן רשל, ארלוזרוב,הדר ,לפקין שחק.</t>
  </si>
  <si>
    <t xml:space="preserve">עבודה סלילה, גינון ותאורה במתחם. </t>
  </si>
  <si>
    <t xml:space="preserve">תוכנית לבחינת הקשר בין השביל הירוק המטרופולוני לאורך רחוב אבא אבן תל מיכל והמרחב הציבורי של המרינה לחיזוק הקישוריות העיר אל המרינה וחוף הים. נדרש בעקבות דיון בוולחו"ף. </t>
  </si>
  <si>
    <t xml:space="preserve">ביצוע והשלמת תכנון פארק צפון. </t>
  </si>
  <si>
    <t xml:space="preserve">פיתוח רחוב גבעת החלומות לרבות עבודות ניקוז ותאורה. עדכון תכנון וביצוע . </t>
  </si>
  <si>
    <t xml:space="preserve">המשך עבודות הקמת חדרי פעילויות, בית קפה לרבות תוספת שרותים. </t>
  </si>
  <si>
    <t xml:space="preserve">ביצוע פיתוח ותשתית במתחם "מרינה לי". מימון מ. התחבורה. </t>
  </si>
  <si>
    <t xml:space="preserve"> תכנון וביצוע בניית מתנ"ס חדש בשכונת נווה עמל כולל הקמת מגרש טניס ושדרוג המתחם.</t>
  </si>
  <si>
    <t xml:space="preserve">התקנת קירוי קשיח במגרשי ספורט 2020/2021: דור, תיכון חדש, גורדון,לב טוב,נבון. </t>
  </si>
  <si>
    <t>העבודות:מבנים יבילים,הקמת טריבונות, ארונות שחקנים, עבודות בטיחות. שינוי מימון מ. הספורט בגין אי ביצוע מלתחות.</t>
  </si>
  <si>
    <t xml:space="preserve">השלמת תכנון וביצוע פיתוח קטע הרחוב מרבי עקיבא עד דוד רזיאל. </t>
  </si>
  <si>
    <t xml:space="preserve">תכנון החניון מתחת לשצ"פ במתחם המרינה לי. </t>
  </si>
  <si>
    <r>
      <t xml:space="preserve">מסגרת </t>
    </r>
    <r>
      <rPr>
        <sz val="11"/>
        <rFont val="David"/>
        <family val="2"/>
        <charset val="177"/>
      </rPr>
      <t>עבודות של החלפת עמודי תאורה באיזור התעשיה.</t>
    </r>
  </si>
  <si>
    <r>
      <t xml:space="preserve">פיתוח מתחם ומבנה משכן האומנים. </t>
    </r>
    <r>
      <rPr>
        <b/>
        <sz val="11"/>
        <rFont val="David"/>
        <family val="2"/>
      </rPr>
      <t/>
    </r>
  </si>
  <si>
    <r>
      <t xml:space="preserve">תכנון שיפוץ/הריסה ובניה מחדש של בי"ס. </t>
    </r>
    <r>
      <rPr>
        <sz val="11"/>
        <rFont val="David"/>
        <family val="2"/>
        <charset val="177"/>
      </rPr>
      <t xml:space="preserve">ב - 2020: המשך תכנון. </t>
    </r>
  </si>
  <si>
    <r>
      <t xml:space="preserve">תכנון שצ"פים במתחם  הר' 1960 : קורן,דן שומרון ,דורי ומשה שמיר. </t>
    </r>
    <r>
      <rPr>
        <sz val="11"/>
        <rFont val="David"/>
        <family val="2"/>
      </rPr>
      <t>עבר מהנדסה.</t>
    </r>
  </si>
  <si>
    <r>
      <t xml:space="preserve">תכנון פיתוח רחוב הפרטיזנים. </t>
    </r>
    <r>
      <rPr>
        <sz val="11"/>
        <rFont val="David"/>
        <family val="2"/>
      </rPr>
      <t>עבר מהנדסה.</t>
    </r>
  </si>
  <si>
    <r>
      <t>תכנון פיתוח הרחובות הר מירון בר כוכבא בעקבות אישור תוכנית התחדשות עירונית.</t>
    </r>
    <r>
      <rPr>
        <sz val="11"/>
        <rFont val="David"/>
        <family val="2"/>
      </rPr>
      <t xml:space="preserve"> עבר מהנדסה.</t>
    </r>
    <r>
      <rPr>
        <b/>
        <sz val="11"/>
        <rFont val="David"/>
        <family val="2"/>
      </rPr>
      <t xml:space="preserve"> </t>
    </r>
  </si>
  <si>
    <t xml:space="preserve">ביצוע שצ"פ בקטע רח' דליה רביקוביץ פינת אסתר רהב. עבר מהנדסה. </t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</si>
  <si>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</si>
  <si>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t>בי"ס יסודי בשטח 304.ב - 2020: תכנון.</t>
  </si>
  <si>
    <t xml:space="preserve">פיתוח מתחם הרחובות אוצר הצמחים, אבן אודם, הראשונים. 
</t>
  </si>
  <si>
    <t>מערכות מתקדמות לעיר חכמה כולל שו"ב מצלמות , ציוד נלווה ותשתיות מיחשוב. הוגשה בקשה למימון מ. לשיוויון חברתי.</t>
  </si>
  <si>
    <t>המשרד לשיוויון חברתי</t>
  </si>
  <si>
    <t>פרויקטים סביבתתים לשיפור איכות הסביבה. ממומן ע"י מ. להגנת הסביבה.</t>
  </si>
  <si>
    <r>
      <t>תב"ע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>שיקום חופי הרצליה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(*) נסגר 2019</t>
    </r>
  </si>
  <si>
    <r>
      <t xml:space="preserve">צומת סוקולוב בן גוריון </t>
    </r>
    <r>
      <rPr>
        <b/>
        <sz val="11"/>
        <rFont val="David"/>
        <family val="2"/>
      </rPr>
      <t>(*) נסגר 2019</t>
    </r>
  </si>
  <si>
    <r>
      <t xml:space="preserve">שדרוג האצטדיון+ שד' חווית צפיה </t>
    </r>
    <r>
      <rPr>
        <b/>
        <sz val="11"/>
        <rFont val="David"/>
        <family val="2"/>
      </rPr>
      <t>(*) נסגר 2019</t>
    </r>
  </si>
  <si>
    <r>
      <t>ציוד הצלה ובטיחות 2018</t>
    </r>
    <r>
      <rPr>
        <b/>
        <sz val="11"/>
        <rFont val="David"/>
        <family val="2"/>
      </rPr>
      <t xml:space="preserve"> (*) נסגר 2019</t>
    </r>
  </si>
  <si>
    <t>פרק 764</t>
  </si>
  <si>
    <r>
      <t xml:space="preserve">תב"ר 1756 : </t>
    </r>
    <r>
      <rPr>
        <sz val="12"/>
        <color theme="1"/>
        <rFont val="David"/>
        <family val="2"/>
      </rPr>
      <t>מסמכי מדיניות להתחדשות עירונית בשכונות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מסמכי מדיניות</t>
    </r>
    <r>
      <rPr>
        <b/>
        <sz val="12"/>
        <color theme="1"/>
        <rFont val="David"/>
        <family val="2"/>
      </rPr>
      <t xml:space="preserve"> ותוכניות אסטרטגיות </t>
    </r>
    <r>
      <rPr>
        <sz val="12"/>
        <color theme="1"/>
        <rFont val="David"/>
        <family val="2"/>
      </rPr>
      <t/>
    </r>
  </si>
  <si>
    <r>
      <rPr>
        <sz val="12"/>
        <color theme="1"/>
        <rFont val="David"/>
        <family val="2"/>
      </rPr>
      <t>להתחדשות עירונית בשכונות</t>
    </r>
    <r>
      <rPr>
        <b/>
        <sz val="12"/>
        <color theme="1"/>
        <rFont val="David"/>
        <family val="2"/>
      </rPr>
      <t>.</t>
    </r>
  </si>
  <si>
    <t xml:space="preserve">סך התקציב הנדרש בשנת 2020 ע"י החברה לפיתוח הרצליה  מסתכם ב - </t>
  </si>
  <si>
    <t xml:space="preserve">סך התקציב הנדרש בשנת 2020 ע"י האגף  מסתכם ב - </t>
  </si>
  <si>
    <t>התקציב מיועד לשדרוג מקלטים ציבוריים .</t>
  </si>
  <si>
    <t xml:space="preserve">התקציב מיועד לפרויקטים של השקעה בחידוש ריהוט בי"ס , חדרי מייקרס, מרחבי למידה </t>
  </si>
  <si>
    <t xml:space="preserve">התקציב מיועד לשיפוץ מבני תרבות ונוער כולל מועדון הנוער הכוכב השמיני , גידור, עבודות התאמה </t>
  </si>
  <si>
    <t>לתקן מגרשי ספורט, הקמה ושיפוץ רצפות פרקט באולמות הספורט ,רישות מוסדות תרבות.</t>
  </si>
  <si>
    <t>סככות הצללה בגני משחקים , נטיעות עצים, שדרוג וטיפול המרחב הציבורי ,</t>
  </si>
  <si>
    <t>סקר עצים מסוכנים, רכישת מיכלי אצירה,הקמת סככות המתנה לאוטובוסים.</t>
  </si>
  <si>
    <t xml:space="preserve">סך התקציב הנדרש בשנת 2020 ע"י היחידה מסתכם ב - </t>
  </si>
  <si>
    <t xml:space="preserve">סך התקציב הנדרש בשנת 2020 ע"י החברה לפיתוח התיירות מסתכם ב - </t>
  </si>
  <si>
    <t>תכנון תב"עות  -  טיילת החוף, מרינה ,כיכר דה שליט.</t>
  </si>
  <si>
    <t>המשך פיתוח גן לאומי אפולוניה ותל מיכל.</t>
  </si>
  <si>
    <t>הקמת אתר עירוני ופורטל.</t>
  </si>
  <si>
    <t xml:space="preserve">סך התקציב הנדרש בשנת 2020 במינהל הכללי  מסתכם ב - </t>
  </si>
  <si>
    <t xml:space="preserve">עבודות הנגשה של מוס"ח ומבני ציבור כנדרש עפ"י החוק במסגרת תוכנית רב שנתית. </t>
  </si>
  <si>
    <t xml:space="preserve">מסגרת עבודות של  פרויקטים תחבורתיים עפ"י החלטות ועדת תנועה ופניות הציבור. </t>
  </si>
  <si>
    <t>עב' פיתוח דחופות בלתי צפויות, מימוני ביניים, לביצוע עפ"י החלטות הנהלת העיר. שנים 2018/2019. ממתין לחן סופי.</t>
  </si>
  <si>
    <t>רכישת זכויות דיירת מוגנת בנכס-חנות מרכז מסחרי נוף ים.</t>
  </si>
  <si>
    <r>
      <t xml:space="preserve">הקמת מרכז שליטה ובקרה  במיקום שיקבע ע"י הנהלת העיר כולל אמצעי מולטי מדיה למתן מענה לתשתית העיר החכמה. הההקמה כוללת עבודות בינוי, מולטימדיה וריהוט. </t>
    </r>
    <r>
      <rPr>
        <b/>
        <sz val="11"/>
        <rFont val="David"/>
        <family val="2"/>
      </rPr>
      <t/>
    </r>
  </si>
  <si>
    <t xml:space="preserve">מס' תב"ר </t>
  </si>
  <si>
    <t>הקמת 2 סככות צל בחוף זבולון ו- 2 סככות בחוף נוף ים בהתאם לממצאי דוח משרד הפנים.  תוגש בקשה למימון ממשרד הפנים בשנת 2020.</t>
  </si>
  <si>
    <t>שיפוץ חזיתות בתים כולל: פיתוח חצרות, חדרי מדרגות, מעלית (רכוש משותף). בשיתוף האגודה לתרבות הדיור.</t>
  </si>
  <si>
    <t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t>
  </si>
  <si>
    <t>חינוך לקיימות. קול קורא לשנים 2018-2020. מימון מ. להגנת הסביבה.</t>
  </si>
  <si>
    <t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t>
  </si>
  <si>
    <t xml:space="preserve">הקמה ושדרוג סככות המתנה לאוטובוס. מימון מ. התחבורה. </t>
  </si>
  <si>
    <t xml:space="preserve">עבודות במרחב הציבורי בשכונות השונות ברחבי העיר כולל ריהוט רחוב עפ"י תוכנית עבודה שתאושר ע"י הנהלת העיר. </t>
  </si>
  <si>
    <t>סקירת עצים מסוכנים בפארקים, שצ"פים, רחובות וחורשות אקליפטוסים.</t>
  </si>
  <si>
    <t>שדרוג תשתיות בגינות קהילתיות קיימות , החווה החקלאית גליל ים, והקמת יער  נוסף .</t>
  </si>
  <si>
    <t>הצבת מתקני שתייה מקוררים ברחבי העיר לרווחת התושבים.</t>
  </si>
  <si>
    <t>עבודות שדרוג ושיקום ערוגות הגינון  לצידי הרחוב והכיכרות המרכזיות. מרחוב וינגייט ועד רח' הקונגרס שטח של כ- 2.6 דונם.</t>
  </si>
  <si>
    <t>פעילות חד פעמית בעקבות ממצאי סקר טבע עירוני. הפעילות כוללת: סילוק מינים פולשים של צמחייה , סגירת אזורים עם בולדרים,שילוט .</t>
  </si>
  <si>
    <t xml:space="preserve">הקמת גינות כלבים כולל: פיתוח שבילים, גידור, תאורה, ברזיות, ריהוט גן תואם,גינון והשקייה. </t>
  </si>
  <si>
    <t xml:space="preserve">הקמת מתקנים בחוף כוכבים וחוף זבולון. בשנת 2020 מתוכנן בחוף הנכים והשרון. </t>
  </si>
  <si>
    <t>הצטיידות גנ"י ילדים גליל ים (מגרש 401)</t>
  </si>
  <si>
    <r>
      <t xml:space="preserve">המשך הצטיידות כולל מיחשוב בי"ס חדש  יצחק נבון. כולל בגין </t>
    </r>
    <r>
      <rPr>
        <sz val="11"/>
        <rFont val="David"/>
        <family val="2"/>
      </rPr>
      <t>תוספת 6 כיתות לבניה 2020 החב. לפיתוח.</t>
    </r>
  </si>
  <si>
    <r>
      <t xml:space="preserve">סל עבודות שיפוצים שונות במוס"ח לרבות שיפוצים יסודיים </t>
    </r>
    <r>
      <rPr>
        <sz val="11"/>
        <rFont val="David"/>
        <family val="2"/>
      </rPr>
      <t xml:space="preserve">והתאמת מבנים גנ"י  </t>
    </r>
    <r>
      <rPr>
        <sz val="11"/>
        <rFont val="David"/>
        <family val="2"/>
        <charset val="177"/>
      </rPr>
      <t>על פי רשימה שתאושר ע"י הנהלת העיר.</t>
    </r>
  </si>
  <si>
    <t>ספירת רכוש במוסדות חינוך ויחידות עירוניות וסימון הרכוש העירוני.</t>
  </si>
  <si>
    <t>התקנת חיבורים חיצוניים לגנרטורים  במבני חינוך וציבור לשימוש בעת הצורך.</t>
  </si>
  <si>
    <t>חסכון,התייע' אנרגטית מוסח/ציבור</t>
  </si>
  <si>
    <t>עבודות מבנה קט רגל והשלמת פיתוח בשטחים "ריקים" הגובלים בפטנק ומגרשי קטרגל.</t>
  </si>
  <si>
    <t>השלמת חיבור כניסה מכביש 2 לרח' החרש. ממתין לחן סופי.</t>
  </si>
  <si>
    <t xml:space="preserve">בניית ביכנ"ס ברח' מקדש מלך. תכנון.  </t>
  </si>
  <si>
    <t>בניית גנ"י בנווה עמל. חלקות בבעלות רמ"י. נדחה עד הכרת מ. החינוך והסכם חכירה רמ"י.</t>
  </si>
  <si>
    <t xml:space="preserve">עבר משאיפה/איכות הסביבה. </t>
  </si>
  <si>
    <t>תכנון מבנה מעונות לסטודנטים ברח' בן שפרוט.חשבונות סופיים.יש היתר.</t>
  </si>
  <si>
    <t>הקמת מע.השכרת אופניים ברחבי העיר ובאיזור התעסוקה,חלק מתוכנית אב להפחתת פליטות גזי חממה.מימון מ.להגנת הסביבה.</t>
  </si>
  <si>
    <r>
      <t>עבודות בניה ופיתוח גנ"י מדעיים באלתרמן.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מבנה 3 קומות ופיתוח.</t>
    </r>
  </si>
  <si>
    <t xml:space="preserve">תכנון מתחם חוף התכלת. עתירה של בעלי הקרקע הפרטיים על השתהות בקידום  התוכנית . </t>
  </si>
  <si>
    <t>תכנון התחדשות עירונית ביד התשעה במסגרת תוכנית כללית/תוכניות מתחמיות.</t>
  </si>
  <si>
    <t xml:space="preserve">הקמת מערכת בקרת רמזורים ברחבי העיר. </t>
  </si>
  <si>
    <t xml:space="preserve">פיתוח סימטה שהפכה לדרך במסגרת תב"ע 2029 בנווה עמל. </t>
  </si>
  <si>
    <r>
      <t>הארכת דרך ירושלים  מרחוב סוקולוב עד ליפקין שחק כול דרך ושביל אופניים .</t>
    </r>
    <r>
      <rPr>
        <strike/>
        <sz val="11"/>
        <rFont val="David"/>
        <family val="2"/>
      </rPr>
      <t xml:space="preserve"> </t>
    </r>
  </si>
  <si>
    <t>נדרש ביצוע סקר חריגות בנייה עפ"י תיקון לחוק הרשויות.</t>
  </si>
  <si>
    <t>בהמשך לסקר חריגות בניה, נדרש לבצע צווים שיפוטיים ולבצע הריסות במקרים בהם לא בוצעו.</t>
  </si>
  <si>
    <t>פיתוח  ברח' העפרוני וזאב במתחם. הביצוע כולל תאורה וסלילת רחוב משולב .</t>
  </si>
  <si>
    <r>
      <t xml:space="preserve">תב"ר 2101 : </t>
    </r>
    <r>
      <rPr>
        <sz val="12"/>
        <color theme="1"/>
        <rFont val="David"/>
        <family val="2"/>
      </rPr>
      <t>מעון  לאנשים עם מוגבלויות גליל ים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מעון לאנשים עם מוגבלויות </t>
    </r>
    <r>
      <rPr>
        <b/>
        <sz val="12"/>
        <color theme="1"/>
        <rFont val="David"/>
        <family val="2"/>
      </rPr>
      <t xml:space="preserve"> ביד התשעה. </t>
    </r>
    <r>
      <rPr>
        <sz val="12"/>
        <color theme="1"/>
        <rFont val="David"/>
        <family val="2"/>
      </rPr>
      <t/>
    </r>
  </si>
  <si>
    <t>תאור הפרויקטים מובא בעמודים 30 -25</t>
  </si>
  <si>
    <t>תאור הפרויקטים מובא בעמודים 42-51</t>
  </si>
  <si>
    <t>תאור הפרויקטים מובא בעמודים 59-63</t>
  </si>
  <si>
    <t>תאור הפרויקטים מובא בעמודים 78-81</t>
  </si>
  <si>
    <t>17-30</t>
  </si>
  <si>
    <t>31-51</t>
  </si>
  <si>
    <t>52-63</t>
  </si>
  <si>
    <t>64-65</t>
  </si>
  <si>
    <t>66-68</t>
  </si>
  <si>
    <t>69-71</t>
  </si>
  <si>
    <t>72-81</t>
  </si>
  <si>
    <t>82-84</t>
  </si>
  <si>
    <t>85-86</t>
  </si>
  <si>
    <t>87-90</t>
  </si>
  <si>
    <t>94-95</t>
  </si>
  <si>
    <t>96-130</t>
  </si>
  <si>
    <t>102 - 98</t>
  </si>
  <si>
    <t>108 - 103</t>
  </si>
  <si>
    <t>115 - 114</t>
  </si>
  <si>
    <t>119 - 117</t>
  </si>
  <si>
    <t>תקציב בלתי רגיל שאושר מעבר לתוכנית הפיתוח השנתית במהלך 2019</t>
  </si>
  <si>
    <t>130 - 125</t>
  </si>
  <si>
    <t>131-132</t>
  </si>
  <si>
    <t>רחוב האילנות – הקמת סוללה מגוננת לאורך הרחוב</t>
  </si>
  <si>
    <t>פרויקט : גליל ים א'</t>
  </si>
  <si>
    <t>היקפי פרויקט מעל 14,785,000 ₪</t>
  </si>
  <si>
    <t>פרויקטים שהיקפם עולה על 14,785 אלפי ₪ בביצוע החברה לפיתוח הרצליה.</t>
  </si>
  <si>
    <t>ערך הסף נכון להיום עומד על יותר מ  - 14,785 אלפי ₪.</t>
  </si>
  <si>
    <t xml:space="preserve">פרויקט : ז'בוטינסקי </t>
  </si>
  <si>
    <t>הרצליה : "עיר חכמה" : במסגרת פרויקט התקנת מערכות שו"ב , מצלמות ופריסת תשתיות תקשורת ברחבי העיר</t>
  </si>
  <si>
    <t>תכנון ראשוני בי"ס בן צבי.</t>
  </si>
  <si>
    <t xml:space="preserve">דו"ח מפורט מובא בעמודים  96-130 </t>
  </si>
  <si>
    <t>עדכון שם תב"ר : מסומן (*) מס' 79</t>
  </si>
  <si>
    <t>תכנון חניון "מרינה לי"</t>
  </si>
  <si>
    <t>גנ"י מדעיים (3) באלתרמן</t>
  </si>
  <si>
    <t>גנ"י מרכז ויצמן תמר ותאנה</t>
  </si>
  <si>
    <t>אולם ספורט ויצמן תכנון וביצוע</t>
  </si>
  <si>
    <t>בי"ס בן גוריון</t>
  </si>
  <si>
    <t>אולם ספורט חטיבת  זאב</t>
  </si>
  <si>
    <t>חסכון והתיעלות אנרגטית (2 פרויקטים)</t>
  </si>
  <si>
    <t>תכנון ראשוני הקמת מעון לאנשים עם מוגבלויות ביד התשעה.</t>
  </si>
  <si>
    <t>הקמת מתקן חניה עילי בחניון ספיר.</t>
  </si>
  <si>
    <t>תכנון ראשוני של פיתוח מתחם "בזק".</t>
  </si>
  <si>
    <t>עיצוב חצר לימודית בי"ס גורדון. מימון חלקי מ. החינוך.</t>
  </si>
  <si>
    <t>פרויקט : פיתוח מתחם הר' 1903 - הרצליה הילס</t>
  </si>
  <si>
    <t>הקמה ושיפוץ רצפות פרקט:חידוש באולם היובל , הקמה באולם נוף ים , חידוש אולם בנווה ישראל. מימון מ. התרבות והספורט.</t>
  </si>
  <si>
    <t>תקציב קודם</t>
  </si>
  <si>
    <t>תנוס תבר 2060 אחרים</t>
  </si>
  <si>
    <r>
      <t xml:space="preserve">תב"ע תחנה מרכזית חדשה זמנית </t>
    </r>
    <r>
      <rPr>
        <b/>
        <sz val="11"/>
        <rFont val="David"/>
        <family val="2"/>
      </rPr>
      <t>(*) נסגר 2019</t>
    </r>
  </si>
  <si>
    <t>פרוט הפרויקטים מובא בעמוד 131-132</t>
  </si>
  <si>
    <t xml:space="preserve">תכנון וביצוע  תוכנית אב לשבילי אופניים </t>
  </si>
  <si>
    <t>סקר חריגות בניה</t>
  </si>
  <si>
    <t xml:space="preserve">הקמת חניות והסדרים גיאומטרים ליד מבנה לזכר השואה שיוקם ע"י היזם (ליאור דינור ואחרים). מימון היזם מובטח בערבות. </t>
  </si>
  <si>
    <t>תכנון מתחם צומת כדורי לפינוי ובינוי.מימון מ. הבינוי.</t>
  </si>
  <si>
    <t>הסדרת דרכי גישה למבני מגורים והסדרת פלישות לשטחי ציבור. המשך תכנון השצ"פים כ - 1,300 מ"ר.</t>
  </si>
  <si>
    <t>פיתוח מתחם אולפני הרצליה תב"ע הר' 2180. תכנון.</t>
  </si>
  <si>
    <t>פיתוח חניון זמני במתחם אגד. סיום.חן סופיים.</t>
  </si>
  <si>
    <t>עבודות פיתוח במתחם הרחובות והרחבתם.סיום. חן סופיים.</t>
  </si>
  <si>
    <t>הסדרת שבילי גישה רגלית וכניסת כלי רכב לחניות,שביל פינוי אשפה,פיתוח כולל גינון ותאורה.ב-2020 מתוכנן מרכז "מייקרים" בשיתוף אדריכלית השימור.</t>
  </si>
  <si>
    <t>שינוי לתוכנית הר' 1985 ב' עקב ריבוי יח"ד והצורך לספק שטחים ציבוריים בגינם.</t>
  </si>
  <si>
    <t xml:space="preserve">מיחשוב כלל התשתיות הקיימות במרחב הציבורי. </t>
  </si>
  <si>
    <t xml:space="preserve">בניית אתר הנדסי לתשתיות וסנכרון בין עבודות התשתית השונות ברחבי העיר. </t>
  </si>
  <si>
    <t>עדכון שם תב"ר : מסומן (*) מס' 44</t>
  </si>
  <si>
    <r>
      <t>הקמת מסוף תחבורה חדש , חניון ל -60 אוטובוסים , הסדרת ציר תנועה רחוב בן ציון מיכאלי. מימון מ.התחבורה.</t>
    </r>
    <r>
      <rPr>
        <b/>
        <sz val="11"/>
        <rFont val="David"/>
        <family val="2"/>
      </rPr>
      <t>הביצוע עובר לנת"י.</t>
    </r>
  </si>
  <si>
    <r>
      <t>המשך פיתוח רחוב צ.ה.ל כולל סובה הורדת/העלאת תלמידים ליד ביה"ס.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מימון מ. התחבורה</t>
    </r>
    <r>
      <rPr>
        <sz val="11"/>
        <color rgb="FFFF0000"/>
        <rFont val="David"/>
        <family val="2"/>
      </rPr>
      <t>.</t>
    </r>
  </si>
  <si>
    <t>הסדרת ניקוז בצומת הרחובות. מימון מ. התחבורה. חן סופיים.</t>
  </si>
  <si>
    <t xml:space="preserve">הקמה של קמפוס המדעים:בי"ס להנדסאים ותיכון חדש. </t>
  </si>
  <si>
    <t xml:space="preserve">גיבוש תוכנית פעולות לעבודות הגנה על מצוקי חופי הים . ב - 2020 תכנון. בהמשך הביצוע במימון חלקי של מ. הפנים. </t>
  </si>
  <si>
    <r>
      <rPr>
        <sz val="11"/>
        <rFont val="David"/>
        <family val="2"/>
      </rPr>
      <t>ביצוע שצ"פ מלכי יהודה (האקליפטוס) תב"ע 1960</t>
    </r>
    <r>
      <rPr>
        <b/>
        <sz val="11"/>
        <rFont val="David"/>
        <family val="2"/>
      </rPr>
      <t>.</t>
    </r>
    <r>
      <rPr>
        <sz val="11"/>
        <rFont val="David"/>
        <family val="2"/>
      </rPr>
      <t xml:space="preserve"> עבר מהנדסה.</t>
    </r>
  </si>
  <si>
    <r>
      <rPr>
        <sz val="11"/>
        <rFont val="David"/>
        <family val="2"/>
      </rPr>
      <t xml:space="preserve"> כיתות גן (2) וכיתות מעון (5).מתוקצב 8.9 מלשח רמ"י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>2020:אומדן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מ.החינוך גנ"י</t>
    </r>
    <r>
      <rPr>
        <b/>
        <sz val="11"/>
        <rFont val="David"/>
        <family val="2"/>
      </rPr>
      <t xml:space="preserve">. </t>
    </r>
  </si>
  <si>
    <t>במקביל,תבר חדש הצטיידות בחינוך .</t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</si>
  <si>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>תקציב מקרנות הרשות.</t>
    </r>
    <r>
      <rPr>
        <b/>
        <sz val="11"/>
        <rFont val="David"/>
        <family val="2"/>
      </rPr>
      <t/>
    </r>
  </si>
  <si>
    <t>סל להחלפה ושדרוג מזגנים במוסדות חינוך.</t>
  </si>
  <si>
    <t xml:space="preserve">הצללות קבועות מעל מגרשי ספורט  עפ"י תוכנית רב שנתית. </t>
  </si>
  <si>
    <t>עבר מהנדסה.</t>
  </si>
  <si>
    <t>שלב ב' של עבודות שיפוצים יסודיים הרחבות בקומת הקרקע, מטבח, חזיתות. ממתין להיתר.</t>
  </si>
  <si>
    <t>פרויקט  בניית אודיטוריום ,תוספת 6 כתות ו-2 ממ"דים , שיפוץ כללי.</t>
  </si>
  <si>
    <t>עבודות שיפוץ כללי למשרדי האגפים כולל חדר ישיבות.</t>
  </si>
  <si>
    <t xml:space="preserve">במקביל לבנית גנ"י בביצוע של החב. לפיתוח. </t>
  </si>
  <si>
    <t>גדר בגובה 4 מ' סביב מגרשי אימונים במתחם האצטדיון מול משרדי תבל .</t>
  </si>
  <si>
    <t>עבודות בגן גלעד וגן קלישר. לקראת סיום.</t>
  </si>
  <si>
    <t>ביצוע של החלפת משטחי גומי ישנים מאוד בגינות קיימות. לקראת סיום.</t>
  </si>
  <si>
    <t>החלפת מתחם ישן ורעוע עשוי מלוחות עץ נרקבים שעומד שעומד לפני פסילת מכון התקנים.</t>
  </si>
  <si>
    <t xml:space="preserve">לקראת סיום. </t>
  </si>
  <si>
    <t xml:space="preserve">מימון משרד הפנים. </t>
  </si>
  <si>
    <t>91-93</t>
  </si>
  <si>
    <t>פיתוח מתחם "מרינה לי".</t>
  </si>
  <si>
    <t>פיתוח מתחם זרובבל.</t>
  </si>
  <si>
    <t>תכנון חניון "מרינה לי".</t>
  </si>
  <si>
    <t>המשך תכנון וביצוע מערך שבילי אופניים ברחבי העיר.</t>
  </si>
  <si>
    <t>פרויקטים של חסכון והתייעלות אנרגטית במוסדות חינוך ובמבני ציבור.</t>
  </si>
  <si>
    <t xml:space="preserve">פרויקט "עיר חכמה" - התקנת מערכות שליטה ובקרה,מצלמות ופריסת תשתיות ברחבי העיר. </t>
  </si>
  <si>
    <t xml:space="preserve">פיתוח והקמת מתנ"סים. </t>
  </si>
  <si>
    <t xml:space="preserve">פיתוח והקמת אולמות ספורט. </t>
  </si>
  <si>
    <t>חן סופיים.</t>
  </si>
  <si>
    <t>מסגרת עבודות של החלפת עמודי מחסום באיזור התעשיה. חן סופיים.</t>
  </si>
  <si>
    <t xml:space="preserve">מתחמים (2) בשז"ר ומתחמים (2) באיזור לב טוב. כל מתחם 3 גנ"י. לפי אומדן של 7.5 מלשח למתחם. ב - 2020 תכנון. </t>
  </si>
  <si>
    <t>ב - 2020 : תכנון ראשוני הקמת ארנה באיזור האיצטדיון.</t>
  </si>
  <si>
    <r>
      <t xml:space="preserve">בניית החניון במימון  חברת אפריקה ישראל. </t>
    </r>
    <r>
      <rPr>
        <sz val="11"/>
        <rFont val="David"/>
        <family val="2"/>
      </rPr>
      <t>גנ"י: אומדן מימון מ. החינוך.</t>
    </r>
  </si>
  <si>
    <t>חסכון,התייע' אנרגטית מוסח/ציבור 2020</t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</si>
  <si>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</si>
  <si>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</si>
  <si>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</si>
  <si>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</si>
  <si>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עבודות הנגשה כולל מעלית ושיפוץ אולם והכשרת היתר הבניה לכל המבנה. ממתין להיתר.</t>
  </si>
  <si>
    <t>תוספת כיתות וחדרי ספח בקומת המסד בבי"ס ברנדיס. ממתין להיתר.</t>
  </si>
  <si>
    <r>
      <t xml:space="preserve">נגישות אקוסטית בי"ס. מימון מ. החינוך. </t>
    </r>
    <r>
      <rPr>
        <b/>
        <sz val="11"/>
        <rFont val="David"/>
        <family val="2"/>
      </rPr>
      <t/>
    </r>
  </si>
  <si>
    <t>התקנת מצלמות במרכזים קהילתיים שמשמשים את הנוער : בית פוסטר,יבור, נחלת עדה, נוף ים. בשיתוף עם אגף המיחשוב.מימון מ. לביטחון פנים.</t>
  </si>
  <si>
    <t>מימון מ. הפנים. ממתין לתקבול סופי.</t>
  </si>
  <si>
    <t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מימון מפעל הפיס.</t>
  </si>
  <si>
    <t>מתקני משחק נגישים בגינת ווריזלנד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</si>
</sst>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0"/>
    <numFmt numFmtId="165" formatCode="0.0%"/>
    <numFmt numFmtId="166" formatCode="_ * #,##0_ ;_ * \-#,##0_ ;_ * &quot;-&quot;??_ ;_ @_ "/>
    <numFmt numFmtId="167" formatCode="_ * #,##0.0_ ;_ * \-#,##0.0_ ;_ * &quot;-&quot;??_ ;_ @_ "/>
  </numFmts>
  <fonts count="75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8"/>
      <color rgb="FF000000"/>
      <name val="Tahoma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David"/>
      <family val="2"/>
      <charset val="177"/>
    </font>
    <font>
      <sz val="11"/>
      <color rgb="FFFF0000"/>
      <name val="David"/>
      <family val="2"/>
      <charset val="177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strike/>
      <sz val="11"/>
      <name val="David"/>
      <family val="2"/>
    </font>
    <font>
      <b/>
      <sz val="12"/>
      <color theme="1"/>
      <name val="David"/>
      <family val="2"/>
    </font>
    <font>
      <b/>
      <sz val="12"/>
      <color rgb="FFFF0000"/>
      <name val="David"/>
      <family val="2"/>
      <charset val="177"/>
    </font>
    <font>
      <sz val="11"/>
      <color theme="1"/>
      <name val="Wingdings"/>
      <charset val="2"/>
    </font>
    <font>
      <sz val="12"/>
      <color theme="1"/>
      <name val="David"/>
      <family val="2"/>
    </font>
    <font>
      <sz val="11"/>
      <color rgb="FFFF0000"/>
      <name val="David"/>
      <family val="2"/>
    </font>
    <font>
      <strike/>
      <sz val="11"/>
      <name val="David"/>
      <family val="2"/>
    </font>
    <font>
      <b/>
      <u/>
      <sz val="11"/>
      <name val="David"/>
      <family val="2"/>
      <charset val="177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u/>
      <sz val="11"/>
      <color theme="1"/>
      <name val="Arial"/>
      <family val="2"/>
      <scheme val="minor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1"/>
      <color rgb="FFFF0000"/>
      <name val="David"/>
      <family val="2"/>
    </font>
    <font>
      <b/>
      <strike/>
      <sz val="11"/>
      <name val="David"/>
      <family val="2"/>
      <charset val="177"/>
    </font>
    <font>
      <sz val="11"/>
      <color rgb="FF1F497D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5" fillId="0" borderId="0"/>
    <xf numFmtId="0" fontId="22" fillId="0" borderId="0">
      <alignment vertical="top"/>
    </xf>
    <xf numFmtId="0" fontId="15" fillId="2" borderId="1" applyNumberFormat="0" applyFont="0" applyAlignment="0" applyProtection="0"/>
    <xf numFmtId="0" fontId="23" fillId="0" borderId="0"/>
    <xf numFmtId="0" fontId="14" fillId="0" borderId="0"/>
    <xf numFmtId="0" fontId="14" fillId="0" borderId="0"/>
    <xf numFmtId="0" fontId="14" fillId="2" borderId="1" applyNumberFormat="0" applyFont="0" applyAlignment="0" applyProtection="0"/>
    <xf numFmtId="0" fontId="14" fillId="2" borderId="1" applyNumberFormat="0" applyFont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43" fontId="32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12" fillId="0" borderId="0"/>
    <xf numFmtId="0" fontId="2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854">
    <xf numFmtId="0" fontId="0" fillId="0" borderId="0" xfId="0"/>
    <xf numFmtId="0" fontId="18" fillId="0" borderId="0" xfId="0" applyFont="1" applyFill="1" applyAlignment="1">
      <alignment wrapText="1"/>
    </xf>
    <xf numFmtId="3" fontId="17" fillId="0" borderId="2" xfId="4" applyNumberFormat="1" applyFont="1" applyBorder="1" applyAlignment="1">
      <alignment horizontal="right" vertical="center" wrapText="1"/>
    </xf>
    <xf numFmtId="0" fontId="18" fillId="0" borderId="2" xfId="4" applyFont="1" applyFill="1" applyBorder="1" applyAlignment="1">
      <alignment vertical="center" wrapText="1"/>
    </xf>
    <xf numFmtId="3" fontId="18" fillId="0" borderId="2" xfId="4" applyNumberFormat="1" applyFont="1" applyFill="1" applyBorder="1" applyAlignment="1">
      <alignment vertical="center" wrapText="1"/>
    </xf>
    <xf numFmtId="0" fontId="18" fillId="0" borderId="0" xfId="4" applyFont="1" applyFill="1" applyAlignment="1">
      <alignment vertical="center" wrapText="1"/>
    </xf>
    <xf numFmtId="0" fontId="17" fillId="0" borderId="0" xfId="4" applyFont="1" applyFill="1" applyAlignment="1">
      <alignment vertical="center" wrapText="1"/>
    </xf>
    <xf numFmtId="0" fontId="20" fillId="0" borderId="0" xfId="4" applyFont="1" applyFill="1" applyAlignment="1">
      <alignment vertical="center" wrapText="1"/>
    </xf>
    <xf numFmtId="0" fontId="17" fillId="0" borderId="2" xfId="4" applyFont="1" applyFill="1" applyBorder="1" applyAlignment="1">
      <alignment vertical="center" wrapText="1"/>
    </xf>
    <xf numFmtId="3" fontId="17" fillId="0" borderId="2" xfId="4" applyNumberFormat="1" applyFont="1" applyFill="1" applyBorder="1" applyAlignment="1">
      <alignment vertical="center" wrapText="1"/>
    </xf>
    <xf numFmtId="3" fontId="17" fillId="0" borderId="2" xfId="4" applyNumberFormat="1" applyFont="1" applyFill="1" applyBorder="1" applyAlignment="1">
      <alignment horizontal="right" vertical="center" wrapText="1"/>
    </xf>
    <xf numFmtId="3" fontId="18" fillId="0" borderId="4" xfId="4" applyNumberFormat="1" applyFont="1" applyFill="1" applyBorder="1" applyAlignment="1">
      <alignment vertical="center" wrapText="1"/>
    </xf>
    <xf numFmtId="3" fontId="21" fillId="0" borderId="2" xfId="4" applyNumberFormat="1" applyFont="1" applyFill="1" applyBorder="1" applyAlignment="1">
      <alignment vertical="center" wrapText="1"/>
    </xf>
    <xf numFmtId="3" fontId="20" fillId="0" borderId="2" xfId="4" applyNumberFormat="1" applyFont="1" applyFill="1" applyBorder="1" applyAlignment="1">
      <alignment vertical="center" wrapText="1"/>
    </xf>
    <xf numFmtId="0" fontId="18" fillId="0" borderId="0" xfId="4" applyFont="1" applyFill="1"/>
    <xf numFmtId="3" fontId="18" fillId="0" borderId="0" xfId="4" applyNumberFormat="1" applyFont="1" applyFill="1" applyAlignment="1">
      <alignment horizontal="center" vertical="center"/>
    </xf>
    <xf numFmtId="3" fontId="18" fillId="0" borderId="0" xfId="4" applyNumberFormat="1" applyFont="1" applyFill="1"/>
    <xf numFmtId="3" fontId="17" fillId="0" borderId="2" xfId="0" applyNumberFormat="1" applyFont="1" applyFill="1" applyBorder="1" applyAlignment="1">
      <alignment horizontal="right" vertical="center" wrapText="1"/>
    </xf>
    <xf numFmtId="0" fontId="17" fillId="0" borderId="2" xfId="4" applyFont="1" applyFill="1" applyBorder="1" applyAlignment="1">
      <alignment horizontal="right" vertical="center" wrapText="1"/>
    </xf>
    <xf numFmtId="0" fontId="18" fillId="0" borderId="0" xfId="4" applyFont="1" applyFill="1" applyBorder="1"/>
    <xf numFmtId="0" fontId="18" fillId="0" borderId="0" xfId="4" applyFont="1" applyFill="1" applyAlignment="1">
      <alignment wrapText="1"/>
    </xf>
    <xf numFmtId="165" fontId="18" fillId="0" borderId="0" xfId="4" applyNumberFormat="1" applyFont="1" applyFill="1"/>
    <xf numFmtId="3" fontId="18" fillId="0" borderId="2" xfId="4" applyNumberFormat="1" applyFont="1" applyFill="1" applyBorder="1"/>
    <xf numFmtId="0" fontId="17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 wrapText="1"/>
    </xf>
    <xf numFmtId="3" fontId="18" fillId="0" borderId="0" xfId="4" applyNumberFormat="1" applyFont="1" applyFill="1" applyBorder="1"/>
    <xf numFmtId="0" fontId="18" fillId="0" borderId="0" xfId="4" applyNumberFormat="1" applyFont="1" applyFill="1"/>
    <xf numFmtId="3" fontId="17" fillId="0" borderId="0" xfId="4" applyNumberFormat="1" applyFont="1" applyFill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0" fontId="18" fillId="0" borderId="0" xfId="4" applyFont="1" applyFill="1" applyBorder="1" applyAlignment="1">
      <alignment vertical="center" wrapText="1"/>
    </xf>
    <xf numFmtId="3" fontId="17" fillId="0" borderId="0" xfId="4" applyNumberFormat="1" applyFont="1" applyFill="1" applyBorder="1" applyAlignment="1">
      <alignment vertical="center" wrapText="1"/>
    </xf>
    <xf numFmtId="0" fontId="17" fillId="0" borderId="0" xfId="4" applyFont="1" applyFill="1" applyBorder="1" applyAlignment="1">
      <alignment horizontal="right" vertical="center" wrapText="1"/>
    </xf>
    <xf numFmtId="164" fontId="19" fillId="0" borderId="0" xfId="4" applyNumberFormat="1" applyFont="1" applyFill="1" applyBorder="1" applyAlignment="1">
      <alignment vertical="top"/>
    </xf>
    <xf numFmtId="3" fontId="21" fillId="0" borderId="0" xfId="4" applyNumberFormat="1" applyFont="1" applyFill="1" applyBorder="1" applyAlignment="1">
      <alignment vertical="center" wrapText="1"/>
    </xf>
    <xf numFmtId="3" fontId="20" fillId="0" borderId="0" xfId="4" applyNumberFormat="1" applyFont="1" applyFill="1" applyBorder="1" applyAlignment="1">
      <alignment vertical="center" wrapText="1"/>
    </xf>
    <xf numFmtId="0" fontId="16" fillId="0" borderId="0" xfId="4" applyFont="1" applyFill="1" applyAlignment="1"/>
    <xf numFmtId="0" fontId="16" fillId="0" borderId="0" xfId="4" applyFont="1" applyFill="1"/>
    <xf numFmtId="0" fontId="18" fillId="0" borderId="0" xfId="4" applyFont="1" applyFill="1" applyAlignment="1"/>
    <xf numFmtId="3" fontId="17" fillId="0" borderId="0" xfId="4" applyNumberFormat="1" applyFont="1" applyFill="1" applyBorder="1" applyAlignment="1">
      <alignment horizontal="right" vertical="center" wrapText="1"/>
    </xf>
    <xf numFmtId="0" fontId="33" fillId="0" borderId="2" xfId="4" applyFont="1" applyFill="1" applyBorder="1" applyAlignment="1">
      <alignment vertical="center" wrapText="1"/>
    </xf>
    <xf numFmtId="3" fontId="18" fillId="0" borderId="0" xfId="4" applyNumberFormat="1" applyFont="1" applyFill="1" applyAlignment="1">
      <alignment vertical="center" wrapText="1"/>
    </xf>
    <xf numFmtId="0" fontId="34" fillId="0" borderId="2" xfId="4" applyFont="1" applyFill="1" applyBorder="1" applyAlignment="1">
      <alignment vertical="center" wrapText="1"/>
    </xf>
    <xf numFmtId="0" fontId="18" fillId="0" borderId="0" xfId="4" applyNumberFormat="1" applyFont="1" applyFill="1" applyBorder="1"/>
    <xf numFmtId="0" fontId="17" fillId="0" borderId="2" xfId="4" applyFont="1" applyFill="1" applyBorder="1" applyAlignment="1">
      <alignment horizontal="right" vertical="center"/>
    </xf>
    <xf numFmtId="0" fontId="21" fillId="0" borderId="2" xfId="4" applyFont="1" applyFill="1" applyBorder="1" applyAlignment="1">
      <alignment vertical="center" wrapText="1"/>
    </xf>
    <xf numFmtId="0" fontId="18" fillId="0" borderId="0" xfId="4" applyFont="1" applyFill="1" applyBorder="1" applyAlignment="1"/>
    <xf numFmtId="3" fontId="18" fillId="0" borderId="0" xfId="4" applyNumberFormat="1" applyFont="1" applyFill="1" applyBorder="1" applyAlignment="1">
      <alignment wrapText="1"/>
    </xf>
    <xf numFmtId="165" fontId="18" fillId="0" borderId="0" xfId="9" applyNumberFormat="1" applyFont="1" applyFill="1" applyBorder="1"/>
    <xf numFmtId="0" fontId="17" fillId="0" borderId="6" xfId="0" applyFont="1" applyFill="1" applyBorder="1" applyAlignment="1">
      <alignment horizontal="right" vertical="center" wrapText="1"/>
    </xf>
    <xf numFmtId="0" fontId="21" fillId="0" borderId="0" xfId="4" applyFont="1" applyFill="1" applyAlignment="1">
      <alignment vertical="center" wrapText="1"/>
    </xf>
    <xf numFmtId="0" fontId="18" fillId="0" borderId="2" xfId="4" applyFont="1" applyFill="1" applyBorder="1"/>
    <xf numFmtId="0" fontId="18" fillId="0" borderId="0" xfId="4" applyFont="1" applyFill="1" applyBorder="1" applyAlignment="1">
      <alignment vertical="center"/>
    </xf>
    <xf numFmtId="3" fontId="18" fillId="0" borderId="0" xfId="4" applyNumberFormat="1" applyFont="1" applyFill="1" applyAlignment="1">
      <alignment wrapText="1"/>
    </xf>
    <xf numFmtId="165" fontId="18" fillId="0" borderId="0" xfId="9" applyNumberFormat="1" applyFont="1" applyFill="1"/>
    <xf numFmtId="0" fontId="21" fillId="0" borderId="0" xfId="4" applyFont="1" applyFill="1" applyBorder="1" applyAlignment="1">
      <alignment vertical="center" wrapText="1"/>
    </xf>
    <xf numFmtId="0" fontId="18" fillId="0" borderId="0" xfId="4" applyNumberFormat="1" applyFont="1" applyFill="1" applyBorder="1" applyAlignment="1">
      <alignment vertical="center" wrapText="1"/>
    </xf>
    <xf numFmtId="164" fontId="18" fillId="0" borderId="0" xfId="4" applyNumberFormat="1" applyFont="1" applyFill="1" applyAlignment="1">
      <alignment vertical="center" wrapText="1"/>
    </xf>
    <xf numFmtId="0" fontId="24" fillId="0" borderId="0" xfId="4" applyFont="1" applyFill="1" applyBorder="1"/>
    <xf numFmtId="0" fontId="24" fillId="0" borderId="0" xfId="4" applyFont="1" applyFill="1" applyBorder="1" applyAlignment="1">
      <alignment horizontal="right" vertical="center" wrapText="1"/>
    </xf>
    <xf numFmtId="0" fontId="24" fillId="0" borderId="0" xfId="4" applyFont="1" applyFill="1" applyBorder="1" applyAlignment="1">
      <alignment horizontal="right" vertical="center"/>
    </xf>
    <xf numFmtId="0" fontId="24" fillId="0" borderId="0" xfId="4" applyFont="1" applyFill="1" applyBorder="1" applyAlignment="1">
      <alignment vertical="center"/>
    </xf>
    <xf numFmtId="0" fontId="21" fillId="0" borderId="2" xfId="4" applyFont="1" applyFill="1" applyBorder="1" applyAlignment="1">
      <alignment horizontal="right" vertical="center" wrapText="1"/>
    </xf>
    <xf numFmtId="0" fontId="21" fillId="0" borderId="2" xfId="4" applyFont="1" applyFill="1" applyBorder="1" applyAlignment="1">
      <alignment horizontal="center" vertical="center"/>
    </xf>
    <xf numFmtId="0" fontId="21" fillId="0" borderId="0" xfId="4" applyFont="1" applyFill="1" applyBorder="1"/>
    <xf numFmtId="0" fontId="21" fillId="0" borderId="4" xfId="4" applyFont="1" applyFill="1" applyBorder="1" applyAlignment="1">
      <alignment horizontal="right" vertical="center" wrapText="1"/>
    </xf>
    <xf numFmtId="3" fontId="20" fillId="0" borderId="2" xfId="4" applyNumberFormat="1" applyFont="1" applyFill="1" applyBorder="1" applyAlignment="1">
      <alignment vertical="center"/>
    </xf>
    <xf numFmtId="3" fontId="20" fillId="0" borderId="0" xfId="4" applyNumberFormat="1" applyFont="1" applyFill="1" applyBorder="1" applyAlignment="1">
      <alignment vertical="center"/>
    </xf>
    <xf numFmtId="0" fontId="20" fillId="0" borderId="0" xfId="4" applyFont="1" applyFill="1" applyBorder="1" applyAlignment="1">
      <alignment vertical="center"/>
    </xf>
    <xf numFmtId="0" fontId="20" fillId="0" borderId="6" xfId="4" applyFont="1" applyFill="1" applyBorder="1" applyAlignment="1">
      <alignment vertical="center"/>
    </xf>
    <xf numFmtId="0" fontId="20" fillId="0" borderId="0" xfId="4" applyFont="1" applyFill="1" applyBorder="1"/>
    <xf numFmtId="3" fontId="20" fillId="0" borderId="0" xfId="4" applyNumberFormat="1" applyFont="1" applyFill="1" applyBorder="1"/>
    <xf numFmtId="0" fontId="20" fillId="0" borderId="0" xfId="4" applyFont="1" applyFill="1" applyBorder="1" applyAlignment="1">
      <alignment horizontal="right" vertical="center" wrapText="1"/>
    </xf>
    <xf numFmtId="0" fontId="20" fillId="0" borderId="0" xfId="4" applyFont="1" applyFill="1" applyBorder="1" applyAlignment="1">
      <alignment horizontal="right" vertical="center"/>
    </xf>
    <xf numFmtId="0" fontId="20" fillId="0" borderId="7" xfId="4" applyFont="1" applyFill="1" applyBorder="1" applyAlignment="1">
      <alignment horizontal="right" vertical="center"/>
    </xf>
    <xf numFmtId="0" fontId="20" fillId="0" borderId="8" xfId="4" applyFont="1" applyFill="1" applyBorder="1" applyAlignment="1">
      <alignment horizontal="right" vertical="center"/>
    </xf>
    <xf numFmtId="0" fontId="20" fillId="0" borderId="9" xfId="4" applyFont="1" applyFill="1" applyBorder="1" applyAlignment="1">
      <alignment horizontal="right" vertical="center"/>
    </xf>
    <xf numFmtId="0" fontId="21" fillId="0" borderId="2" xfId="4" applyFont="1" applyFill="1" applyBorder="1" applyAlignment="1">
      <alignment horizontal="right" vertical="center"/>
    </xf>
    <xf numFmtId="0" fontId="20" fillId="0" borderId="5" xfId="4" applyFont="1" applyFill="1" applyBorder="1" applyAlignment="1">
      <alignment vertical="center"/>
    </xf>
    <xf numFmtId="0" fontId="21" fillId="0" borderId="6" xfId="4" applyFont="1" applyFill="1" applyBorder="1" applyAlignment="1">
      <alignment horizontal="right" vertical="center"/>
    </xf>
    <xf numFmtId="3" fontId="21" fillId="0" borderId="2" xfId="4" applyNumberFormat="1" applyFont="1" applyFill="1" applyBorder="1" applyAlignment="1">
      <alignment horizontal="right" vertical="center"/>
    </xf>
    <xf numFmtId="3" fontId="21" fillId="0" borderId="0" xfId="4" applyNumberFormat="1" applyFont="1" applyFill="1" applyBorder="1" applyAlignment="1">
      <alignment horizontal="right" vertical="center"/>
    </xf>
    <xf numFmtId="166" fontId="20" fillId="0" borderId="0" xfId="12" applyNumberFormat="1" applyFont="1" applyFill="1" applyBorder="1" applyAlignment="1">
      <alignment horizontal="right" vertical="center"/>
    </xf>
    <xf numFmtId="0" fontId="21" fillId="0" borderId="0" xfId="4" applyFont="1" applyFill="1" applyBorder="1" applyAlignment="1">
      <alignment horizontal="right" vertical="center"/>
    </xf>
    <xf numFmtId="3" fontId="20" fillId="0" borderId="0" xfId="4" applyNumberFormat="1" applyFont="1" applyFill="1" applyBorder="1" applyAlignment="1">
      <alignment horizontal="right" vertical="center"/>
    </xf>
    <xf numFmtId="0" fontId="34" fillId="0" borderId="0" xfId="4" applyFont="1" applyFill="1" applyAlignment="1">
      <alignment vertical="center" wrapText="1"/>
    </xf>
    <xf numFmtId="3" fontId="17" fillId="0" borderId="2" xfId="13" applyNumberFormat="1" applyFont="1" applyBorder="1" applyAlignment="1">
      <alignment horizontal="right" vertical="center" wrapText="1"/>
    </xf>
    <xf numFmtId="0" fontId="25" fillId="0" borderId="0" xfId="4" applyFont="1" applyFill="1" applyAlignment="1"/>
    <xf numFmtId="3" fontId="18" fillId="0" borderId="2" xfId="4" applyNumberFormat="1" applyFont="1" applyFill="1" applyBorder="1" applyAlignment="1">
      <alignment horizontal="right" vertical="center" wrapText="1"/>
    </xf>
    <xf numFmtId="3" fontId="34" fillId="0" borderId="2" xfId="4" applyNumberFormat="1" applyFont="1" applyFill="1" applyBorder="1" applyAlignment="1">
      <alignment vertical="center" wrapText="1"/>
    </xf>
    <xf numFmtId="3" fontId="29" fillId="0" borderId="2" xfId="4" applyNumberFormat="1" applyFont="1" applyFill="1" applyBorder="1" applyAlignment="1">
      <alignment vertical="center" wrapText="1"/>
    </xf>
    <xf numFmtId="0" fontId="20" fillId="0" borderId="0" xfId="16" applyFont="1"/>
    <xf numFmtId="49" fontId="20" fillId="0" borderId="0" xfId="16" applyNumberFormat="1" applyFont="1"/>
    <xf numFmtId="3" fontId="20" fillId="0" borderId="0" xfId="16" applyNumberFormat="1" applyFont="1"/>
    <xf numFmtId="0" fontId="20" fillId="0" borderId="11" xfId="16" applyFont="1" applyBorder="1"/>
    <xf numFmtId="0" fontId="20" fillId="0" borderId="12" xfId="16" applyFont="1" applyBorder="1"/>
    <xf numFmtId="0" fontId="20" fillId="0" borderId="18" xfId="16" applyFont="1" applyBorder="1"/>
    <xf numFmtId="3" fontId="20" fillId="0" borderId="2" xfId="16" applyNumberFormat="1" applyFont="1" applyBorder="1"/>
    <xf numFmtId="3" fontId="20" fillId="0" borderId="19" xfId="16" applyNumberFormat="1" applyFont="1" applyBorder="1"/>
    <xf numFmtId="0" fontId="21" fillId="0" borderId="12" xfId="16" applyFont="1" applyBorder="1"/>
    <xf numFmtId="3" fontId="20" fillId="0" borderId="18" xfId="16" applyNumberFormat="1" applyFont="1" applyBorder="1"/>
    <xf numFmtId="3" fontId="20" fillId="0" borderId="18" xfId="16" applyNumberFormat="1" applyFont="1" applyFill="1" applyBorder="1"/>
    <xf numFmtId="0" fontId="21" fillId="0" borderId="0" xfId="16" applyFont="1"/>
    <xf numFmtId="3" fontId="21" fillId="0" borderId="18" xfId="16" applyNumberFormat="1" applyFont="1" applyBorder="1"/>
    <xf numFmtId="3" fontId="21" fillId="0" borderId="2" xfId="16" applyNumberFormat="1" applyFont="1" applyBorder="1"/>
    <xf numFmtId="3" fontId="21" fillId="0" borderId="19" xfId="16" applyNumberFormat="1" applyFont="1" applyBorder="1"/>
    <xf numFmtId="3" fontId="20" fillId="0" borderId="17" xfId="16" applyNumberFormat="1" applyFont="1" applyBorder="1"/>
    <xf numFmtId="3" fontId="20" fillId="0" borderId="6" xfId="16" applyNumberFormat="1" applyFont="1" applyBorder="1"/>
    <xf numFmtId="0" fontId="21" fillId="0" borderId="13" xfId="16" applyFont="1" applyBorder="1"/>
    <xf numFmtId="3" fontId="21" fillId="0" borderId="20" xfId="16" applyNumberFormat="1" applyFont="1" applyBorder="1"/>
    <xf numFmtId="3" fontId="21" fillId="0" borderId="21" xfId="16" applyNumberFormat="1" applyFont="1" applyBorder="1"/>
    <xf numFmtId="3" fontId="21" fillId="0" borderId="22" xfId="16" applyNumberFormat="1" applyFont="1" applyBorder="1"/>
    <xf numFmtId="0" fontId="12" fillId="0" borderId="0" xfId="17"/>
    <xf numFmtId="0" fontId="39" fillId="0" borderId="0" xfId="17" applyFont="1" applyAlignment="1">
      <alignment horizontal="right" vertical="center" readingOrder="2"/>
    </xf>
    <xf numFmtId="0" fontId="40" fillId="0" borderId="0" xfId="17" applyFont="1" applyAlignment="1">
      <alignment horizontal="right" vertical="center" readingOrder="2"/>
    </xf>
    <xf numFmtId="0" fontId="41" fillId="0" borderId="0" xfId="17" applyFont="1" applyAlignment="1">
      <alignment horizontal="right" vertical="center" readingOrder="2"/>
    </xf>
    <xf numFmtId="0" fontId="42" fillId="0" borderId="0" xfId="17" applyFont="1" applyAlignment="1">
      <alignment horizontal="right" vertical="center" readingOrder="2"/>
    </xf>
    <xf numFmtId="0" fontId="43" fillId="0" borderId="0" xfId="17" applyFont="1" applyAlignment="1">
      <alignment horizontal="right" vertical="center" readingOrder="2"/>
    </xf>
    <xf numFmtId="166" fontId="42" fillId="0" borderId="30" xfId="10" applyNumberFormat="1" applyFont="1" applyBorder="1" applyAlignment="1">
      <alignment horizontal="right" vertical="center" readingOrder="2"/>
    </xf>
    <xf numFmtId="0" fontId="40" fillId="0" borderId="0" xfId="17" applyFont="1" applyBorder="1" applyAlignment="1">
      <alignment horizontal="right" vertical="center" readingOrder="2"/>
    </xf>
    <xf numFmtId="0" fontId="44" fillId="0" borderId="0" xfId="17" applyFont="1" applyAlignment="1">
      <alignment horizontal="right" vertical="center" readingOrder="2"/>
    </xf>
    <xf numFmtId="0" fontId="40" fillId="0" borderId="0" xfId="17" quotePrefix="1" applyFont="1" applyAlignment="1">
      <alignment horizontal="right" vertical="center" readingOrder="2"/>
    </xf>
    <xf numFmtId="0" fontId="45" fillId="0" borderId="0" xfId="17" applyFont="1" applyAlignment="1">
      <alignment horizontal="right" vertical="center" readingOrder="2"/>
    </xf>
    <xf numFmtId="0" fontId="46" fillId="0" borderId="0" xfId="17" applyFont="1" applyAlignment="1">
      <alignment horizontal="right" vertical="center" readingOrder="2"/>
    </xf>
    <xf numFmtId="0" fontId="47" fillId="0" borderId="0" xfId="17" applyFont="1"/>
    <xf numFmtId="166" fontId="40" fillId="0" borderId="0" xfId="18" applyNumberFormat="1" applyFont="1" applyAlignment="1">
      <alignment horizontal="right" vertical="center" readingOrder="2"/>
    </xf>
    <xf numFmtId="166" fontId="48" fillId="0" borderId="0" xfId="18" applyNumberFormat="1" applyFont="1" applyAlignment="1">
      <alignment horizontal="right" vertical="center" readingOrder="2"/>
    </xf>
    <xf numFmtId="166" fontId="49" fillId="0" borderId="0" xfId="17" applyNumberFormat="1" applyFont="1" applyAlignment="1">
      <alignment horizontal="right" vertical="center" readingOrder="2"/>
    </xf>
    <xf numFmtId="0" fontId="42" fillId="0" borderId="2" xfId="17" applyFont="1" applyBorder="1" applyAlignment="1">
      <alignment horizontal="center" vertical="center" readingOrder="2"/>
    </xf>
    <xf numFmtId="0" fontId="42" fillId="0" borderId="2" xfId="17" applyFont="1" applyBorder="1" applyAlignment="1">
      <alignment horizontal="center" vertical="center" wrapText="1" readingOrder="2"/>
    </xf>
    <xf numFmtId="0" fontId="42" fillId="0" borderId="2" xfId="17" applyFont="1" applyBorder="1" applyAlignment="1">
      <alignment horizontal="right" vertical="center" readingOrder="2"/>
    </xf>
    <xf numFmtId="166" fontId="40" fillId="0" borderId="2" xfId="18" applyNumberFormat="1" applyFont="1" applyBorder="1" applyAlignment="1">
      <alignment horizontal="right" vertical="center" readingOrder="2"/>
    </xf>
    <xf numFmtId="0" fontId="42" fillId="0" borderId="2" xfId="17" applyFont="1" applyBorder="1" applyAlignment="1">
      <alignment horizontal="right" vertical="center" wrapText="1" readingOrder="2"/>
    </xf>
    <xf numFmtId="3" fontId="42" fillId="0" borderId="0" xfId="17" applyNumberFormat="1" applyFont="1" applyBorder="1" applyAlignment="1">
      <alignment horizontal="right" vertical="center" readingOrder="2"/>
    </xf>
    <xf numFmtId="3" fontId="42" fillId="0" borderId="30" xfId="17" applyNumberFormat="1" applyFont="1" applyBorder="1" applyAlignment="1">
      <alignment horizontal="right" vertical="center" readingOrder="2"/>
    </xf>
    <xf numFmtId="0" fontId="42" fillId="0" borderId="31" xfId="17" applyFont="1" applyBorder="1" applyAlignment="1">
      <alignment horizontal="right" vertical="center" readingOrder="2"/>
    </xf>
    <xf numFmtId="0" fontId="50" fillId="0" borderId="32" xfId="17" applyFont="1" applyBorder="1"/>
    <xf numFmtId="0" fontId="12" fillId="0" borderId="33" xfId="17" applyBorder="1"/>
    <xf numFmtId="166" fontId="42" fillId="0" borderId="15" xfId="18" applyNumberFormat="1" applyFont="1" applyBorder="1" applyAlignment="1">
      <alignment horizontal="right" vertical="center" readingOrder="2"/>
    </xf>
    <xf numFmtId="166" fontId="42" fillId="0" borderId="16" xfId="18" applyNumberFormat="1" applyFont="1" applyBorder="1" applyAlignment="1">
      <alignment horizontal="right" vertical="center" readingOrder="2"/>
    </xf>
    <xf numFmtId="0" fontId="40" fillId="0" borderId="28" xfId="17" applyFont="1" applyBorder="1" applyAlignment="1">
      <alignment horizontal="right" vertical="center" readingOrder="2"/>
    </xf>
    <xf numFmtId="0" fontId="40" fillId="0" borderId="5" xfId="17" applyFont="1" applyBorder="1" applyAlignment="1">
      <alignment horizontal="right" vertical="center" readingOrder="2"/>
    </xf>
    <xf numFmtId="0" fontId="12" fillId="0" borderId="6" xfId="17" applyBorder="1"/>
    <xf numFmtId="3" fontId="40" fillId="0" borderId="2" xfId="17" applyNumberFormat="1" applyFont="1" applyBorder="1" applyAlignment="1">
      <alignment horizontal="right" vertical="center" readingOrder="2"/>
    </xf>
    <xf numFmtId="3" fontId="40" fillId="0" borderId="24" xfId="17" applyNumberFormat="1" applyFont="1" applyBorder="1" applyAlignment="1">
      <alignment horizontal="right" vertical="center" readingOrder="2"/>
    </xf>
    <xf numFmtId="9" fontId="12" fillId="0" borderId="0" xfId="9" applyFont="1"/>
    <xf numFmtId="0" fontId="40" fillId="0" borderId="4" xfId="17" applyFont="1" applyBorder="1" applyAlignment="1">
      <alignment horizontal="right" vertical="center" readingOrder="2"/>
    </xf>
    <xf numFmtId="0" fontId="40" fillId="0" borderId="34" xfId="17" applyFont="1" applyBorder="1" applyAlignment="1">
      <alignment horizontal="right" vertical="center" readingOrder="2"/>
    </xf>
    <xf numFmtId="0" fontId="40" fillId="0" borderId="9" xfId="17" applyFont="1" applyBorder="1" applyAlignment="1">
      <alignment horizontal="right" vertical="center" readingOrder="2"/>
    </xf>
    <xf numFmtId="0" fontId="12" fillId="0" borderId="8" xfId="17" applyBorder="1"/>
    <xf numFmtId="0" fontId="40" fillId="0" borderId="24" xfId="17" applyFont="1" applyBorder="1" applyAlignment="1">
      <alignment horizontal="right" vertical="center" readingOrder="2"/>
    </xf>
    <xf numFmtId="3" fontId="40" fillId="0" borderId="0" xfId="17" applyNumberFormat="1" applyFont="1" applyAlignment="1">
      <alignment horizontal="right" vertical="center" readingOrder="2"/>
    </xf>
    <xf numFmtId="0" fontId="42" fillId="0" borderId="35" xfId="17" applyFont="1" applyBorder="1" applyAlignment="1">
      <alignment horizontal="right" vertical="center" readingOrder="2"/>
    </xf>
    <xf numFmtId="0" fontId="40" fillId="0" borderId="36" xfId="17" applyFont="1" applyBorder="1" applyAlignment="1">
      <alignment horizontal="right" vertical="center" readingOrder="2"/>
    </xf>
    <xf numFmtId="0" fontId="12" fillId="0" borderId="37" xfId="17" applyBorder="1"/>
    <xf numFmtId="166" fontId="42" fillId="0" borderId="21" xfId="18" applyNumberFormat="1" applyFont="1" applyBorder="1" applyAlignment="1">
      <alignment vertical="center" readingOrder="2"/>
    </xf>
    <xf numFmtId="9" fontId="42" fillId="0" borderId="22" xfId="9" applyFont="1" applyBorder="1" applyAlignment="1">
      <alignment vertical="center" readingOrder="2"/>
    </xf>
    <xf numFmtId="0" fontId="42" fillId="0" borderId="0" xfId="17" applyFont="1" applyBorder="1" applyAlignment="1">
      <alignment horizontal="right" vertical="center" readingOrder="2"/>
    </xf>
    <xf numFmtId="0" fontId="12" fillId="0" borderId="0" xfId="17" applyBorder="1"/>
    <xf numFmtId="166" fontId="42" fillId="0" borderId="0" xfId="18" applyNumberFormat="1" applyFont="1" applyBorder="1" applyAlignment="1">
      <alignment horizontal="right" vertical="center" readingOrder="2"/>
    </xf>
    <xf numFmtId="166" fontId="42" fillId="0" borderId="23" xfId="18" applyNumberFormat="1" applyFont="1" applyBorder="1" applyAlignment="1">
      <alignment horizontal="right" vertical="center" readingOrder="2"/>
    </xf>
    <xf numFmtId="0" fontId="42" fillId="0" borderId="5" xfId="17" applyFont="1" applyBorder="1" applyAlignment="1">
      <alignment horizontal="right" vertical="center" readingOrder="2"/>
    </xf>
    <xf numFmtId="0" fontId="30" fillId="0" borderId="6" xfId="17" applyFont="1" applyBorder="1"/>
    <xf numFmtId="166" fontId="42" fillId="0" borderId="26" xfId="18" applyNumberFormat="1" applyFont="1" applyBorder="1" applyAlignment="1">
      <alignment horizontal="right" vertical="center" readingOrder="2"/>
    </xf>
    <xf numFmtId="9" fontId="42" fillId="0" borderId="22" xfId="9" applyFont="1" applyBorder="1" applyAlignment="1">
      <alignment horizontal="right" vertical="center" readingOrder="2"/>
    </xf>
    <xf numFmtId="0" fontId="51" fillId="0" borderId="0" xfId="17" applyFont="1" applyAlignment="1">
      <alignment horizontal="right" vertical="center" readingOrder="2"/>
    </xf>
    <xf numFmtId="0" fontId="21" fillId="0" borderId="2" xfId="16" applyFont="1" applyBorder="1" applyAlignment="1">
      <alignment horizontal="center" vertical="center"/>
    </xf>
    <xf numFmtId="3" fontId="21" fillId="0" borderId="2" xfId="16" applyNumberFormat="1" applyFont="1" applyBorder="1" applyAlignment="1">
      <alignment horizontal="center" vertical="center" wrapText="1"/>
    </xf>
    <xf numFmtId="3" fontId="21" fillId="0" borderId="6" xfId="16" applyNumberFormat="1" applyFont="1" applyBorder="1" applyAlignment="1">
      <alignment horizontal="center" vertical="center" wrapText="1"/>
    </xf>
    <xf numFmtId="0" fontId="20" fillId="0" borderId="0" xfId="16" applyFont="1" applyAlignment="1">
      <alignment horizontal="center" vertical="center"/>
    </xf>
    <xf numFmtId="0" fontId="20" fillId="0" borderId="2" xfId="16" applyFont="1" applyBorder="1"/>
    <xf numFmtId="0" fontId="20" fillId="0" borderId="2" xfId="16" applyFont="1" applyBorder="1" applyAlignment="1">
      <alignment vertical="center"/>
    </xf>
    <xf numFmtId="3" fontId="20" fillId="0" borderId="2" xfId="16" applyNumberFormat="1" applyFont="1" applyBorder="1" applyAlignment="1">
      <alignment vertical="center"/>
    </xf>
    <xf numFmtId="3" fontId="18" fillId="0" borderId="2" xfId="16" applyNumberFormat="1" applyFont="1" applyBorder="1" applyAlignment="1">
      <alignment vertical="center" wrapText="1"/>
    </xf>
    <xf numFmtId="3" fontId="20" fillId="0" borderId="6" xfId="16" applyNumberFormat="1" applyFont="1" applyBorder="1" applyAlignment="1">
      <alignment vertical="center"/>
    </xf>
    <xf numFmtId="3" fontId="21" fillId="0" borderId="2" xfId="16" applyNumberFormat="1" applyFont="1" applyBorder="1" applyAlignment="1">
      <alignment vertical="center"/>
    </xf>
    <xf numFmtId="0" fontId="20" fillId="0" borderId="0" xfId="16" applyFont="1" applyAlignment="1">
      <alignment vertical="center"/>
    </xf>
    <xf numFmtId="0" fontId="20" fillId="0" borderId="0" xfId="16" applyFont="1" applyBorder="1" applyAlignment="1">
      <alignment vertical="center"/>
    </xf>
    <xf numFmtId="3" fontId="20" fillId="0" borderId="0" xfId="16" applyNumberFormat="1" applyFont="1" applyBorder="1" applyAlignment="1">
      <alignment vertical="center"/>
    </xf>
    <xf numFmtId="0" fontId="21" fillId="0" borderId="2" xfId="16" applyFont="1" applyBorder="1" applyAlignment="1">
      <alignment vertical="center"/>
    </xf>
    <xf numFmtId="3" fontId="21" fillId="0" borderId="2" xfId="16" applyNumberFormat="1" applyFont="1" applyFill="1" applyBorder="1" applyAlignment="1">
      <alignment vertical="center"/>
    </xf>
    <xf numFmtId="3" fontId="21" fillId="0" borderId="6" xfId="16" applyNumberFormat="1" applyFont="1" applyBorder="1" applyAlignment="1">
      <alignment vertical="center"/>
    </xf>
    <xf numFmtId="0" fontId="12" fillId="0" borderId="0" xfId="17" applyAlignment="1">
      <alignment horizontal="left"/>
    </xf>
    <xf numFmtId="0" fontId="46" fillId="0" borderId="0" xfId="17" applyFont="1" applyAlignment="1">
      <alignment horizontal="center" vertical="center" readingOrder="2"/>
    </xf>
    <xf numFmtId="0" fontId="40" fillId="0" borderId="0" xfId="17" quotePrefix="1" applyFont="1" applyAlignment="1">
      <alignment horizontal="left" vertical="center" readingOrder="2"/>
    </xf>
    <xf numFmtId="16" fontId="40" fillId="0" borderId="0" xfId="17" quotePrefix="1" applyNumberFormat="1" applyFont="1" applyAlignment="1">
      <alignment horizontal="left" vertical="center" readingOrder="2"/>
    </xf>
    <xf numFmtId="0" fontId="40" fillId="0" borderId="0" xfId="17" applyFont="1" applyAlignment="1">
      <alignment horizontal="left" vertical="center" readingOrder="2"/>
    </xf>
    <xf numFmtId="0" fontId="40" fillId="0" borderId="0" xfId="17" applyFont="1" applyAlignment="1">
      <alignment vertical="center" readingOrder="2"/>
    </xf>
    <xf numFmtId="0" fontId="17" fillId="0" borderId="2" xfId="16" applyFont="1" applyBorder="1" applyAlignment="1">
      <alignment horizontal="right" vertical="center" wrapText="1"/>
    </xf>
    <xf numFmtId="0" fontId="31" fillId="0" borderId="2" xfId="4" applyFont="1" applyFill="1" applyBorder="1" applyAlignment="1">
      <alignment vertical="center" wrapText="1"/>
    </xf>
    <xf numFmtId="0" fontId="18" fillId="0" borderId="0" xfId="16" applyFont="1"/>
    <xf numFmtId="0" fontId="18" fillId="0" borderId="0" xfId="16" applyFont="1" applyAlignment="1"/>
    <xf numFmtId="0" fontId="18" fillId="0" borderId="0" xfId="16" applyFont="1" applyFill="1"/>
    <xf numFmtId="3" fontId="18" fillId="0" borderId="0" xfId="16" applyNumberFormat="1" applyFont="1" applyFill="1"/>
    <xf numFmtId="3" fontId="18" fillId="0" borderId="0" xfId="16" applyNumberFormat="1" applyFont="1"/>
    <xf numFmtId="3" fontId="17" fillId="0" borderId="2" xfId="16" applyNumberFormat="1" applyFont="1" applyFill="1" applyBorder="1" applyAlignment="1">
      <alignment horizontal="right" vertical="center" wrapText="1"/>
    </xf>
    <xf numFmtId="0" fontId="18" fillId="0" borderId="3" xfId="16" applyFont="1" applyFill="1" applyBorder="1" applyAlignment="1">
      <alignment vertical="center" wrapText="1"/>
    </xf>
    <xf numFmtId="0" fontId="18" fillId="0" borderId="0" xfId="16" applyFont="1" applyAlignment="1">
      <alignment vertical="center" wrapText="1"/>
    </xf>
    <xf numFmtId="0" fontId="18" fillId="0" borderId="2" xfId="16" applyFont="1" applyBorder="1" applyAlignment="1">
      <alignment vertical="center" wrapText="1"/>
    </xf>
    <xf numFmtId="0" fontId="18" fillId="0" borderId="2" xfId="16" applyFont="1" applyFill="1" applyBorder="1" applyAlignment="1">
      <alignment vertical="center" wrapText="1"/>
    </xf>
    <xf numFmtId="3" fontId="18" fillId="0" borderId="2" xfId="16" applyNumberFormat="1" applyFont="1" applyFill="1" applyBorder="1" applyAlignment="1">
      <alignment vertical="center" wrapText="1"/>
    </xf>
    <xf numFmtId="0" fontId="17" fillId="0" borderId="0" xfId="16" applyFont="1" applyAlignment="1">
      <alignment vertical="center" wrapText="1"/>
    </xf>
    <xf numFmtId="0" fontId="17" fillId="0" borderId="2" xfId="16" applyFont="1" applyBorder="1" applyAlignment="1">
      <alignment vertical="center" wrapText="1"/>
    </xf>
    <xf numFmtId="0" fontId="18" fillId="0" borderId="0" xfId="16" applyFont="1" applyFill="1" applyAlignment="1">
      <alignment vertical="center" wrapText="1"/>
    </xf>
    <xf numFmtId="0" fontId="17" fillId="0" borderId="0" xfId="16" applyFont="1" applyFill="1" applyAlignment="1">
      <alignment vertical="center" wrapText="1"/>
    </xf>
    <xf numFmtId="0" fontId="17" fillId="0" borderId="2" xfId="16" applyFont="1" applyFill="1" applyBorder="1" applyAlignment="1">
      <alignment vertical="center" wrapText="1"/>
    </xf>
    <xf numFmtId="3" fontId="18" fillId="0" borderId="0" xfId="16" applyNumberFormat="1" applyFont="1" applyFill="1" applyBorder="1" applyAlignment="1">
      <alignment vertical="center" wrapText="1"/>
    </xf>
    <xf numFmtId="3" fontId="17" fillId="0" borderId="2" xfId="16" applyNumberFormat="1" applyFont="1" applyFill="1" applyBorder="1" applyAlignment="1">
      <alignment vertical="center" wrapText="1"/>
    </xf>
    <xf numFmtId="3" fontId="17" fillId="0" borderId="2" xfId="16" applyNumberFormat="1" applyFont="1" applyBorder="1" applyAlignment="1">
      <alignment vertical="center" wrapText="1"/>
    </xf>
    <xf numFmtId="0" fontId="18" fillId="0" borderId="2" xfId="16" applyFont="1" applyFill="1" applyBorder="1" applyAlignment="1"/>
    <xf numFmtId="0" fontId="21" fillId="0" borderId="0" xfId="16" applyFont="1" applyFill="1" applyAlignment="1">
      <alignment vertical="center" wrapText="1"/>
    </xf>
    <xf numFmtId="0" fontId="18" fillId="0" borderId="0" xfId="16" applyFont="1" applyFill="1" applyAlignment="1">
      <alignment wrapText="1"/>
    </xf>
    <xf numFmtId="0" fontId="18" fillId="0" borderId="2" xfId="16" applyFont="1" applyFill="1" applyBorder="1"/>
    <xf numFmtId="0" fontId="21" fillId="0" borderId="2" xfId="16" applyFont="1" applyFill="1" applyBorder="1" applyAlignment="1">
      <alignment vertical="center" wrapText="1"/>
    </xf>
    <xf numFmtId="3" fontId="18" fillId="0" borderId="0" xfId="16" applyNumberFormat="1" applyFont="1" applyFill="1" applyAlignment="1">
      <alignment wrapText="1"/>
    </xf>
    <xf numFmtId="3" fontId="18" fillId="0" borderId="2" xfId="16" applyNumberFormat="1" applyFont="1" applyFill="1" applyBorder="1"/>
    <xf numFmtId="3" fontId="18" fillId="0" borderId="2" xfId="16" applyNumberFormat="1" applyFont="1" applyBorder="1"/>
    <xf numFmtId="165" fontId="18" fillId="0" borderId="0" xfId="9" applyNumberFormat="1" applyFont="1" applyFill="1" applyAlignment="1">
      <alignment wrapText="1"/>
    </xf>
    <xf numFmtId="0" fontId="16" fillId="0" borderId="0" xfId="16" applyFont="1"/>
    <xf numFmtId="0" fontId="17" fillId="0" borderId="0" xfId="16" applyFont="1" applyBorder="1" applyAlignment="1">
      <alignment horizontal="right" vertical="center" wrapText="1"/>
    </xf>
    <xf numFmtId="0" fontId="20" fillId="0" borderId="2" xfId="16" applyFont="1" applyFill="1" applyBorder="1" applyAlignment="1">
      <alignment horizontal="right" vertical="center" wrapText="1"/>
    </xf>
    <xf numFmtId="3" fontId="20" fillId="0" borderId="2" xfId="16" applyNumberFormat="1" applyFont="1" applyFill="1" applyBorder="1" applyAlignment="1">
      <alignment vertical="center"/>
    </xf>
    <xf numFmtId="0" fontId="17" fillId="0" borderId="2" xfId="16" applyFont="1" applyFill="1" applyBorder="1" applyAlignment="1">
      <alignment horizontal="right" vertical="center" wrapText="1"/>
    </xf>
    <xf numFmtId="166" fontId="40" fillId="0" borderId="19" xfId="18" applyNumberFormat="1" applyFont="1" applyBorder="1" applyAlignment="1">
      <alignment horizontal="right" vertical="center" readingOrder="2"/>
    </xf>
    <xf numFmtId="0" fontId="40" fillId="0" borderId="7" xfId="17" applyFont="1" applyBorder="1" applyAlignment="1">
      <alignment horizontal="right" vertical="center" readingOrder="2"/>
    </xf>
    <xf numFmtId="0" fontId="42" fillId="0" borderId="20" xfId="17" applyFont="1" applyBorder="1" applyAlignment="1">
      <alignment horizontal="right" vertical="center" readingOrder="2"/>
    </xf>
    <xf numFmtId="0" fontId="40" fillId="0" borderId="38" xfId="17" applyFont="1" applyBorder="1" applyAlignment="1">
      <alignment horizontal="right" vertical="center" readingOrder="2"/>
    </xf>
    <xf numFmtId="0" fontId="12" fillId="0" borderId="25" xfId="17" applyBorder="1"/>
    <xf numFmtId="9" fontId="42" fillId="0" borderId="2" xfId="9" applyFont="1" applyBorder="1" applyAlignment="1">
      <alignment horizontal="right" vertical="center" readingOrder="2"/>
    </xf>
    <xf numFmtId="0" fontId="20" fillId="0" borderId="0" xfId="16" applyFont="1" applyFill="1"/>
    <xf numFmtId="0" fontId="24" fillId="0" borderId="0" xfId="16" applyFont="1" applyFill="1" applyAlignment="1">
      <alignment horizontal="center"/>
    </xf>
    <xf numFmtId="3" fontId="24" fillId="0" borderId="0" xfId="16" applyNumberFormat="1" applyFont="1" applyAlignment="1">
      <alignment horizontal="center"/>
    </xf>
    <xf numFmtId="0" fontId="20" fillId="0" borderId="2" xfId="16" applyFont="1" applyBorder="1" applyAlignment="1">
      <alignment horizontal="center" vertical="center" wrapText="1"/>
    </xf>
    <xf numFmtId="0" fontId="21" fillId="0" borderId="2" xfId="16" applyFont="1" applyBorder="1" applyAlignment="1">
      <alignment horizontal="center" vertical="center" wrapText="1"/>
    </xf>
    <xf numFmtId="0" fontId="21" fillId="0" borderId="2" xfId="16" applyFont="1" applyFill="1" applyBorder="1" applyAlignment="1">
      <alignment horizontal="center" vertical="center" wrapText="1"/>
    </xf>
    <xf numFmtId="0" fontId="20" fillId="0" borderId="0" xfId="16" applyFont="1" applyAlignment="1">
      <alignment horizontal="center" vertical="center" wrapText="1"/>
    </xf>
    <xf numFmtId="0" fontId="20" fillId="0" borderId="0" xfId="16" applyFont="1" applyFill="1" applyAlignment="1">
      <alignment horizontal="center" vertical="center" wrapText="1"/>
    </xf>
    <xf numFmtId="0" fontId="21" fillId="0" borderId="2" xfId="16" applyFont="1" applyBorder="1" applyAlignment="1">
      <alignment wrapText="1"/>
    </xf>
    <xf numFmtId="0" fontId="20" fillId="0" borderId="2" xfId="16" applyFont="1" applyBorder="1" applyAlignment="1">
      <alignment horizontal="right" vertical="center" wrapText="1"/>
    </xf>
    <xf numFmtId="3" fontId="20" fillId="3" borderId="2" xfId="16" applyNumberFormat="1" applyFont="1" applyFill="1" applyBorder="1" applyAlignment="1">
      <alignment vertical="center"/>
    </xf>
    <xf numFmtId="0" fontId="54" fillId="0" borderId="0" xfId="16" applyFont="1"/>
    <xf numFmtId="0" fontId="16" fillId="0" borderId="0" xfId="0" applyFont="1" applyFill="1" applyAlignment="1"/>
    <xf numFmtId="3" fontId="53" fillId="0" borderId="21" xfId="17" applyNumberFormat="1" applyFont="1" applyBorder="1" applyAlignment="1">
      <alignment horizontal="right" vertical="center" readingOrder="2"/>
    </xf>
    <xf numFmtId="3" fontId="53" fillId="0" borderId="22" xfId="17" applyNumberFormat="1" applyFont="1" applyBorder="1" applyAlignment="1">
      <alignment horizontal="right" vertical="center" readingOrder="2"/>
    </xf>
    <xf numFmtId="0" fontId="42" fillId="0" borderId="39" xfId="17" applyFont="1" applyBorder="1" applyAlignment="1">
      <alignment horizontal="right" vertical="center" readingOrder="2"/>
    </xf>
    <xf numFmtId="0" fontId="50" fillId="0" borderId="31" xfId="17" applyFont="1" applyBorder="1"/>
    <xf numFmtId="0" fontId="40" fillId="0" borderId="39" xfId="17" applyFont="1" applyBorder="1" applyAlignment="1">
      <alignment horizontal="right" vertical="center" readingOrder="2"/>
    </xf>
    <xf numFmtId="3" fontId="18" fillId="0" borderId="0" xfId="13" quotePrefix="1" applyNumberFormat="1" applyFont="1" applyAlignment="1">
      <alignment horizontal="center" vertical="center"/>
    </xf>
    <xf numFmtId="0" fontId="24" fillId="0" borderId="0" xfId="16" applyFont="1" applyAlignment="1">
      <alignment horizontal="center"/>
    </xf>
    <xf numFmtId="0" fontId="25" fillId="0" borderId="0" xfId="16" applyFont="1" applyAlignment="1"/>
    <xf numFmtId="0" fontId="24" fillId="0" borderId="0" xfId="16" applyFont="1" applyAlignment="1"/>
    <xf numFmtId="166" fontId="18" fillId="0" borderId="2" xfId="10" applyNumberFormat="1" applyFont="1" applyFill="1" applyBorder="1" applyAlignment="1">
      <alignment vertical="center" wrapText="1"/>
    </xf>
    <xf numFmtId="0" fontId="53" fillId="0" borderId="0" xfId="17" applyFont="1" applyFill="1" applyAlignment="1">
      <alignment horizontal="right" vertical="center" readingOrder="2"/>
    </xf>
    <xf numFmtId="166" fontId="40" fillId="0" borderId="2" xfId="18" applyNumberFormat="1" applyFont="1" applyFill="1" applyBorder="1" applyAlignment="1">
      <alignment horizontal="right" vertical="center" readingOrder="2"/>
    </xf>
    <xf numFmtId="0" fontId="53" fillId="0" borderId="0" xfId="17" applyFont="1" applyAlignment="1">
      <alignment horizontal="right" vertical="center" readingOrder="2"/>
    </xf>
    <xf numFmtId="0" fontId="23" fillId="0" borderId="0" xfId="16"/>
    <xf numFmtId="0" fontId="41" fillId="0" borderId="0" xfId="16" applyFont="1" applyAlignment="1">
      <alignment horizontal="right" vertical="center" readingOrder="2"/>
    </xf>
    <xf numFmtId="0" fontId="40" fillId="0" borderId="0" xfId="16" applyFont="1" applyAlignment="1">
      <alignment horizontal="right" vertical="center" readingOrder="2"/>
    </xf>
    <xf numFmtId="0" fontId="40" fillId="0" borderId="0" xfId="16" quotePrefix="1" applyFont="1" applyAlignment="1">
      <alignment horizontal="right" vertical="center" readingOrder="2"/>
    </xf>
    <xf numFmtId="0" fontId="53" fillId="0" borderId="0" xfId="17" quotePrefix="1" applyFont="1" applyAlignment="1">
      <alignment horizontal="right" vertical="center" readingOrder="2"/>
    </xf>
    <xf numFmtId="0" fontId="42" fillId="0" borderId="28" xfId="17" applyFont="1" applyBorder="1" applyAlignment="1">
      <alignment horizontal="right" vertical="center" readingOrder="2"/>
    </xf>
    <xf numFmtId="3" fontId="21" fillId="0" borderId="6" xfId="16" applyNumberFormat="1" applyFont="1" applyBorder="1" applyAlignment="1">
      <alignment horizontal="center" vertical="center" wrapText="1"/>
    </xf>
    <xf numFmtId="0" fontId="11" fillId="0" borderId="0" xfId="20" applyBorder="1"/>
    <xf numFmtId="0" fontId="39" fillId="0" borderId="0" xfId="20" applyFont="1" applyBorder="1" applyAlignment="1">
      <alignment horizontal="right" vertical="center" readingOrder="2"/>
    </xf>
    <xf numFmtId="0" fontId="40" fillId="0" borderId="0" xfId="20" applyFont="1" applyBorder="1" applyAlignment="1">
      <alignment horizontal="right" vertical="center" readingOrder="2"/>
    </xf>
    <xf numFmtId="0" fontId="42" fillId="0" borderId="0" xfId="20" applyFont="1" applyBorder="1" applyAlignment="1">
      <alignment horizontal="right" vertical="center" readingOrder="2"/>
    </xf>
    <xf numFmtId="0" fontId="50" fillId="0" borderId="0" xfId="20" applyFont="1" applyBorder="1"/>
    <xf numFmtId="166" fontId="42" fillId="0" borderId="0" xfId="21" applyNumberFormat="1" applyFont="1" applyBorder="1" applyAlignment="1">
      <alignment horizontal="right" vertical="center" readingOrder="2"/>
    </xf>
    <xf numFmtId="3" fontId="40" fillId="0" borderId="0" xfId="20" applyNumberFormat="1" applyFont="1" applyBorder="1" applyAlignment="1">
      <alignment horizontal="right" vertical="center" readingOrder="2"/>
    </xf>
    <xf numFmtId="0" fontId="30" fillId="0" borderId="0" xfId="20" applyFont="1" applyBorder="1"/>
    <xf numFmtId="166" fontId="42" fillId="0" borderId="0" xfId="21" applyNumberFormat="1" applyFont="1" applyBorder="1" applyAlignment="1">
      <alignment vertical="center" readingOrder="2"/>
    </xf>
    <xf numFmtId="0" fontId="40" fillId="0" borderId="0" xfId="20" quotePrefix="1" applyFont="1" applyBorder="1" applyAlignment="1">
      <alignment horizontal="right" vertical="center" readingOrder="2"/>
    </xf>
    <xf numFmtId="0" fontId="41" fillId="0" borderId="0" xfId="20" applyFont="1" applyBorder="1" applyAlignment="1">
      <alignment horizontal="right" vertical="center" readingOrder="2"/>
    </xf>
    <xf numFmtId="0" fontId="51" fillId="0" borderId="0" xfId="20" applyFont="1" applyBorder="1" applyAlignment="1">
      <alignment horizontal="right" vertical="center" readingOrder="2"/>
    </xf>
    <xf numFmtId="0" fontId="40" fillId="0" borderId="0" xfId="22" applyFont="1" applyAlignment="1">
      <alignment horizontal="right" vertical="center" readingOrder="2"/>
    </xf>
    <xf numFmtId="0" fontId="10" fillId="0" borderId="0" xfId="22"/>
    <xf numFmtId="0" fontId="39" fillId="0" borderId="0" xfId="22" applyFont="1" applyAlignment="1">
      <alignment horizontal="right" vertical="center" readingOrder="2"/>
    </xf>
    <xf numFmtId="0" fontId="55" fillId="0" borderId="0" xfId="22" applyFont="1"/>
    <xf numFmtId="3" fontId="42" fillId="0" borderId="30" xfId="22" applyNumberFormat="1" applyFont="1" applyBorder="1" applyAlignment="1">
      <alignment horizontal="right" vertical="center" readingOrder="2"/>
    </xf>
    <xf numFmtId="0" fontId="42" fillId="0" borderId="16" xfId="22" applyFont="1" applyBorder="1" applyAlignment="1">
      <alignment horizontal="center" vertical="center" readingOrder="2"/>
    </xf>
    <xf numFmtId="0" fontId="42" fillId="0" borderId="0" xfId="22" applyFont="1" applyBorder="1" applyAlignment="1">
      <alignment horizontal="right" vertical="center" readingOrder="2"/>
    </xf>
    <xf numFmtId="0" fontId="40" fillId="0" borderId="18" xfId="22" applyFont="1" applyBorder="1" applyAlignment="1">
      <alignment horizontal="right" vertical="center" readingOrder="2"/>
    </xf>
    <xf numFmtId="3" fontId="40" fillId="0" borderId="19" xfId="22" applyNumberFormat="1" applyFont="1" applyBorder="1" applyAlignment="1">
      <alignment horizontal="center" vertical="center" readingOrder="2"/>
    </xf>
    <xf numFmtId="0" fontId="40" fillId="0" borderId="0" xfId="22" applyFont="1" applyBorder="1" applyAlignment="1">
      <alignment horizontal="right" vertical="center" readingOrder="2"/>
    </xf>
    <xf numFmtId="0" fontId="42" fillId="0" borderId="20" xfId="22" applyFont="1" applyBorder="1" applyAlignment="1">
      <alignment horizontal="right" vertical="center" readingOrder="2"/>
    </xf>
    <xf numFmtId="0" fontId="40" fillId="0" borderId="0" xfId="22" quotePrefix="1" applyFont="1" applyAlignment="1">
      <alignment horizontal="right" vertical="center" readingOrder="2"/>
    </xf>
    <xf numFmtId="0" fontId="42" fillId="0" borderId="30" xfId="22" applyFont="1" applyBorder="1" applyAlignment="1">
      <alignment horizontal="right" vertical="center" readingOrder="2"/>
    </xf>
    <xf numFmtId="0" fontId="42" fillId="0" borderId="14" xfId="22" applyFont="1" applyBorder="1" applyAlignment="1">
      <alignment horizontal="right" vertical="center" readingOrder="2"/>
    </xf>
    <xf numFmtId="0" fontId="42" fillId="0" borderId="15" xfId="22" applyFont="1" applyBorder="1" applyAlignment="1">
      <alignment horizontal="center" vertical="center" readingOrder="2"/>
    </xf>
    <xf numFmtId="0" fontId="42" fillId="0" borderId="16" xfId="22" applyFont="1" applyBorder="1" applyAlignment="1">
      <alignment horizontal="right" vertical="center" readingOrder="2"/>
    </xf>
    <xf numFmtId="3" fontId="40" fillId="0" borderId="2" xfId="22" applyNumberFormat="1" applyFont="1" applyBorder="1" applyAlignment="1">
      <alignment horizontal="center" vertical="center" readingOrder="2"/>
    </xf>
    <xf numFmtId="9" fontId="40" fillId="0" borderId="19" xfId="9" applyFont="1" applyBorder="1" applyAlignment="1">
      <alignment horizontal="right" vertical="center" readingOrder="2"/>
    </xf>
    <xf numFmtId="3" fontId="42" fillId="0" borderId="21" xfId="22" applyNumberFormat="1" applyFont="1" applyBorder="1" applyAlignment="1">
      <alignment horizontal="center" vertical="center" readingOrder="2"/>
    </xf>
    <xf numFmtId="3" fontId="42" fillId="0" borderId="19" xfId="22" applyNumberFormat="1" applyFont="1" applyBorder="1" applyAlignment="1">
      <alignment horizontal="center" vertical="center" readingOrder="2"/>
    </xf>
    <xf numFmtId="0" fontId="40" fillId="0" borderId="43" xfId="22" applyFont="1" applyBorder="1" applyAlignment="1">
      <alignment horizontal="right" vertical="center" readingOrder="2"/>
    </xf>
    <xf numFmtId="3" fontId="40" fillId="0" borderId="44" xfId="22" applyNumberFormat="1" applyFont="1" applyBorder="1" applyAlignment="1">
      <alignment horizontal="center" vertical="center" readingOrder="2"/>
    </xf>
    <xf numFmtId="0" fontId="40" fillId="0" borderId="20" xfId="22" applyFont="1" applyBorder="1" applyAlignment="1">
      <alignment horizontal="right" vertical="center" readingOrder="2"/>
    </xf>
    <xf numFmtId="3" fontId="40" fillId="0" borderId="22" xfId="22" applyNumberFormat="1" applyFont="1" applyBorder="1" applyAlignment="1">
      <alignment horizontal="center" vertical="center" readingOrder="2"/>
    </xf>
    <xf numFmtId="165" fontId="40" fillId="0" borderId="19" xfId="9" applyNumberFormat="1" applyFont="1" applyBorder="1" applyAlignment="1">
      <alignment horizontal="right" vertical="center" readingOrder="2"/>
    </xf>
    <xf numFmtId="0" fontId="40" fillId="0" borderId="43" xfId="22" applyFont="1" applyBorder="1" applyAlignment="1">
      <alignment horizontal="right" vertical="center" wrapText="1" readingOrder="2"/>
    </xf>
    <xf numFmtId="0" fontId="41" fillId="0" borderId="0" xfId="22" applyFont="1" applyAlignment="1">
      <alignment horizontal="right" vertical="center" readingOrder="2"/>
    </xf>
    <xf numFmtId="3" fontId="42" fillId="0" borderId="0" xfId="22" applyNumberFormat="1" applyFont="1" applyBorder="1" applyAlignment="1">
      <alignment horizontal="center" vertical="center" readingOrder="2"/>
    </xf>
    <xf numFmtId="3" fontId="40" fillId="0" borderId="2" xfId="22" applyNumberFormat="1" applyFont="1" applyBorder="1" applyAlignment="1">
      <alignment horizontal="right" vertical="center" readingOrder="2"/>
    </xf>
    <xf numFmtId="3" fontId="42" fillId="0" borderId="21" xfId="22" applyNumberFormat="1" applyFont="1" applyBorder="1" applyAlignment="1">
      <alignment horizontal="right" vertical="center" readingOrder="2"/>
    </xf>
    <xf numFmtId="9" fontId="42" fillId="0" borderId="0" xfId="9" applyFont="1" applyBorder="1" applyAlignment="1">
      <alignment horizontal="right" vertical="center" readingOrder="2"/>
    </xf>
    <xf numFmtId="0" fontId="35" fillId="0" borderId="0" xfId="4" applyFont="1" applyFill="1" applyBorder="1" applyAlignment="1">
      <alignment horizontal="right" vertical="center"/>
    </xf>
    <xf numFmtId="0" fontId="35" fillId="0" borderId="0" xfId="4" applyFont="1" applyFill="1" applyBorder="1" applyAlignment="1">
      <alignment vertical="center"/>
    </xf>
    <xf numFmtId="0" fontId="21" fillId="0" borderId="2" xfId="4" applyFont="1" applyFill="1" applyBorder="1" applyAlignment="1">
      <alignment horizontal="center" vertical="center"/>
    </xf>
    <xf numFmtId="0" fontId="34" fillId="0" borderId="0" xfId="4" applyNumberFormat="1" applyFont="1" applyFill="1" applyBorder="1" applyAlignment="1">
      <alignment vertical="center" wrapText="1"/>
    </xf>
    <xf numFmtId="3" fontId="34" fillId="0" borderId="0" xfId="4" applyNumberFormat="1" applyFont="1" applyFill="1" applyBorder="1" applyAlignment="1">
      <alignment vertical="center" wrapText="1"/>
    </xf>
    <xf numFmtId="0" fontId="34" fillId="0" borderId="0" xfId="4" applyFont="1" applyFill="1" applyBorder="1" applyAlignment="1">
      <alignment vertical="center" wrapText="1"/>
    </xf>
    <xf numFmtId="3" fontId="17" fillId="0" borderId="2" xfId="4" applyNumberFormat="1" applyFont="1" applyFill="1" applyBorder="1" applyAlignment="1">
      <alignment horizontal="right" vertical="center"/>
    </xf>
    <xf numFmtId="3" fontId="17" fillId="0" borderId="2" xfId="4" applyNumberFormat="1" applyFont="1" applyFill="1" applyBorder="1" applyAlignment="1">
      <alignment vertical="center"/>
    </xf>
    <xf numFmtId="3" fontId="40" fillId="0" borderId="0" xfId="22" applyNumberFormat="1" applyFont="1" applyBorder="1" applyAlignment="1">
      <alignment horizontal="center" vertical="center" readingOrder="2"/>
    </xf>
    <xf numFmtId="9" fontId="40" fillId="0" borderId="0" xfId="9" applyFont="1" applyBorder="1" applyAlignment="1">
      <alignment horizontal="right" vertical="center" readingOrder="2"/>
    </xf>
    <xf numFmtId="0" fontId="38" fillId="0" borderId="0" xfId="16" applyFont="1" applyAlignment="1"/>
    <xf numFmtId="0" fontId="25" fillId="0" borderId="0" xfId="4" applyFont="1" applyFill="1" applyBorder="1" applyAlignment="1">
      <alignment vertical="center"/>
    </xf>
    <xf numFmtId="165" fontId="12" fillId="0" borderId="0" xfId="9" applyNumberFormat="1" applyFont="1"/>
    <xf numFmtId="165" fontId="42" fillId="0" borderId="22" xfId="9" applyNumberFormat="1" applyFont="1" applyBorder="1" applyAlignment="1">
      <alignment horizontal="right" vertical="center" readingOrder="2"/>
    </xf>
    <xf numFmtId="0" fontId="42" fillId="0" borderId="16" xfId="22" applyFont="1" applyBorder="1" applyAlignment="1">
      <alignment vertical="center" readingOrder="2"/>
    </xf>
    <xf numFmtId="165" fontId="40" fillId="0" borderId="19" xfId="9" applyNumberFormat="1" applyFont="1" applyBorder="1" applyAlignment="1">
      <alignment vertical="center" readingOrder="2"/>
    </xf>
    <xf numFmtId="3" fontId="18" fillId="0" borderId="2" xfId="4" applyNumberFormat="1" applyFont="1" applyBorder="1" applyAlignment="1">
      <alignment horizontal="right" vertical="center" wrapText="1"/>
    </xf>
    <xf numFmtId="0" fontId="16" fillId="0" borderId="0" xfId="4" applyFont="1" applyFill="1" applyAlignment="1">
      <alignment wrapText="1"/>
    </xf>
    <xf numFmtId="4" fontId="16" fillId="0" borderId="0" xfId="4" applyNumberFormat="1" applyFont="1" applyFill="1" applyAlignment="1"/>
    <xf numFmtId="0" fontId="18" fillId="0" borderId="2" xfId="4" applyFont="1" applyFill="1" applyBorder="1" applyAlignment="1">
      <alignment vertical="center"/>
    </xf>
    <xf numFmtId="3" fontId="31" fillId="0" borderId="2" xfId="4" applyNumberFormat="1" applyFont="1" applyFill="1" applyBorder="1" applyAlignment="1">
      <alignment vertical="center" wrapText="1"/>
    </xf>
    <xf numFmtId="0" fontId="18" fillId="0" borderId="2" xfId="4" applyFont="1" applyFill="1" applyBorder="1" applyAlignment="1">
      <alignment horizontal="right" vertical="center" wrapText="1"/>
    </xf>
    <xf numFmtId="3" fontId="33" fillId="0" borderId="2" xfId="4" applyNumberFormat="1" applyFont="1" applyFill="1" applyBorder="1" applyAlignment="1">
      <alignment horizontal="right" vertical="center" wrapText="1"/>
    </xf>
    <xf numFmtId="3" fontId="21" fillId="0" borderId="0" xfId="4" applyNumberFormat="1" applyFont="1" applyFill="1" applyBorder="1" applyAlignment="1">
      <alignment horizontal="right" vertical="center" wrapText="1"/>
    </xf>
    <xf numFmtId="0" fontId="16" fillId="0" borderId="0" xfId="4" applyFont="1" applyFill="1" applyBorder="1" applyAlignment="1"/>
    <xf numFmtId="0" fontId="25" fillId="0" borderId="0" xfId="16" applyFont="1" applyFill="1" applyAlignment="1"/>
    <xf numFmtId="0" fontId="16" fillId="0" borderId="0" xfId="16" applyFont="1" applyFill="1" applyAlignment="1"/>
    <xf numFmtId="0" fontId="16" fillId="0" borderId="0" xfId="16" applyFont="1" applyFill="1"/>
    <xf numFmtId="0" fontId="16" fillId="0" borderId="0" xfId="16" applyFont="1" applyFill="1" applyAlignment="1">
      <alignment wrapText="1"/>
    </xf>
    <xf numFmtId="0" fontId="18" fillId="0" borderId="0" xfId="16" applyFont="1" applyFill="1" applyAlignment="1"/>
    <xf numFmtId="0" fontId="18" fillId="0" borderId="0" xfId="16" applyFont="1" applyFill="1" applyAlignment="1">
      <alignment vertical="center"/>
    </xf>
    <xf numFmtId="0" fontId="18" fillId="0" borderId="0" xfId="16" applyFont="1" applyFill="1" applyAlignment="1">
      <alignment horizontal="right"/>
    </xf>
    <xf numFmtId="3" fontId="17" fillId="0" borderId="0" xfId="16" applyNumberFormat="1" applyFont="1" applyFill="1" applyBorder="1" applyAlignment="1">
      <alignment horizontal="right" vertical="center" wrapText="1"/>
    </xf>
    <xf numFmtId="3" fontId="18" fillId="3" borderId="2" xfId="16" applyNumberFormat="1" applyFont="1" applyFill="1" applyBorder="1" applyAlignment="1">
      <alignment vertical="center" wrapText="1"/>
    </xf>
    <xf numFmtId="0" fontId="33" fillId="0" borderId="2" xfId="16" applyFont="1" applyFill="1" applyBorder="1" applyAlignment="1">
      <alignment horizontal="right" vertical="center" wrapText="1"/>
    </xf>
    <xf numFmtId="0" fontId="34" fillId="0" borderId="2" xfId="16" applyFont="1" applyFill="1" applyBorder="1" applyAlignment="1">
      <alignment vertical="center" wrapText="1"/>
    </xf>
    <xf numFmtId="0" fontId="18" fillId="0" borderId="2" xfId="16" applyFont="1" applyFill="1" applyBorder="1" applyAlignment="1">
      <alignment vertical="center"/>
    </xf>
    <xf numFmtId="3" fontId="18" fillId="0" borderId="2" xfId="16" applyNumberFormat="1" applyFont="1" applyFill="1" applyBorder="1" applyAlignment="1">
      <alignment horizontal="right" vertical="center" wrapText="1"/>
    </xf>
    <xf numFmtId="0" fontId="18" fillId="0" borderId="0" xfId="16" applyFont="1" applyFill="1" applyBorder="1" applyAlignment="1">
      <alignment vertical="center" wrapText="1"/>
    </xf>
    <xf numFmtId="0" fontId="18" fillId="0" borderId="10" xfId="16" applyFont="1" applyFill="1" applyBorder="1" applyAlignment="1">
      <alignment vertical="center" wrapText="1"/>
    </xf>
    <xf numFmtId="0" fontId="17" fillId="0" borderId="2" xfId="16" applyFont="1" applyFill="1" applyBorder="1" applyAlignment="1">
      <alignment vertical="center"/>
    </xf>
    <xf numFmtId="0" fontId="17" fillId="0" borderId="0" xfId="16" applyFont="1" applyFill="1" applyAlignment="1">
      <alignment wrapText="1"/>
    </xf>
    <xf numFmtId="0" fontId="17" fillId="0" borderId="0" xfId="16" applyFont="1" applyFill="1"/>
    <xf numFmtId="0" fontId="33" fillId="0" borderId="2" xfId="16" applyFont="1" applyFill="1" applyBorder="1" applyAlignment="1">
      <alignment vertical="center" wrapText="1"/>
    </xf>
    <xf numFmtId="0" fontId="18" fillId="0" borderId="0" xfId="16" applyFont="1" applyFill="1" applyBorder="1"/>
    <xf numFmtId="3" fontId="18" fillId="0" borderId="0" xfId="16" applyNumberFormat="1" applyFont="1" applyFill="1" applyBorder="1"/>
    <xf numFmtId="3" fontId="17" fillId="0" borderId="0" xfId="16" applyNumberFormat="1" applyFont="1" applyFill="1" applyBorder="1"/>
    <xf numFmtId="0" fontId="33" fillId="0" borderId="0" xfId="4" applyFont="1" applyFill="1" applyBorder="1" applyAlignment="1">
      <alignment wrapText="1"/>
    </xf>
    <xf numFmtId="0" fontId="33" fillId="0" borderId="0" xfId="4" applyFont="1" applyFill="1" applyAlignment="1">
      <alignment wrapText="1"/>
    </xf>
    <xf numFmtId="0" fontId="33" fillId="0" borderId="0" xfId="16" applyFont="1" applyFill="1" applyBorder="1" applyAlignment="1">
      <alignment wrapText="1"/>
    </xf>
    <xf numFmtId="0" fontId="33" fillId="0" borderId="0" xfId="16" applyFont="1" applyFill="1" applyBorder="1" applyAlignment="1"/>
    <xf numFmtId="0" fontId="33" fillId="0" borderId="0" xfId="16" applyFont="1" applyFill="1"/>
    <xf numFmtId="0" fontId="33" fillId="0" borderId="0" xfId="4" applyFont="1" applyFill="1" applyBorder="1" applyAlignment="1">
      <alignment horizontal="right" vertical="center" wrapText="1"/>
    </xf>
    <xf numFmtId="0" fontId="33" fillId="0" borderId="0" xfId="4" applyFont="1" applyFill="1" applyBorder="1" applyAlignment="1">
      <alignment vertical="center" wrapText="1"/>
    </xf>
    <xf numFmtId="3" fontId="33" fillId="0" borderId="0" xfId="4" applyNumberFormat="1" applyFont="1" applyFill="1" applyBorder="1" applyAlignment="1">
      <alignment wrapText="1"/>
    </xf>
    <xf numFmtId="3" fontId="33" fillId="0" borderId="0" xfId="4" applyNumberFormat="1" applyFont="1" applyFill="1" applyAlignment="1">
      <alignment wrapText="1"/>
    </xf>
    <xf numFmtId="3" fontId="33" fillId="0" borderId="0" xfId="4" applyNumberFormat="1" applyFont="1" applyFill="1" applyBorder="1" applyAlignment="1">
      <alignment vertical="center" wrapText="1"/>
    </xf>
    <xf numFmtId="0" fontId="17" fillId="0" borderId="2" xfId="4" applyFont="1" applyFill="1" applyBorder="1" applyAlignment="1">
      <alignment vertical="center"/>
    </xf>
    <xf numFmtId="0" fontId="29" fillId="0" borderId="0" xfId="4" applyFont="1" applyFill="1" applyBorder="1" applyAlignment="1">
      <alignment vertical="center" wrapText="1"/>
    </xf>
    <xf numFmtId="3" fontId="29" fillId="0" borderId="0" xfId="4" applyNumberFormat="1" applyFont="1" applyFill="1" applyBorder="1" applyAlignment="1">
      <alignment vertical="center" wrapText="1"/>
    </xf>
    <xf numFmtId="0" fontId="29" fillId="0" borderId="0" xfId="4" applyFont="1" applyFill="1" applyAlignment="1">
      <alignment vertical="center" wrapText="1"/>
    </xf>
    <xf numFmtId="0" fontId="33" fillId="0" borderId="0" xfId="4" applyFont="1" applyFill="1" applyBorder="1"/>
    <xf numFmtId="0" fontId="17" fillId="0" borderId="0" xfId="16" applyFont="1" applyFill="1" applyBorder="1" applyAlignment="1">
      <alignment horizontal="right" vertical="center" wrapText="1"/>
    </xf>
    <xf numFmtId="0" fontId="18" fillId="0" borderId="2" xfId="16" applyFont="1" applyFill="1" applyBorder="1" applyAlignment="1">
      <alignment wrapText="1"/>
    </xf>
    <xf numFmtId="49" fontId="18" fillId="0" borderId="2" xfId="16" applyNumberFormat="1" applyFont="1" applyFill="1" applyBorder="1" applyAlignment="1">
      <alignment horizontal="right" vertical="center" wrapText="1"/>
    </xf>
    <xf numFmtId="0" fontId="21" fillId="0" borderId="2" xfId="4" applyFont="1" applyFill="1" applyBorder="1" applyAlignment="1">
      <alignment vertical="center"/>
    </xf>
    <xf numFmtId="166" fontId="18" fillId="0" borderId="2" xfId="10" applyNumberFormat="1" applyFont="1" applyFill="1" applyBorder="1" applyAlignment="1">
      <alignment horizontal="right" vertical="center" wrapText="1"/>
    </xf>
    <xf numFmtId="0" fontId="17" fillId="0" borderId="2" xfId="4" applyFont="1" applyFill="1" applyBorder="1"/>
    <xf numFmtId="3" fontId="18" fillId="0" borderId="0" xfId="16" applyNumberFormat="1" applyFont="1" applyAlignment="1">
      <alignment vertical="center" wrapText="1"/>
    </xf>
    <xf numFmtId="3" fontId="16" fillId="0" borderId="0" xfId="16" applyNumberFormat="1" applyFont="1" applyFill="1"/>
    <xf numFmtId="164" fontId="19" fillId="0" borderId="2" xfId="4" applyNumberFormat="1" applyFont="1" applyFill="1" applyBorder="1" applyAlignment="1">
      <alignment vertical="top"/>
    </xf>
    <xf numFmtId="3" fontId="18" fillId="0" borderId="2" xfId="4" applyNumberFormat="1" applyFont="1" applyFill="1" applyBorder="1" applyAlignment="1">
      <alignment vertical="center"/>
    </xf>
    <xf numFmtId="3" fontId="18" fillId="3" borderId="2" xfId="4" applyNumberFormat="1" applyFont="1" applyFill="1" applyBorder="1" applyAlignment="1">
      <alignment vertical="center" wrapText="1"/>
    </xf>
    <xf numFmtId="166" fontId="20" fillId="0" borderId="0" xfId="10" applyNumberFormat="1" applyFont="1" applyFill="1" applyBorder="1" applyAlignment="1">
      <alignment horizontal="right" vertical="center"/>
    </xf>
    <xf numFmtId="0" fontId="24" fillId="0" borderId="0" xfId="16" applyFont="1" applyFill="1" applyAlignment="1"/>
    <xf numFmtId="3" fontId="24" fillId="0" borderId="0" xfId="16" applyNumberFormat="1" applyFont="1" applyAlignment="1"/>
    <xf numFmtId="0" fontId="21" fillId="0" borderId="0" xfId="16" applyFont="1" applyAlignment="1">
      <alignment vertical="center"/>
    </xf>
    <xf numFmtId="0" fontId="21" fillId="0" borderId="0" xfId="16" applyFont="1" applyFill="1" applyBorder="1"/>
    <xf numFmtId="0" fontId="16" fillId="0" borderId="0" xfId="16" applyFont="1" applyFill="1" applyBorder="1"/>
    <xf numFmtId="0" fontId="21" fillId="0" borderId="2" xfId="16" applyFont="1" applyFill="1" applyBorder="1"/>
    <xf numFmtId="0" fontId="60" fillId="0" borderId="0" xfId="17" quotePrefix="1" applyFont="1" applyFill="1" applyAlignment="1">
      <alignment horizontal="right" vertical="center" readingOrder="2"/>
    </xf>
    <xf numFmtId="3" fontId="21" fillId="0" borderId="6" xfId="16" applyNumberFormat="1" applyFont="1" applyBorder="1" applyAlignment="1">
      <alignment horizontal="center" vertical="center" wrapText="1"/>
    </xf>
    <xf numFmtId="3" fontId="18" fillId="0" borderId="0" xfId="16" applyNumberFormat="1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36" fillId="0" borderId="2" xfId="0" applyFont="1" applyBorder="1" applyAlignment="1">
      <alignment horizontal="right" vertical="center" wrapText="1"/>
    </xf>
    <xf numFmtId="3" fontId="34" fillId="0" borderId="2" xfId="13" applyNumberFormat="1" applyFont="1" applyBorder="1" applyAlignment="1">
      <alignment vertical="center"/>
    </xf>
    <xf numFmtId="0" fontId="21" fillId="0" borderId="2" xfId="16" applyFont="1" applyBorder="1" applyAlignment="1"/>
    <xf numFmtId="0" fontId="16" fillId="0" borderId="2" xfId="16" applyFont="1" applyFill="1" applyBorder="1" applyAlignment="1"/>
    <xf numFmtId="3" fontId="16" fillId="0" borderId="0" xfId="16" applyNumberFormat="1" applyFont="1" applyFill="1" applyAlignment="1"/>
    <xf numFmtId="0" fontId="61" fillId="0" borderId="0" xfId="4" applyFont="1" applyFill="1" applyBorder="1" applyAlignment="1">
      <alignment horizontal="right" vertical="center" wrapText="1"/>
    </xf>
    <xf numFmtId="0" fontId="61" fillId="0" borderId="0" xfId="4" applyFont="1" applyFill="1" applyBorder="1" applyAlignment="1">
      <alignment horizontal="right" vertical="center"/>
    </xf>
    <xf numFmtId="0" fontId="61" fillId="0" borderId="0" xfId="4" applyFont="1" applyFill="1" applyBorder="1"/>
    <xf numFmtId="0" fontId="18" fillId="0" borderId="0" xfId="16" applyFont="1" applyFill="1" applyAlignment="1">
      <alignment horizontal="right" wrapText="1"/>
    </xf>
    <xf numFmtId="0" fontId="18" fillId="0" borderId="2" xfId="16" applyFont="1" applyFill="1" applyBorder="1" applyAlignment="1">
      <alignment horizontal="right" vertical="center" wrapText="1"/>
    </xf>
    <xf numFmtId="165" fontId="18" fillId="0" borderId="0" xfId="16" applyNumberFormat="1" applyFont="1" applyFill="1" applyAlignment="1">
      <alignment horizontal="right" wrapText="1"/>
    </xf>
    <xf numFmtId="0" fontId="20" fillId="0" borderId="2" xfId="16" applyFont="1" applyBorder="1" applyAlignment="1">
      <alignment vertical="center" wrapText="1"/>
    </xf>
    <xf numFmtId="0" fontId="25" fillId="0" borderId="0" xfId="16" applyFont="1" applyFill="1" applyAlignment="1">
      <alignment wrapText="1"/>
    </xf>
    <xf numFmtId="0" fontId="18" fillId="0" borderId="0" xfId="16" applyFont="1" applyFill="1" applyBorder="1" applyAlignment="1">
      <alignment wrapText="1"/>
    </xf>
    <xf numFmtId="166" fontId="40" fillId="0" borderId="0" xfId="17" applyNumberFormat="1" applyFont="1" applyAlignment="1">
      <alignment horizontal="right" vertical="center" readingOrder="2"/>
    </xf>
    <xf numFmtId="0" fontId="16" fillId="0" borderId="0" xfId="16" applyFont="1" applyFill="1" applyAlignment="1">
      <alignment horizontal="right" wrapText="1"/>
    </xf>
    <xf numFmtId="0" fontId="18" fillId="0" borderId="2" xfId="16" applyFont="1" applyBorder="1" applyAlignment="1">
      <alignment horizontal="right" vertical="center" wrapText="1"/>
    </xf>
    <xf numFmtId="3" fontId="18" fillId="0" borderId="2" xfId="16" applyNumberFormat="1" applyFont="1" applyBorder="1" applyAlignment="1">
      <alignment horizontal="right" vertical="center" wrapText="1"/>
    </xf>
    <xf numFmtId="0" fontId="16" fillId="0" borderId="0" xfId="16" applyFont="1" applyFill="1" applyAlignment="1">
      <alignment horizontal="right"/>
    </xf>
    <xf numFmtId="0" fontId="18" fillId="0" borderId="0" xfId="4" applyFont="1" applyFill="1" applyAlignment="1">
      <alignment horizontal="right"/>
    </xf>
    <xf numFmtId="0" fontId="18" fillId="0" borderId="0" xfId="4" applyFont="1" applyFill="1" applyAlignment="1">
      <alignment horizontal="right" wrapText="1"/>
    </xf>
    <xf numFmtId="0" fontId="21" fillId="0" borderId="0" xfId="4" applyFont="1" applyFill="1" applyAlignment="1">
      <alignment horizontal="right" vertical="center" wrapText="1"/>
    </xf>
    <xf numFmtId="3" fontId="34" fillId="0" borderId="2" xfId="4" applyNumberFormat="1" applyFont="1" applyFill="1" applyBorder="1" applyAlignment="1">
      <alignment horizontal="right" vertical="center" wrapText="1"/>
    </xf>
    <xf numFmtId="0" fontId="34" fillId="0" borderId="0" xfId="16" applyFont="1" applyFill="1" applyAlignment="1">
      <alignment vertical="center" wrapText="1"/>
    </xf>
    <xf numFmtId="0" fontId="34" fillId="0" borderId="0" xfId="16" applyFont="1" applyFill="1" applyAlignment="1">
      <alignment wrapText="1"/>
    </xf>
    <xf numFmtId="3" fontId="34" fillId="0" borderId="0" xfId="4" applyNumberFormat="1" applyFont="1" applyFill="1" applyAlignment="1">
      <alignment vertical="center" wrapText="1"/>
    </xf>
    <xf numFmtId="0" fontId="62" fillId="0" borderId="0" xfId="16" applyFont="1" applyFill="1"/>
    <xf numFmtId="164" fontId="34" fillId="0" borderId="0" xfId="4" applyNumberFormat="1" applyFont="1" applyFill="1" applyAlignment="1">
      <alignment vertical="center" wrapText="1"/>
    </xf>
    <xf numFmtId="0" fontId="34" fillId="0" borderId="0" xfId="4" applyFont="1" applyFill="1"/>
    <xf numFmtId="0" fontId="40" fillId="0" borderId="0" xfId="30" applyFont="1" applyAlignment="1">
      <alignment horizontal="right" vertical="center" readingOrder="2"/>
    </xf>
    <xf numFmtId="0" fontId="6" fillId="0" borderId="0" xfId="30"/>
    <xf numFmtId="0" fontId="39" fillId="0" borderId="0" xfId="30" applyFont="1" applyAlignment="1">
      <alignment horizontal="right" vertical="center" readingOrder="2"/>
    </xf>
    <xf numFmtId="0" fontId="55" fillId="0" borderId="0" xfId="30" applyFont="1"/>
    <xf numFmtId="3" fontId="42" fillId="0" borderId="30" xfId="30" applyNumberFormat="1" applyFont="1" applyBorder="1" applyAlignment="1">
      <alignment horizontal="right" vertical="center" readingOrder="2"/>
    </xf>
    <xf numFmtId="0" fontId="40" fillId="0" borderId="0" xfId="30" applyFont="1" applyBorder="1" applyAlignment="1">
      <alignment horizontal="right" vertical="center" readingOrder="2"/>
    </xf>
    <xf numFmtId="3" fontId="40" fillId="0" borderId="10" xfId="22" applyNumberFormat="1" applyFont="1" applyBorder="1" applyAlignment="1">
      <alignment horizontal="center" vertical="center" readingOrder="2"/>
    </xf>
    <xf numFmtId="0" fontId="63" fillId="0" borderId="0" xfId="22" applyFont="1" applyAlignment="1">
      <alignment horizontal="right" vertical="center" readingOrder="2"/>
    </xf>
    <xf numFmtId="0" fontId="34" fillId="0" borderId="0" xfId="16" applyFont="1" applyFill="1" applyAlignment="1"/>
    <xf numFmtId="0" fontId="62" fillId="0" borderId="0" xfId="16" applyFont="1" applyFill="1" applyAlignment="1"/>
    <xf numFmtId="3" fontId="62" fillId="0" borderId="0" xfId="16" applyNumberFormat="1" applyFont="1" applyFill="1" applyAlignment="1"/>
    <xf numFmtId="0" fontId="34" fillId="0" borderId="0" xfId="16" applyFont="1" applyFill="1"/>
    <xf numFmtId="0" fontId="62" fillId="0" borderId="0" xfId="16" applyFont="1" applyFill="1" applyAlignment="1">
      <alignment wrapText="1"/>
    </xf>
    <xf numFmtId="0" fontId="34" fillId="0" borderId="0" xfId="4" applyFont="1" applyFill="1" applyBorder="1"/>
    <xf numFmtId="0" fontId="34" fillId="0" borderId="2" xfId="4" applyFont="1" applyFill="1" applyBorder="1" applyAlignment="1">
      <alignment vertical="center"/>
    </xf>
    <xf numFmtId="3" fontId="53" fillId="0" borderId="21" xfId="22" applyNumberFormat="1" applyFont="1" applyBorder="1" applyAlignment="1">
      <alignment horizontal="center" vertical="center" readingOrder="2"/>
    </xf>
    <xf numFmtId="9" fontId="53" fillId="0" borderId="22" xfId="9" applyFont="1" applyBorder="1" applyAlignment="1">
      <alignment horizontal="right" vertical="center" readingOrder="2"/>
    </xf>
    <xf numFmtId="0" fontId="34" fillId="0" borderId="0" xfId="4" applyFont="1" applyFill="1" applyBorder="1" applyAlignment="1">
      <alignment horizontal="right" vertical="center" wrapText="1"/>
    </xf>
    <xf numFmtId="0" fontId="34" fillId="0" borderId="0" xfId="4" applyFont="1" applyFill="1" applyBorder="1" applyAlignment="1">
      <alignment wrapText="1"/>
    </xf>
    <xf numFmtId="0" fontId="34" fillId="0" borderId="0" xfId="4" applyFont="1" applyFill="1" applyAlignment="1">
      <alignment wrapText="1"/>
    </xf>
    <xf numFmtId="3" fontId="34" fillId="0" borderId="0" xfId="4" applyNumberFormat="1" applyFont="1" applyFill="1" applyBorder="1" applyAlignment="1">
      <alignment wrapText="1"/>
    </xf>
    <xf numFmtId="3" fontId="34" fillId="0" borderId="0" xfId="4" applyNumberFormat="1" applyFont="1" applyFill="1" applyAlignment="1">
      <alignment wrapText="1"/>
    </xf>
    <xf numFmtId="3" fontId="34" fillId="0" borderId="2" xfId="16" applyNumberFormat="1" applyFont="1" applyFill="1" applyBorder="1" applyAlignment="1">
      <alignment vertical="center" wrapText="1"/>
    </xf>
    <xf numFmtId="3" fontId="34" fillId="0" borderId="0" xfId="16" applyNumberFormat="1" applyFont="1" applyFill="1" applyBorder="1" applyAlignment="1">
      <alignment vertical="center" wrapText="1"/>
    </xf>
    <xf numFmtId="3" fontId="34" fillId="0" borderId="2" xfId="16" applyNumberFormat="1" applyFont="1" applyFill="1" applyBorder="1" applyAlignment="1">
      <alignment horizontal="right" vertical="center" wrapText="1"/>
    </xf>
    <xf numFmtId="3" fontId="34" fillId="0" borderId="0" xfId="16" applyNumberFormat="1" applyFont="1" applyFill="1"/>
    <xf numFmtId="0" fontId="6" fillId="0" borderId="0" xfId="22" applyFont="1"/>
    <xf numFmtId="0" fontId="64" fillId="0" borderId="0" xfId="22" applyFont="1"/>
    <xf numFmtId="0" fontId="65" fillId="0" borderId="0" xfId="30" applyFont="1" applyAlignment="1">
      <alignment horizontal="right" vertical="center" readingOrder="2"/>
    </xf>
    <xf numFmtId="0" fontId="65" fillId="0" borderId="0" xfId="22" applyFont="1" applyAlignment="1">
      <alignment horizontal="right" vertical="center" readingOrder="2"/>
    </xf>
    <xf numFmtId="0" fontId="5" fillId="0" borderId="0" xfId="22" applyFont="1"/>
    <xf numFmtId="0" fontId="66" fillId="0" borderId="0" xfId="22" applyFont="1"/>
    <xf numFmtId="165" fontId="53" fillId="0" borderId="22" xfId="9" applyNumberFormat="1" applyFont="1" applyBorder="1" applyAlignment="1">
      <alignment horizontal="right" vertical="center" readingOrder="2"/>
    </xf>
    <xf numFmtId="166" fontId="20" fillId="0" borderId="0" xfId="4" applyNumberFormat="1" applyFont="1" applyFill="1" applyBorder="1" applyAlignment="1">
      <alignment horizontal="right" vertical="center"/>
    </xf>
    <xf numFmtId="0" fontId="34" fillId="0" borderId="0" xfId="16" applyFont="1" applyFill="1" applyBorder="1" applyAlignment="1">
      <alignment vertical="center" wrapText="1"/>
    </xf>
    <xf numFmtId="0" fontId="63" fillId="0" borderId="0" xfId="17" applyFont="1"/>
    <xf numFmtId="0" fontId="53" fillId="0" borderId="0" xfId="30" applyFont="1" applyAlignment="1">
      <alignment horizontal="right" vertical="center" readingOrder="2"/>
    </xf>
    <xf numFmtId="0" fontId="30" fillId="0" borderId="0" xfId="30" applyFont="1"/>
    <xf numFmtId="0" fontId="67" fillId="0" borderId="0" xfId="30" applyFont="1"/>
    <xf numFmtId="0" fontId="42" fillId="0" borderId="0" xfId="30" applyFont="1" applyAlignment="1">
      <alignment horizontal="right" vertical="center" readingOrder="2"/>
    </xf>
    <xf numFmtId="165" fontId="53" fillId="0" borderId="22" xfId="9" applyNumberFormat="1" applyFont="1" applyBorder="1" applyAlignment="1">
      <alignment vertical="center" readingOrder="2"/>
    </xf>
    <xf numFmtId="0" fontId="18" fillId="0" borderId="2" xfId="16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42" fillId="0" borderId="15" xfId="17" applyFont="1" applyBorder="1" applyAlignment="1">
      <alignment horizontal="right" vertical="center" readingOrder="2"/>
    </xf>
    <xf numFmtId="3" fontId="20" fillId="0" borderId="28" xfId="16" applyNumberFormat="1" applyFont="1" applyBorder="1"/>
    <xf numFmtId="0" fontId="29" fillId="0" borderId="2" xfId="4" applyFont="1" applyFill="1" applyBorder="1" applyAlignment="1">
      <alignment vertical="center"/>
    </xf>
    <xf numFmtId="0" fontId="18" fillId="0" borderId="2" xfId="4" applyFont="1" applyFill="1" applyBorder="1" applyAlignment="1">
      <alignment horizontal="right" vertical="center"/>
    </xf>
    <xf numFmtId="3" fontId="33" fillId="0" borderId="2" xfId="4" applyNumberFormat="1" applyFont="1" applyFill="1" applyBorder="1" applyAlignment="1">
      <alignment horizontal="right" vertical="center"/>
    </xf>
    <xf numFmtId="3" fontId="21" fillId="0" borderId="0" xfId="4" applyNumberFormat="1" applyFont="1" applyFill="1" applyBorder="1" applyAlignment="1">
      <alignment vertical="center"/>
    </xf>
    <xf numFmtId="0" fontId="18" fillId="0" borderId="2" xfId="16" applyFont="1" applyFill="1" applyBorder="1" applyAlignment="1">
      <alignment horizontal="right" vertical="center"/>
    </xf>
    <xf numFmtId="3" fontId="18" fillId="0" borderId="2" xfId="16" applyNumberFormat="1" applyFont="1" applyFill="1" applyBorder="1" applyAlignment="1">
      <alignment horizontal="right" vertical="center"/>
    </xf>
    <xf numFmtId="0" fontId="33" fillId="0" borderId="2" xfId="16" applyFont="1" applyFill="1" applyBorder="1" applyAlignment="1">
      <alignment vertical="center"/>
    </xf>
    <xf numFmtId="0" fontId="18" fillId="0" borderId="2" xfId="16" applyFont="1" applyFill="1" applyBorder="1" applyAlignment="1">
      <alignment horizontal="right"/>
    </xf>
    <xf numFmtId="3" fontId="17" fillId="0" borderId="2" xfId="16" applyNumberFormat="1" applyFont="1" applyFill="1" applyBorder="1" applyAlignment="1">
      <alignment vertical="center"/>
    </xf>
    <xf numFmtId="3" fontId="17" fillId="0" borderId="2" xfId="16" applyNumberFormat="1" applyFont="1" applyFill="1" applyBorder="1" applyAlignment="1">
      <alignment horizontal="right" vertical="center"/>
    </xf>
    <xf numFmtId="165" fontId="18" fillId="0" borderId="0" xfId="16" applyNumberFormat="1" applyFont="1" applyFill="1" applyAlignment="1">
      <alignment horizontal="right"/>
    </xf>
    <xf numFmtId="0" fontId="40" fillId="0" borderId="18" xfId="22" applyFont="1" applyBorder="1" applyAlignment="1">
      <alignment horizontal="right" vertical="center" wrapText="1" readingOrder="2"/>
    </xf>
    <xf numFmtId="3" fontId="18" fillId="0" borderId="2" xfId="4" applyNumberFormat="1" applyFont="1" applyFill="1" applyBorder="1" applyAlignment="1">
      <alignment horizontal="right" vertical="center"/>
    </xf>
    <xf numFmtId="0" fontId="21" fillId="0" borderId="0" xfId="4" applyFont="1" applyFill="1" applyAlignment="1">
      <alignment vertical="center"/>
    </xf>
    <xf numFmtId="0" fontId="68" fillId="0" borderId="0" xfId="17" applyFont="1" applyAlignment="1">
      <alignment horizontal="right" vertical="center" readingOrder="2"/>
    </xf>
    <xf numFmtId="0" fontId="69" fillId="0" borderId="0" xfId="17" applyFont="1"/>
    <xf numFmtId="0" fontId="70" fillId="0" borderId="0" xfId="17" applyFont="1"/>
    <xf numFmtId="166" fontId="40" fillId="0" borderId="19" xfId="18" applyNumberFormat="1" applyFont="1" applyBorder="1" applyAlignment="1">
      <alignment vertical="center" readingOrder="2"/>
    </xf>
    <xf numFmtId="3" fontId="34" fillId="0" borderId="0" xfId="4" applyNumberFormat="1" applyFont="1" applyFill="1" applyAlignment="1">
      <alignment horizontal="center" vertical="center"/>
    </xf>
    <xf numFmtId="0" fontId="34" fillId="0" borderId="0" xfId="4" applyFont="1" applyFill="1" applyAlignment="1"/>
    <xf numFmtId="3" fontId="17" fillId="0" borderId="2" xfId="4" quotePrefix="1" applyNumberFormat="1" applyFont="1" applyFill="1" applyBorder="1" applyAlignment="1">
      <alignment horizontal="right" vertical="center" wrapText="1"/>
    </xf>
    <xf numFmtId="0" fontId="18" fillId="0" borderId="2" xfId="4" applyFont="1" applyFill="1" applyBorder="1" applyAlignment="1">
      <alignment wrapText="1"/>
    </xf>
    <xf numFmtId="0" fontId="18" fillId="0" borderId="4" xfId="16" applyFont="1" applyFill="1" applyBorder="1" applyAlignment="1"/>
    <xf numFmtId="0" fontId="16" fillId="0" borderId="2" xfId="16" applyFont="1" applyFill="1" applyBorder="1"/>
    <xf numFmtId="3" fontId="18" fillId="0" borderId="2" xfId="4" applyNumberFormat="1" applyFont="1" applyFill="1" applyBorder="1" applyAlignment="1">
      <alignment wrapText="1"/>
    </xf>
    <xf numFmtId="0" fontId="31" fillId="0" borderId="2" xfId="16" applyFont="1" applyFill="1" applyBorder="1" applyAlignment="1">
      <alignment vertical="center" wrapText="1"/>
    </xf>
    <xf numFmtId="0" fontId="17" fillId="0" borderId="2" xfId="16" applyFont="1" applyFill="1" applyBorder="1" applyAlignment="1">
      <alignment wrapText="1"/>
    </xf>
    <xf numFmtId="0" fontId="21" fillId="0" borderId="2" xfId="4" applyFont="1" applyFill="1" applyBorder="1" applyAlignment="1">
      <alignment horizontal="center" vertical="center"/>
    </xf>
    <xf numFmtId="0" fontId="34" fillId="0" borderId="4" xfId="4" applyFont="1" applyFill="1" applyBorder="1" applyAlignment="1">
      <alignment horizontal="center" wrapText="1"/>
    </xf>
    <xf numFmtId="0" fontId="34" fillId="0" borderId="5" xfId="4" applyFont="1" applyFill="1" applyBorder="1" applyAlignment="1">
      <alignment horizontal="center" wrapText="1"/>
    </xf>
    <xf numFmtId="3" fontId="17" fillId="0" borderId="2" xfId="32" applyNumberFormat="1" applyFont="1" applyBorder="1" applyAlignment="1">
      <alignment horizontal="right" vertical="center"/>
    </xf>
    <xf numFmtId="0" fontId="18" fillId="0" borderId="4" xfId="4" applyFont="1" applyFill="1" applyBorder="1" applyAlignment="1"/>
    <xf numFmtId="0" fontId="18" fillId="0" borderId="5" xfId="4" applyFont="1" applyFill="1" applyBorder="1"/>
    <xf numFmtId="0" fontId="18" fillId="0" borderId="6" xfId="4" applyFont="1" applyFill="1" applyBorder="1"/>
    <xf numFmtId="3" fontId="17" fillId="0" borderId="2" xfId="32" applyNumberFormat="1" applyFont="1" applyFill="1" applyBorder="1" applyAlignment="1">
      <alignment horizontal="right" vertical="center"/>
    </xf>
    <xf numFmtId="0" fontId="33" fillId="0" borderId="2" xfId="4" applyFont="1" applyFill="1" applyBorder="1" applyAlignment="1">
      <alignment wrapText="1"/>
    </xf>
    <xf numFmtId="3" fontId="33" fillId="0" borderId="2" xfId="4" applyNumberFormat="1" applyFont="1" applyFill="1" applyBorder="1" applyAlignment="1">
      <alignment wrapText="1"/>
    </xf>
    <xf numFmtId="3" fontId="33" fillId="0" borderId="2" xfId="4" applyNumberFormat="1" applyFont="1" applyFill="1" applyBorder="1" applyAlignment="1">
      <alignment vertical="center" wrapText="1"/>
    </xf>
    <xf numFmtId="0" fontId="18" fillId="0" borderId="5" xfId="16" applyFont="1" applyFill="1" applyBorder="1"/>
    <xf numFmtId="0" fontId="18" fillId="0" borderId="6" xfId="16" applyFont="1" applyFill="1" applyBorder="1"/>
    <xf numFmtId="0" fontId="25" fillId="0" borderId="0" xfId="32" applyFont="1" applyAlignment="1"/>
    <xf numFmtId="0" fontId="25" fillId="0" borderId="0" xfId="32" applyFont="1" applyAlignment="1">
      <alignment wrapText="1"/>
    </xf>
    <xf numFmtId="3" fontId="16" fillId="0" borderId="0" xfId="32" applyNumberFormat="1" applyFont="1"/>
    <xf numFmtId="0" fontId="16" fillId="0" borderId="0" xfId="32" applyFont="1"/>
    <xf numFmtId="0" fontId="16" fillId="0" borderId="0" xfId="32" applyFont="1" applyAlignment="1"/>
    <xf numFmtId="0" fontId="18" fillId="0" borderId="0" xfId="32" applyFont="1" applyAlignment="1"/>
    <xf numFmtId="0" fontId="3" fillId="0" borderId="0" xfId="32"/>
    <xf numFmtId="0" fontId="18" fillId="0" borderId="0" xfId="32" applyFont="1"/>
    <xf numFmtId="0" fontId="18" fillId="0" borderId="6" xfId="4" applyFont="1" applyFill="1" applyBorder="1" applyAlignment="1">
      <alignment wrapText="1"/>
    </xf>
    <xf numFmtId="0" fontId="18" fillId="0" borderId="2" xfId="32" applyFont="1" applyBorder="1" applyAlignment="1"/>
    <xf numFmtId="0" fontId="18" fillId="0" borderId="2" xfId="32" applyFont="1" applyBorder="1"/>
    <xf numFmtId="0" fontId="25" fillId="0" borderId="0" xfId="33" applyFont="1" applyAlignment="1"/>
    <xf numFmtId="0" fontId="16" fillId="0" borderId="0" xfId="33" applyFont="1" applyAlignment="1"/>
    <xf numFmtId="0" fontId="3" fillId="0" borderId="0" xfId="33"/>
    <xf numFmtId="0" fontId="16" fillId="0" borderId="2" xfId="33" applyFont="1" applyBorder="1" applyAlignment="1"/>
    <xf numFmtId="3" fontId="17" fillId="0" borderId="2" xfId="33" applyNumberFormat="1" applyFont="1" applyBorder="1" applyAlignment="1">
      <alignment horizontal="right" vertical="center"/>
    </xf>
    <xf numFmtId="3" fontId="16" fillId="0" borderId="0" xfId="33" applyNumberFormat="1" applyFont="1"/>
    <xf numFmtId="0" fontId="16" fillId="0" borderId="0" xfId="33" applyFont="1"/>
    <xf numFmtId="0" fontId="18" fillId="0" borderId="0" xfId="33" applyFont="1" applyAlignment="1"/>
    <xf numFmtId="0" fontId="18" fillId="0" borderId="0" xfId="33" applyFont="1"/>
    <xf numFmtId="0" fontId="18" fillId="0" borderId="4" xfId="33" applyFont="1" applyBorder="1" applyAlignment="1"/>
    <xf numFmtId="0" fontId="18" fillId="0" borderId="5" xfId="33" applyFont="1" applyBorder="1"/>
    <xf numFmtId="0" fontId="18" fillId="0" borderId="6" xfId="33" applyFont="1" applyBorder="1"/>
    <xf numFmtId="3" fontId="18" fillId="0" borderId="0" xfId="33" applyNumberFormat="1" applyFont="1"/>
    <xf numFmtId="3" fontId="17" fillId="0" borderId="2" xfId="33" applyNumberFormat="1" applyFont="1" applyBorder="1" applyAlignment="1">
      <alignment horizontal="right" vertical="center" wrapText="1"/>
    </xf>
    <xf numFmtId="0" fontId="18" fillId="0" borderId="2" xfId="33" applyFont="1" applyBorder="1" applyAlignment="1">
      <alignment vertical="center" wrapText="1"/>
    </xf>
    <xf numFmtId="3" fontId="18" fillId="0" borderId="2" xfId="33" applyNumberFormat="1" applyFont="1" applyBorder="1" applyAlignment="1">
      <alignment vertical="center" wrapText="1"/>
    </xf>
    <xf numFmtId="0" fontId="18" fillId="0" borderId="2" xfId="33" applyFont="1" applyBorder="1" applyAlignment="1">
      <alignment vertical="center"/>
    </xf>
    <xf numFmtId="0" fontId="18" fillId="0" borderId="2" xfId="33" applyFont="1" applyBorder="1" applyAlignment="1"/>
    <xf numFmtId="3" fontId="18" fillId="0" borderId="2" xfId="33" applyNumberFormat="1" applyFont="1" applyFill="1" applyBorder="1" applyAlignment="1">
      <alignment vertical="center" wrapText="1"/>
    </xf>
    <xf numFmtId="0" fontId="17" fillId="0" borderId="2" xfId="33" applyFont="1" applyBorder="1" applyAlignment="1">
      <alignment vertical="center" wrapText="1"/>
    </xf>
    <xf numFmtId="0" fontId="17" fillId="0" borderId="2" xfId="33" applyFont="1" applyFill="1" applyBorder="1" applyAlignment="1">
      <alignment vertical="center" wrapText="1"/>
    </xf>
    <xf numFmtId="3" fontId="17" fillId="0" borderId="2" xfId="33" applyNumberFormat="1" applyFont="1" applyBorder="1" applyAlignment="1">
      <alignment vertical="center" wrapText="1"/>
    </xf>
    <xf numFmtId="0" fontId="30" fillId="0" borderId="0" xfId="33" applyFont="1"/>
    <xf numFmtId="3" fontId="59" fillId="0" borderId="0" xfId="33" applyNumberFormat="1" applyFont="1"/>
    <xf numFmtId="3" fontId="18" fillId="0" borderId="0" xfId="33" applyNumberFormat="1" applyFont="1" applyAlignment="1">
      <alignment wrapText="1"/>
    </xf>
    <xf numFmtId="0" fontId="18" fillId="0" borderId="2" xfId="16" applyFont="1" applyBorder="1"/>
    <xf numFmtId="0" fontId="34" fillId="0" borderId="4" xfId="4" applyFont="1" applyFill="1" applyBorder="1" applyAlignment="1">
      <alignment wrapText="1"/>
    </xf>
    <xf numFmtId="0" fontId="34" fillId="0" borderId="5" xfId="4" applyFont="1" applyFill="1" applyBorder="1" applyAlignment="1">
      <alignment wrapText="1"/>
    </xf>
    <xf numFmtId="0" fontId="34" fillId="0" borderId="5" xfId="4" applyFont="1" applyFill="1" applyBorder="1" applyAlignment="1"/>
    <xf numFmtId="0" fontId="34" fillId="0" borderId="2" xfId="4" applyFont="1" applyFill="1" applyBorder="1" applyAlignment="1"/>
    <xf numFmtId="0" fontId="34" fillId="0" borderId="2" xfId="4" applyFont="1" applyFill="1" applyBorder="1" applyAlignment="1">
      <alignment horizontal="center" wrapText="1"/>
    </xf>
    <xf numFmtId="0" fontId="34" fillId="0" borderId="2" xfId="4" applyFont="1" applyFill="1" applyBorder="1" applyAlignment="1">
      <alignment wrapText="1"/>
    </xf>
    <xf numFmtId="0" fontId="20" fillId="0" borderId="2" xfId="4" applyFont="1" applyFill="1" applyBorder="1" applyAlignment="1">
      <alignment vertical="center"/>
    </xf>
    <xf numFmtId="0" fontId="21" fillId="0" borderId="0" xfId="4" applyNumberFormat="1" applyFont="1" applyFill="1" applyBorder="1" applyAlignment="1">
      <alignment horizontal="right" vertical="center"/>
    </xf>
    <xf numFmtId="3" fontId="35" fillId="0" borderId="0" xfId="4" applyNumberFormat="1" applyFont="1" applyFill="1" applyBorder="1" applyAlignment="1">
      <alignment vertical="center"/>
    </xf>
    <xf numFmtId="0" fontId="20" fillId="0" borderId="0" xfId="16" applyFont="1" applyAlignment="1"/>
    <xf numFmtId="0" fontId="20" fillId="0" borderId="0" xfId="16" applyFont="1" applyAlignment="1">
      <alignment wrapText="1"/>
    </xf>
    <xf numFmtId="0" fontId="24" fillId="0" borderId="0" xfId="16" applyFont="1" applyAlignment="1">
      <alignment wrapText="1"/>
    </xf>
    <xf numFmtId="0" fontId="24" fillId="0" borderId="0" xfId="16" applyFont="1" applyAlignment="1">
      <alignment horizontal="center" wrapText="1"/>
    </xf>
    <xf numFmtId="0" fontId="20" fillId="0" borderId="14" xfId="16" applyFont="1" applyFill="1" applyBorder="1"/>
    <xf numFmtId="0" fontId="20" fillId="0" borderId="40" xfId="16" applyFont="1" applyBorder="1"/>
    <xf numFmtId="0" fontId="20" fillId="0" borderId="14" xfId="16" applyFont="1" applyBorder="1"/>
    <xf numFmtId="0" fontId="20" fillId="0" borderId="15" xfId="16" applyFont="1" applyBorder="1" applyAlignment="1"/>
    <xf numFmtId="0" fontId="20" fillId="0" borderId="15" xfId="16" applyFont="1" applyBorder="1"/>
    <xf numFmtId="0" fontId="21" fillId="0" borderId="15" xfId="16" applyFont="1" applyBorder="1" applyAlignment="1">
      <alignment horizontal="center" wrapText="1"/>
    </xf>
    <xf numFmtId="0" fontId="21" fillId="0" borderId="15" xfId="16" applyFont="1" applyBorder="1" applyAlignment="1">
      <alignment horizontal="center"/>
    </xf>
    <xf numFmtId="3" fontId="34" fillId="0" borderId="15" xfId="13" applyNumberFormat="1" applyFont="1" applyBorder="1" applyAlignment="1">
      <alignment vertical="center"/>
    </xf>
    <xf numFmtId="0" fontId="20" fillId="0" borderId="18" xfId="16" applyFont="1" applyFill="1" applyBorder="1" applyAlignment="1">
      <alignment horizontal="center" vertical="center" wrapText="1"/>
    </xf>
    <xf numFmtId="0" fontId="20" fillId="0" borderId="4" xfId="16" applyFont="1" applyBorder="1" applyAlignment="1">
      <alignment horizontal="center" vertical="center" wrapText="1"/>
    </xf>
    <xf numFmtId="0" fontId="20" fillId="0" borderId="18" xfId="16" applyFont="1" applyBorder="1" applyAlignment="1">
      <alignment horizontal="center" vertical="center" wrapText="1"/>
    </xf>
    <xf numFmtId="0" fontId="21" fillId="0" borderId="2" xfId="16" applyFont="1" applyBorder="1" applyAlignment="1">
      <alignment vertical="center" wrapText="1"/>
    </xf>
    <xf numFmtId="0" fontId="21" fillId="0" borderId="19" xfId="16" applyFont="1" applyBorder="1" applyAlignment="1">
      <alignment horizontal="center" vertical="center" wrapText="1"/>
    </xf>
    <xf numFmtId="0" fontId="20" fillId="0" borderId="18" xfId="16" applyFont="1" applyFill="1" applyBorder="1"/>
    <xf numFmtId="0" fontId="20" fillId="0" borderId="4" xfId="16" applyFont="1" applyBorder="1"/>
    <xf numFmtId="0" fontId="20" fillId="0" borderId="2" xfId="16" applyFont="1" applyBorder="1" applyAlignment="1"/>
    <xf numFmtId="0" fontId="20" fillId="0" borderId="2" xfId="16" applyFont="1" applyBorder="1" applyAlignment="1">
      <alignment wrapText="1"/>
    </xf>
    <xf numFmtId="0" fontId="20" fillId="0" borderId="19" xfId="16" applyFont="1" applyBorder="1"/>
    <xf numFmtId="0" fontId="20" fillId="0" borderId="18" xfId="16" applyFont="1" applyFill="1" applyBorder="1" applyAlignment="1">
      <alignment horizontal="right"/>
    </xf>
    <xf numFmtId="0" fontId="20" fillId="0" borderId="18" xfId="16" applyFont="1" applyBorder="1" applyAlignment="1">
      <alignment vertical="center"/>
    </xf>
    <xf numFmtId="0" fontId="36" fillId="0" borderId="2" xfId="16" applyFont="1" applyBorder="1" applyAlignment="1">
      <alignment vertical="center" wrapText="1"/>
    </xf>
    <xf numFmtId="3" fontId="20" fillId="0" borderId="2" xfId="16" applyNumberFormat="1" applyFont="1" applyBorder="1" applyAlignment="1">
      <alignment vertical="center" wrapText="1"/>
    </xf>
    <xf numFmtId="3" fontId="20" fillId="0" borderId="19" xfId="16" applyNumberFormat="1" applyFont="1" applyBorder="1" applyAlignment="1">
      <alignment vertical="center"/>
    </xf>
    <xf numFmtId="0" fontId="24" fillId="0" borderId="2" xfId="16" applyFont="1" applyBorder="1" applyAlignment="1"/>
    <xf numFmtId="0" fontId="35" fillId="0" borderId="18" xfId="16" applyFont="1" applyFill="1" applyBorder="1" applyAlignment="1">
      <alignment horizontal="right"/>
    </xf>
    <xf numFmtId="0" fontId="35" fillId="0" borderId="4" xfId="16" applyFont="1" applyBorder="1" applyAlignment="1">
      <alignment horizontal="right"/>
    </xf>
    <xf numFmtId="0" fontId="35" fillId="0" borderId="18" xfId="16" applyFont="1" applyBorder="1" applyAlignment="1">
      <alignment horizontal="right"/>
    </xf>
    <xf numFmtId="0" fontId="35" fillId="0" borderId="2" xfId="16" applyFont="1" applyBorder="1" applyAlignment="1">
      <alignment horizontal="right"/>
    </xf>
    <xf numFmtId="0" fontId="35" fillId="0" borderId="2" xfId="16" applyFont="1" applyBorder="1" applyAlignment="1">
      <alignment horizontal="right" wrapText="1"/>
    </xf>
    <xf numFmtId="3" fontId="35" fillId="0" borderId="2" xfId="16" applyNumberFormat="1" applyFont="1" applyBorder="1" applyAlignment="1">
      <alignment horizontal="right" vertical="center"/>
    </xf>
    <xf numFmtId="3" fontId="35" fillId="0" borderId="2" xfId="16" applyNumberFormat="1" applyFont="1" applyBorder="1" applyAlignment="1">
      <alignment horizontal="right" vertical="center" wrapText="1"/>
    </xf>
    <xf numFmtId="3" fontId="35" fillId="0" borderId="19" xfId="16" applyNumberFormat="1" applyFont="1" applyBorder="1" applyAlignment="1">
      <alignment horizontal="right" vertical="center"/>
    </xf>
    <xf numFmtId="0" fontId="61" fillId="0" borderId="0" xfId="16" applyFont="1" applyAlignment="1">
      <alignment horizontal="right"/>
    </xf>
    <xf numFmtId="0" fontId="35" fillId="0" borderId="0" xfId="16" applyFont="1" applyAlignment="1">
      <alignment horizontal="right"/>
    </xf>
    <xf numFmtId="0" fontId="35" fillId="0" borderId="0" xfId="16" applyFont="1" applyFill="1" applyAlignment="1">
      <alignment horizontal="right"/>
    </xf>
    <xf numFmtId="0" fontId="21" fillId="0" borderId="18" xfId="16" applyFont="1" applyFill="1" applyBorder="1" applyAlignment="1">
      <alignment horizontal="right" vertical="center"/>
    </xf>
    <xf numFmtId="0" fontId="21" fillId="0" borderId="4" xfId="16" applyFont="1" applyFill="1" applyBorder="1" applyAlignment="1">
      <alignment horizontal="right" vertical="center"/>
    </xf>
    <xf numFmtId="0" fontId="20" fillId="0" borderId="2" xfId="16" applyFont="1" applyFill="1" applyBorder="1" applyAlignment="1">
      <alignment vertical="center" wrapText="1"/>
    </xf>
    <xf numFmtId="0" fontId="21" fillId="0" borderId="19" xfId="16" applyFont="1" applyFill="1" applyBorder="1" applyAlignment="1">
      <alignment horizontal="center" vertical="center" wrapText="1"/>
    </xf>
    <xf numFmtId="0" fontId="20" fillId="0" borderId="18" xfId="16" applyFont="1" applyFill="1" applyBorder="1" applyAlignment="1">
      <alignment horizontal="right" vertical="center" wrapText="1"/>
    </xf>
    <xf numFmtId="0" fontId="24" fillId="0" borderId="0" xfId="16" applyFont="1" applyAlignment="1">
      <alignment vertical="center"/>
    </xf>
    <xf numFmtId="0" fontId="20" fillId="0" borderId="0" xfId="16" applyFont="1" applyFill="1" applyAlignment="1">
      <alignment vertical="center"/>
    </xf>
    <xf numFmtId="0" fontId="21" fillId="0" borderId="18" xfId="16" applyFont="1" applyFill="1" applyBorder="1"/>
    <xf numFmtId="0" fontId="21" fillId="0" borderId="4" xfId="16" applyFont="1" applyBorder="1"/>
    <xf numFmtId="0" fontId="21" fillId="0" borderId="18" xfId="16" applyFont="1" applyBorder="1"/>
    <xf numFmtId="3" fontId="21" fillId="0" borderId="2" xfId="16" applyNumberFormat="1" applyFont="1" applyBorder="1" applyAlignment="1">
      <alignment vertical="center" wrapText="1"/>
    </xf>
    <xf numFmtId="3" fontId="21" fillId="0" borderId="19" xfId="16" applyNumberFormat="1" applyFont="1" applyBorder="1" applyAlignment="1">
      <alignment vertical="center"/>
    </xf>
    <xf numFmtId="0" fontId="20" fillId="0" borderId="18" xfId="16" applyFont="1" applyFill="1" applyBorder="1" applyAlignment="1">
      <alignment horizontal="right" vertical="center"/>
    </xf>
    <xf numFmtId="0" fontId="36" fillId="0" borderId="2" xfId="16" applyFont="1" applyBorder="1" applyAlignment="1">
      <alignment vertical="center"/>
    </xf>
    <xf numFmtId="0" fontId="36" fillId="0" borderId="2" xfId="16" applyFont="1" applyBorder="1" applyAlignment="1">
      <alignment horizontal="right" vertical="center" wrapText="1"/>
    </xf>
    <xf numFmtId="0" fontId="24" fillId="0" borderId="2" xfId="16" applyFont="1" applyBorder="1" applyAlignment="1">
      <alignment vertical="center"/>
    </xf>
    <xf numFmtId="0" fontId="16" fillId="0" borderId="18" xfId="16" applyFont="1" applyFill="1" applyBorder="1" applyAlignment="1"/>
    <xf numFmtId="0" fontId="16" fillId="0" borderId="4" xfId="16" applyFont="1" applyBorder="1" applyAlignment="1">
      <alignment wrapText="1"/>
    </xf>
    <xf numFmtId="3" fontId="21" fillId="0" borderId="18" xfId="16" applyNumberFormat="1" applyFont="1" applyBorder="1" applyAlignment="1">
      <alignment vertical="center"/>
    </xf>
    <xf numFmtId="0" fontId="21" fillId="0" borderId="20" xfId="16" applyFont="1" applyFill="1" applyBorder="1"/>
    <xf numFmtId="0" fontId="21" fillId="0" borderId="42" xfId="16" applyFont="1" applyBorder="1"/>
    <xf numFmtId="0" fontId="21" fillId="0" borderId="20" xfId="16" applyFont="1" applyBorder="1"/>
    <xf numFmtId="0" fontId="21" fillId="0" borderId="21" xfId="16" applyFont="1" applyBorder="1" applyAlignment="1"/>
    <xf numFmtId="0" fontId="21" fillId="0" borderId="21" xfId="16" applyFont="1" applyBorder="1" applyAlignment="1">
      <alignment wrapText="1"/>
    </xf>
    <xf numFmtId="3" fontId="21" fillId="0" borderId="21" xfId="16" applyNumberFormat="1" applyFont="1" applyBorder="1" applyAlignment="1">
      <alignment wrapText="1"/>
    </xf>
    <xf numFmtId="0" fontId="21" fillId="0" borderId="0" xfId="16" applyFont="1" applyBorder="1"/>
    <xf numFmtId="0" fontId="21" fillId="0" borderId="0" xfId="16" applyFont="1" applyBorder="1" applyAlignment="1"/>
    <xf numFmtId="0" fontId="21" fillId="0" borderId="0" xfId="16" applyFont="1" applyBorder="1" applyAlignment="1">
      <alignment wrapText="1"/>
    </xf>
    <xf numFmtId="3" fontId="21" fillId="0" borderId="0" xfId="16" applyNumberFormat="1" applyFont="1" applyBorder="1"/>
    <xf numFmtId="3" fontId="21" fillId="0" borderId="0" xfId="16" applyNumberFormat="1" applyFont="1" applyBorder="1" applyAlignment="1">
      <alignment wrapText="1"/>
    </xf>
    <xf numFmtId="0" fontId="21" fillId="0" borderId="15" xfId="16" applyFont="1" applyBorder="1" applyAlignment="1"/>
    <xf numFmtId="166" fontId="18" fillId="0" borderId="0" xfId="10" applyNumberFormat="1" applyFont="1" applyFill="1" applyAlignment="1">
      <alignment wrapText="1"/>
    </xf>
    <xf numFmtId="166" fontId="18" fillId="0" borderId="0" xfId="10" applyNumberFormat="1" applyFont="1" applyFill="1" applyAlignment="1">
      <alignment vertical="center" wrapText="1"/>
    </xf>
    <xf numFmtId="166" fontId="17" fillId="0" borderId="0" xfId="10" applyNumberFormat="1" applyFont="1" applyFill="1" applyAlignment="1">
      <alignment vertical="center" wrapText="1"/>
    </xf>
    <xf numFmtId="166" fontId="31" fillId="0" borderId="0" xfId="10" applyNumberFormat="1" applyFont="1" applyFill="1" applyAlignment="1">
      <alignment wrapText="1"/>
    </xf>
    <xf numFmtId="166" fontId="34" fillId="0" borderId="0" xfId="10" applyNumberFormat="1" applyFont="1" applyFill="1" applyAlignment="1">
      <alignment wrapText="1"/>
    </xf>
    <xf numFmtId="3" fontId="17" fillId="0" borderId="2" xfId="34" applyNumberFormat="1" applyFont="1" applyBorder="1" applyAlignment="1">
      <alignment horizontal="right" vertical="center" wrapText="1"/>
    </xf>
    <xf numFmtId="166" fontId="18" fillId="0" borderId="0" xfId="16" applyNumberFormat="1" applyFont="1" applyFill="1" applyAlignment="1">
      <alignment vertical="center" wrapText="1"/>
    </xf>
    <xf numFmtId="0" fontId="34" fillId="0" borderId="2" xfId="16" applyFont="1" applyFill="1" applyBorder="1" applyAlignment="1">
      <alignment horizontal="right" wrapText="1"/>
    </xf>
    <xf numFmtId="3" fontId="33" fillId="0" borderId="2" xfId="16" applyNumberFormat="1" applyFont="1" applyFill="1" applyBorder="1" applyAlignment="1">
      <alignment vertical="center" wrapText="1"/>
    </xf>
    <xf numFmtId="166" fontId="16" fillId="0" borderId="0" xfId="16" applyNumberFormat="1" applyFont="1" applyFill="1"/>
    <xf numFmtId="3" fontId="17" fillId="0" borderId="2" xfId="35" applyNumberFormat="1" applyFont="1" applyFill="1" applyBorder="1" applyAlignment="1">
      <alignment horizontal="right" vertical="center" wrapText="1"/>
    </xf>
    <xf numFmtId="0" fontId="18" fillId="0" borderId="2" xfId="4" applyFont="1" applyBorder="1" applyAlignment="1">
      <alignment vertical="center"/>
    </xf>
    <xf numFmtId="0" fontId="18" fillId="0" borderId="2" xfId="4" applyFont="1" applyBorder="1" applyAlignment="1">
      <alignment vertical="center" wrapText="1"/>
    </xf>
    <xf numFmtId="3" fontId="18" fillId="0" borderId="2" xfId="4" applyNumberFormat="1" applyFont="1" applyBorder="1" applyAlignment="1">
      <alignment vertical="center" wrapText="1"/>
    </xf>
    <xf numFmtId="166" fontId="18" fillId="0" borderId="2" xfId="10" applyNumberFormat="1" applyFont="1" applyBorder="1" applyAlignment="1">
      <alignment vertical="center" wrapText="1"/>
    </xf>
    <xf numFmtId="0" fontId="18" fillId="0" borderId="0" xfId="35" applyFont="1" applyAlignment="1">
      <alignment wrapText="1"/>
    </xf>
    <xf numFmtId="0" fontId="18" fillId="0" borderId="0" xfId="35" applyFont="1"/>
    <xf numFmtId="0" fontId="17" fillId="0" borderId="0" xfId="4" applyFont="1" applyAlignment="1">
      <alignment vertical="center" wrapText="1"/>
    </xf>
    <xf numFmtId="0" fontId="18" fillId="0" borderId="0" xfId="4" applyFont="1" applyAlignment="1">
      <alignment vertical="center" wrapText="1"/>
    </xf>
    <xf numFmtId="0" fontId="25" fillId="0" borderId="0" xfId="35" applyFont="1"/>
    <xf numFmtId="0" fontId="25" fillId="0" borderId="0" xfId="35" applyFont="1" applyAlignment="1">
      <alignment wrapText="1"/>
    </xf>
    <xf numFmtId="0" fontId="25" fillId="0" borderId="0" xfId="35" applyFont="1" applyFill="1"/>
    <xf numFmtId="3" fontId="16" fillId="0" borderId="0" xfId="35" applyNumberFormat="1" applyFont="1"/>
    <xf numFmtId="0" fontId="16" fillId="0" borderId="0" xfId="35" applyFont="1"/>
    <xf numFmtId="0" fontId="16" fillId="0" borderId="0" xfId="35" applyFont="1" applyAlignment="1">
      <alignment wrapText="1"/>
    </xf>
    <xf numFmtId="0" fontId="1" fillId="0" borderId="0" xfId="35"/>
    <xf numFmtId="0" fontId="17" fillId="0" borderId="2" xfId="4" applyFont="1" applyBorder="1" applyAlignment="1">
      <alignment horizontal="right" vertical="center" wrapText="1"/>
    </xf>
    <xf numFmtId="3" fontId="17" fillId="0" borderId="2" xfId="35" applyNumberFormat="1" applyFont="1" applyBorder="1" applyAlignment="1">
      <alignment horizontal="right" vertical="center" wrapText="1"/>
    </xf>
    <xf numFmtId="0" fontId="17" fillId="0" borderId="0" xfId="4" applyFont="1" applyAlignment="1">
      <alignment horizontal="right" vertical="center" wrapText="1"/>
    </xf>
    <xf numFmtId="0" fontId="21" fillId="0" borderId="2" xfId="4" applyFont="1" applyBorder="1" applyAlignment="1">
      <alignment vertical="center" wrapText="1"/>
    </xf>
    <xf numFmtId="3" fontId="21" fillId="0" borderId="2" xfId="4" applyNumberFormat="1" applyFont="1" applyBorder="1" applyAlignment="1">
      <alignment vertical="center" wrapText="1"/>
    </xf>
    <xf numFmtId="0" fontId="21" fillId="0" borderId="0" xfId="4" applyFont="1" applyAlignment="1">
      <alignment vertical="center" wrapText="1"/>
    </xf>
    <xf numFmtId="0" fontId="33" fillId="0" borderId="2" xfId="4" applyFont="1" applyBorder="1" applyAlignment="1">
      <alignment vertical="center" wrapText="1"/>
    </xf>
    <xf numFmtId="0" fontId="18" fillId="0" borderId="0" xfId="35" applyFont="1" applyAlignment="1">
      <alignment vertical="center"/>
    </xf>
    <xf numFmtId="166" fontId="18" fillId="0" borderId="2" xfId="10" applyNumberFormat="1" applyFont="1" applyBorder="1" applyAlignment="1">
      <alignment horizontal="right" vertical="center" wrapText="1"/>
    </xf>
    <xf numFmtId="0" fontId="18" fillId="0" borderId="0" xfId="35" applyFont="1" applyAlignment="1">
      <alignment vertical="center" wrapText="1"/>
    </xf>
    <xf numFmtId="0" fontId="17" fillId="0" borderId="2" xfId="4" applyFont="1" applyBorder="1" applyAlignment="1">
      <alignment vertical="center" wrapText="1"/>
    </xf>
    <xf numFmtId="0" fontId="18" fillId="0" borderId="0" xfId="4" applyFont="1"/>
    <xf numFmtId="0" fontId="18" fillId="0" borderId="0" xfId="4" applyFont="1" applyAlignment="1">
      <alignment wrapText="1"/>
    </xf>
    <xf numFmtId="3" fontId="18" fillId="0" borderId="0" xfId="4" applyNumberFormat="1" applyFont="1"/>
    <xf numFmtId="0" fontId="34" fillId="0" borderId="2" xfId="4" applyFont="1" applyBorder="1" applyAlignment="1">
      <alignment vertical="center" wrapText="1"/>
    </xf>
    <xf numFmtId="0" fontId="34" fillId="0" borderId="0" xfId="4" applyFont="1" applyAlignment="1">
      <alignment wrapText="1"/>
    </xf>
    <xf numFmtId="3" fontId="34" fillId="0" borderId="0" xfId="4" applyNumberFormat="1" applyFont="1" applyAlignment="1">
      <alignment wrapText="1"/>
    </xf>
    <xf numFmtId="0" fontId="34" fillId="0" borderId="0" xfId="4" applyFont="1" applyAlignment="1">
      <alignment vertical="center" wrapText="1"/>
    </xf>
    <xf numFmtId="3" fontId="18" fillId="0" borderId="0" xfId="4" applyNumberFormat="1" applyFont="1" applyAlignment="1">
      <alignment wrapText="1"/>
    </xf>
    <xf numFmtId="0" fontId="25" fillId="0" borderId="0" xfId="35" applyFont="1" applyAlignment="1"/>
    <xf numFmtId="3" fontId="25" fillId="0" borderId="0" xfId="35" applyNumberFormat="1" applyFont="1" applyAlignment="1"/>
    <xf numFmtId="0" fontId="16" fillId="0" borderId="0" xfId="35" applyFont="1" applyAlignment="1"/>
    <xf numFmtId="3" fontId="16" fillId="0" borderId="0" xfId="35" applyNumberFormat="1" applyFont="1" applyAlignment="1"/>
    <xf numFmtId="0" fontId="16" fillId="0" borderId="0" xfId="35" applyFont="1" applyFill="1" applyAlignment="1"/>
    <xf numFmtId="0" fontId="73" fillId="0" borderId="0" xfId="16" applyFont="1"/>
    <xf numFmtId="3" fontId="17" fillId="0" borderId="2" xfId="35" applyNumberFormat="1" applyFont="1" applyBorder="1" applyAlignment="1">
      <alignment horizontal="right" vertical="center"/>
    </xf>
    <xf numFmtId="0" fontId="31" fillId="0" borderId="0" xfId="16" applyFont="1" applyFill="1" applyAlignment="1">
      <alignment vertical="center" wrapText="1"/>
    </xf>
    <xf numFmtId="0" fontId="18" fillId="0" borderId="0" xfId="35" applyFont="1" applyAlignment="1"/>
    <xf numFmtId="3" fontId="17" fillId="0" borderId="0" xfId="35" applyNumberFormat="1" applyFont="1" applyBorder="1" applyAlignment="1">
      <alignment horizontal="right" vertical="center" wrapText="1"/>
    </xf>
    <xf numFmtId="0" fontId="18" fillId="0" borderId="2" xfId="35" applyFont="1" applyBorder="1" applyAlignment="1">
      <alignment vertical="center" wrapText="1"/>
    </xf>
    <xf numFmtId="3" fontId="18" fillId="0" borderId="2" xfId="35" applyNumberFormat="1" applyFont="1" applyBorder="1" applyAlignment="1">
      <alignment vertical="center" wrapText="1"/>
    </xf>
    <xf numFmtId="0" fontId="18" fillId="0" borderId="2" xfId="35" applyFont="1" applyBorder="1" applyAlignment="1">
      <alignment vertical="center"/>
    </xf>
    <xf numFmtId="3" fontId="18" fillId="0" borderId="2" xfId="35" applyNumberFormat="1" applyFont="1" applyFill="1" applyBorder="1" applyAlignment="1">
      <alignment vertical="center" wrapText="1"/>
    </xf>
    <xf numFmtId="164" fontId="18" fillId="0" borderId="0" xfId="35" applyNumberFormat="1" applyFont="1" applyAlignment="1"/>
    <xf numFmtId="0" fontId="18" fillId="0" borderId="2" xfId="35" applyFont="1" applyFill="1" applyBorder="1" applyAlignment="1">
      <alignment vertical="center" wrapText="1"/>
    </xf>
    <xf numFmtId="0" fontId="17" fillId="0" borderId="2" xfId="35" applyFont="1" applyFill="1" applyBorder="1" applyAlignment="1">
      <alignment vertical="center" wrapText="1"/>
    </xf>
    <xf numFmtId="3" fontId="18" fillId="0" borderId="0" xfId="35" applyNumberFormat="1" applyFont="1"/>
    <xf numFmtId="3" fontId="18" fillId="0" borderId="2" xfId="16" applyNumberFormat="1" applyFont="1" applyFill="1" applyBorder="1" applyAlignment="1">
      <alignment horizontal="right"/>
    </xf>
    <xf numFmtId="0" fontId="18" fillId="0" borderId="2" xfId="4" quotePrefix="1" applyFont="1" applyFill="1" applyBorder="1" applyAlignment="1">
      <alignment vertical="center" wrapText="1"/>
    </xf>
    <xf numFmtId="0" fontId="33" fillId="0" borderId="2" xfId="4" quotePrefix="1" applyFont="1" applyFill="1" applyBorder="1" applyAlignment="1">
      <alignment vertical="center" wrapText="1"/>
    </xf>
    <xf numFmtId="3" fontId="20" fillId="0" borderId="0" xfId="16" applyNumberFormat="1" applyFont="1" applyAlignment="1">
      <alignment horizontal="center" vertical="center"/>
    </xf>
    <xf numFmtId="166" fontId="20" fillId="0" borderId="0" xfId="12" applyNumberFormat="1" applyFont="1" applyFill="1" applyBorder="1" applyAlignment="1">
      <alignment vertical="center"/>
    </xf>
    <xf numFmtId="0" fontId="36" fillId="0" borderId="0" xfId="4" applyFont="1" applyFill="1" applyBorder="1" applyAlignment="1">
      <alignment horizontal="right" vertical="center"/>
    </xf>
    <xf numFmtId="0" fontId="53" fillId="0" borderId="0" xfId="16" applyFont="1" applyAlignment="1">
      <alignment horizontal="right" vertical="center" readingOrder="2"/>
    </xf>
    <xf numFmtId="0" fontId="31" fillId="0" borderId="2" xfId="16" applyFont="1" applyBorder="1" applyAlignment="1">
      <alignment vertical="center" wrapText="1"/>
    </xf>
    <xf numFmtId="3" fontId="34" fillId="0" borderId="5" xfId="13" applyNumberFormat="1" applyFont="1" applyBorder="1" applyAlignment="1">
      <alignment vertical="center"/>
    </xf>
    <xf numFmtId="3" fontId="34" fillId="0" borderId="4" xfId="13" applyNumberFormat="1" applyFont="1" applyBorder="1" applyAlignment="1">
      <alignment vertical="center"/>
    </xf>
    <xf numFmtId="3" fontId="34" fillId="0" borderId="6" xfId="13" applyNumberFormat="1" applyFont="1" applyBorder="1" applyAlignment="1">
      <alignment vertical="center"/>
    </xf>
    <xf numFmtId="0" fontId="18" fillId="0" borderId="2" xfId="16" applyFont="1" applyFill="1" applyBorder="1" applyAlignment="1">
      <alignment horizontal="center"/>
    </xf>
    <xf numFmtId="167" fontId="24" fillId="0" borderId="0" xfId="12" applyNumberFormat="1" applyFont="1" applyFill="1" applyBorder="1"/>
    <xf numFmtId="167" fontId="61" fillId="0" borderId="0" xfId="12" applyNumberFormat="1" applyFont="1" applyFill="1" applyBorder="1"/>
    <xf numFmtId="167" fontId="21" fillId="0" borderId="0" xfId="12" applyNumberFormat="1" applyFont="1" applyFill="1" applyBorder="1"/>
    <xf numFmtId="167" fontId="20" fillId="0" borderId="0" xfId="12" applyNumberFormat="1" applyFont="1" applyFill="1" applyBorder="1" applyAlignment="1">
      <alignment vertical="center"/>
    </xf>
    <xf numFmtId="167" fontId="20" fillId="0" borderId="0" xfId="12" applyNumberFormat="1" applyFont="1" applyFill="1" applyBorder="1"/>
    <xf numFmtId="167" fontId="21" fillId="0" borderId="2" xfId="12" applyNumberFormat="1" applyFont="1" applyFill="1" applyBorder="1" applyAlignment="1">
      <alignment vertical="center" wrapText="1"/>
    </xf>
    <xf numFmtId="167" fontId="20" fillId="0" borderId="2" xfId="12" applyNumberFormat="1" applyFont="1" applyFill="1" applyBorder="1" applyAlignment="1">
      <alignment vertical="center"/>
    </xf>
    <xf numFmtId="0" fontId="74" fillId="0" borderId="0" xfId="4" quotePrefix="1" applyFont="1" applyFill="1" applyAlignment="1"/>
    <xf numFmtId="0" fontId="74" fillId="0" borderId="0" xfId="4" quotePrefix="1" applyFont="1" applyFill="1" applyAlignment="1">
      <alignment horizontal="center" vertical="center"/>
    </xf>
    <xf numFmtId="0" fontId="74" fillId="0" borderId="0" xfId="4" quotePrefix="1" applyFont="1" applyFill="1" applyAlignment="1">
      <alignment horizontal="center"/>
    </xf>
    <xf numFmtId="3" fontId="33" fillId="0" borderId="2" xfId="16" applyNumberFormat="1" applyFont="1" applyFill="1" applyBorder="1" applyAlignment="1">
      <alignment horizontal="right" vertical="center" wrapText="1"/>
    </xf>
    <xf numFmtId="0" fontId="16" fillId="0" borderId="0" xfId="4" applyFont="1" applyFill="1" applyAlignment="1">
      <alignment horizontal="right" wrapText="1"/>
    </xf>
    <xf numFmtId="0" fontId="34" fillId="0" borderId="2" xfId="4" applyFont="1" applyFill="1" applyBorder="1" applyAlignment="1">
      <alignment horizontal="right" vertical="center" wrapText="1"/>
    </xf>
    <xf numFmtId="0" fontId="18" fillId="0" borderId="2" xfId="4" applyNumberFormat="1" applyFont="1" applyFill="1" applyBorder="1" applyAlignment="1">
      <alignment vertical="center" wrapText="1"/>
    </xf>
    <xf numFmtId="0" fontId="18" fillId="0" borderId="2" xfId="16" applyNumberFormat="1" applyFont="1" applyFill="1" applyBorder="1" applyAlignment="1">
      <alignment vertical="center" wrapText="1"/>
    </xf>
    <xf numFmtId="0" fontId="16" fillId="0" borderId="0" xfId="35" applyFont="1" applyAlignment="1">
      <alignment horizontal="right" wrapText="1"/>
    </xf>
    <xf numFmtId="0" fontId="18" fillId="0" borderId="0" xfId="35" applyFont="1" applyAlignment="1">
      <alignment horizontal="right" wrapText="1"/>
    </xf>
    <xf numFmtId="0" fontId="21" fillId="0" borderId="2" xfId="4" applyFont="1" applyBorder="1" applyAlignment="1">
      <alignment horizontal="right" vertical="center" wrapText="1"/>
    </xf>
    <xf numFmtId="0" fontId="34" fillId="0" borderId="2" xfId="4" applyFont="1" applyBorder="1" applyAlignment="1">
      <alignment horizontal="right" vertical="center" wrapText="1"/>
    </xf>
    <xf numFmtId="0" fontId="18" fillId="0" borderId="0" xfId="4" applyFont="1" applyAlignment="1">
      <alignment horizontal="right" wrapText="1"/>
    </xf>
    <xf numFmtId="0" fontId="25" fillId="0" borderId="0" xfId="35" applyFont="1" applyAlignment="1">
      <alignment horizontal="right"/>
    </xf>
    <xf numFmtId="0" fontId="34" fillId="0" borderId="2" xfId="4" applyFont="1" applyFill="1" applyBorder="1" applyAlignment="1">
      <alignment horizontal="right" vertical="center"/>
    </xf>
    <xf numFmtId="0" fontId="73" fillId="0" borderId="0" xfId="16" applyFont="1" applyAlignment="1">
      <alignment horizontal="right"/>
    </xf>
    <xf numFmtId="0" fontId="16" fillId="0" borderId="0" xfId="35" applyFont="1" applyAlignment="1">
      <alignment horizontal="right"/>
    </xf>
    <xf numFmtId="0" fontId="18" fillId="0" borderId="0" xfId="35" applyFont="1" applyAlignment="1">
      <alignment horizontal="right"/>
    </xf>
    <xf numFmtId="0" fontId="18" fillId="0" borderId="2" xfId="35" applyFont="1" applyBorder="1" applyAlignment="1">
      <alignment horizontal="right" vertical="center"/>
    </xf>
    <xf numFmtId="3" fontId="18" fillId="0" borderId="2" xfId="35" applyNumberFormat="1" applyFont="1" applyBorder="1" applyAlignment="1">
      <alignment horizontal="right" vertical="center" wrapText="1"/>
    </xf>
    <xf numFmtId="0" fontId="1" fillId="0" borderId="0" xfId="35" applyAlignment="1">
      <alignment horizontal="right"/>
    </xf>
    <xf numFmtId="0" fontId="18" fillId="0" borderId="2" xfId="35" applyNumberFormat="1" applyFont="1" applyBorder="1" applyAlignment="1">
      <alignment vertical="center" wrapText="1"/>
    </xf>
    <xf numFmtId="0" fontId="16" fillId="0" borderId="0" xfId="16" applyFont="1" applyAlignment="1">
      <alignment horizontal="right"/>
    </xf>
    <xf numFmtId="0" fontId="18" fillId="0" borderId="0" xfId="16" applyFont="1" applyAlignment="1">
      <alignment horizontal="right"/>
    </xf>
    <xf numFmtId="0" fontId="18" fillId="0" borderId="2" xfId="16" applyNumberFormat="1" applyFont="1" applyBorder="1" applyAlignment="1">
      <alignment vertical="center" wrapText="1"/>
    </xf>
    <xf numFmtId="0" fontId="34" fillId="0" borderId="2" xfId="4" applyNumberFormat="1" applyFont="1" applyFill="1" applyBorder="1" applyAlignment="1">
      <alignment vertical="center" wrapText="1"/>
    </xf>
    <xf numFmtId="166" fontId="34" fillId="0" borderId="0" xfId="10" applyNumberFormat="1" applyFont="1" applyFill="1" applyAlignment="1">
      <alignment vertical="center" wrapText="1"/>
    </xf>
    <xf numFmtId="0" fontId="34" fillId="0" borderId="2" xfId="16" applyNumberFormat="1" applyFont="1" applyFill="1" applyBorder="1" applyAlignment="1">
      <alignment vertical="center" wrapText="1"/>
    </xf>
    <xf numFmtId="166" fontId="34" fillId="0" borderId="0" xfId="16" applyNumberFormat="1" applyFont="1" applyFill="1" applyAlignment="1">
      <alignment vertical="center" wrapText="1"/>
    </xf>
    <xf numFmtId="166" fontId="62" fillId="0" borderId="0" xfId="16" applyNumberFormat="1" applyFont="1" applyFill="1"/>
    <xf numFmtId="0" fontId="35" fillId="0" borderId="0" xfId="16" applyFont="1" applyFill="1" applyAlignment="1">
      <alignment vertical="center" wrapText="1"/>
    </xf>
    <xf numFmtId="0" fontId="62" fillId="0" borderId="0" xfId="35" applyFont="1" applyAlignment="1"/>
    <xf numFmtId="3" fontId="62" fillId="0" borderId="0" xfId="35" applyNumberFormat="1" applyFont="1" applyAlignment="1"/>
    <xf numFmtId="0" fontId="62" fillId="0" borderId="0" xfId="35" applyFont="1" applyFill="1" applyAlignment="1"/>
    <xf numFmtId="0" fontId="34" fillId="0" borderId="2" xfId="35" applyFont="1" applyBorder="1" applyAlignment="1">
      <alignment vertical="center" wrapText="1"/>
    </xf>
    <xf numFmtId="3" fontId="34" fillId="0" borderId="2" xfId="35" applyNumberFormat="1" applyFont="1" applyBorder="1" applyAlignment="1">
      <alignment vertical="center" wrapText="1"/>
    </xf>
    <xf numFmtId="3" fontId="34" fillId="0" borderId="2" xfId="35" applyNumberFormat="1" applyFont="1" applyBorder="1" applyAlignment="1">
      <alignment horizontal="right" vertical="center" wrapText="1"/>
    </xf>
    <xf numFmtId="0" fontId="34" fillId="0" borderId="2" xfId="35" applyNumberFormat="1" applyFont="1" applyBorder="1" applyAlignment="1">
      <alignment vertical="center" wrapText="1"/>
    </xf>
    <xf numFmtId="0" fontId="34" fillId="0" borderId="0" xfId="35" applyFont="1" applyAlignment="1"/>
    <xf numFmtId="0" fontId="34" fillId="0" borderId="0" xfId="35" applyFont="1"/>
    <xf numFmtId="0" fontId="34" fillId="0" borderId="0" xfId="35" applyFont="1" applyAlignment="1">
      <alignment vertical="center" wrapText="1"/>
    </xf>
    <xf numFmtId="0" fontId="17" fillId="0" borderId="2" xfId="35" applyFont="1" applyBorder="1" applyAlignment="1">
      <alignment vertical="center" wrapText="1"/>
    </xf>
    <xf numFmtId="3" fontId="17" fillId="0" borderId="2" xfId="35" applyNumberFormat="1" applyFont="1" applyBorder="1" applyAlignment="1">
      <alignment vertical="center" wrapText="1"/>
    </xf>
    <xf numFmtId="0" fontId="17" fillId="0" borderId="2" xfId="35" applyNumberFormat="1" applyFont="1" applyBorder="1" applyAlignment="1">
      <alignment vertical="center" wrapText="1"/>
    </xf>
    <xf numFmtId="0" fontId="17" fillId="0" borderId="0" xfId="4" applyFont="1" applyFill="1" applyAlignment="1">
      <alignment wrapText="1"/>
    </xf>
    <xf numFmtId="3" fontId="17" fillId="0" borderId="0" xfId="4" applyNumberFormat="1" applyFont="1" applyFill="1" applyAlignment="1">
      <alignment wrapText="1"/>
    </xf>
    <xf numFmtId="0" fontId="30" fillId="0" borderId="0" xfId="35" applyFont="1"/>
    <xf numFmtId="0" fontId="17" fillId="0" borderId="0" xfId="35" applyFont="1" applyAlignment="1"/>
    <xf numFmtId="0" fontId="17" fillId="0" borderId="0" xfId="35" applyFont="1"/>
    <xf numFmtId="164" fontId="17" fillId="0" borderId="0" xfId="35" applyNumberFormat="1" applyFont="1" applyAlignment="1"/>
    <xf numFmtId="0" fontId="17" fillId="0" borderId="0" xfId="35" applyFont="1" applyAlignment="1">
      <alignment vertical="center" wrapText="1"/>
    </xf>
    <xf numFmtId="0" fontId="56" fillId="0" borderId="0" xfId="30" applyFont="1" applyAlignment="1">
      <alignment horizontal="right" vertical="center" readingOrder="2"/>
    </xf>
    <xf numFmtId="0" fontId="40" fillId="0" borderId="0" xfId="30" applyFont="1" applyAlignment="1">
      <alignment vertical="center" readingOrder="2"/>
    </xf>
    <xf numFmtId="0" fontId="53" fillId="0" borderId="0" xfId="22" applyFont="1" applyAlignment="1">
      <alignment horizontal="right" vertical="center" readingOrder="2"/>
    </xf>
    <xf numFmtId="0" fontId="16" fillId="0" borderId="0" xfId="16" applyNumberFormat="1" applyFont="1" applyFill="1"/>
    <xf numFmtId="0" fontId="18" fillId="0" borderId="0" xfId="16" applyNumberFormat="1" applyFont="1" applyFill="1"/>
    <xf numFmtId="0" fontId="17" fillId="0" borderId="2" xfId="4" applyNumberFormat="1" applyFont="1" applyFill="1" applyBorder="1" applyAlignment="1">
      <alignment horizontal="right" vertical="center" wrapText="1"/>
    </xf>
    <xf numFmtId="3" fontId="56" fillId="0" borderId="3" xfId="22" applyNumberFormat="1" applyFont="1" applyBorder="1" applyAlignment="1">
      <alignment horizontal="center" vertical="center" readingOrder="2"/>
    </xf>
    <xf numFmtId="0" fontId="73" fillId="0" borderId="0" xfId="16" applyFont="1" applyAlignment="1">
      <alignment horizontal="right" wrapText="1"/>
    </xf>
    <xf numFmtId="0" fontId="21" fillId="0" borderId="0" xfId="4" applyNumberFormat="1" applyFont="1" applyFill="1" applyBorder="1" applyAlignment="1">
      <alignment vertical="center" wrapText="1"/>
    </xf>
    <xf numFmtId="0" fontId="33" fillId="0" borderId="2" xfId="16" applyFont="1" applyBorder="1" applyAlignment="1">
      <alignment horizontal="right" vertical="center" wrapText="1"/>
    </xf>
    <xf numFmtId="0" fontId="33" fillId="0" borderId="2" xfId="16" applyFont="1" applyBorder="1" applyAlignment="1">
      <alignment vertical="center" wrapText="1"/>
    </xf>
    <xf numFmtId="3" fontId="33" fillId="0" borderId="2" xfId="4" applyNumberFormat="1" applyFont="1" applyBorder="1" applyAlignment="1">
      <alignment horizontal="right" vertical="center" wrapText="1"/>
    </xf>
    <xf numFmtId="9" fontId="53" fillId="0" borderId="0" xfId="9" applyFont="1" applyBorder="1" applyAlignment="1">
      <alignment horizontal="right" vertical="center" readingOrder="2"/>
    </xf>
    <xf numFmtId="0" fontId="25" fillId="0" borderId="0" xfId="16" applyFont="1" applyFill="1" applyAlignment="1">
      <alignment horizontal="right"/>
    </xf>
    <xf numFmtId="0" fontId="18" fillId="0" borderId="0" xfId="4" applyFont="1" applyFill="1" applyBorder="1" applyAlignment="1">
      <alignment horizontal="right"/>
    </xf>
    <xf numFmtId="0" fontId="25" fillId="0" borderId="0" xfId="16" applyNumberFormat="1" applyFont="1" applyFill="1" applyAlignment="1"/>
    <xf numFmtId="0" fontId="25" fillId="0" borderId="0" xfId="16" applyFont="1" applyFill="1" applyAlignment="1">
      <alignment horizontal="right" wrapText="1"/>
    </xf>
    <xf numFmtId="0" fontId="18" fillId="0" borderId="0" xfId="16" applyFont="1" applyFill="1" applyBorder="1" applyAlignment="1">
      <alignment horizontal="right" wrapText="1"/>
    </xf>
    <xf numFmtId="0" fontId="18" fillId="0" borderId="0" xfId="16" applyNumberFormat="1" applyFont="1" applyFill="1" applyAlignment="1">
      <alignment vertical="center"/>
    </xf>
    <xf numFmtId="0" fontId="17" fillId="0" borderId="2" xfId="16" applyNumberFormat="1" applyFont="1" applyFill="1" applyBorder="1" applyAlignment="1">
      <alignment horizontal="right" vertical="center" wrapText="1"/>
    </xf>
    <xf numFmtId="0" fontId="17" fillId="0" borderId="2" xfId="16" applyNumberFormat="1" applyFont="1" applyFill="1" applyBorder="1" applyAlignment="1">
      <alignment vertical="center"/>
    </xf>
    <xf numFmtId="0" fontId="18" fillId="0" borderId="0" xfId="16" applyNumberFormat="1" applyFont="1" applyFill="1" applyAlignment="1">
      <alignment vertical="center" wrapText="1"/>
    </xf>
    <xf numFmtId="3" fontId="56" fillId="0" borderId="19" xfId="22" applyNumberFormat="1" applyFont="1" applyBorder="1" applyAlignment="1">
      <alignment horizontal="center" vertical="center" readingOrder="2"/>
    </xf>
    <xf numFmtId="0" fontId="16" fillId="0" borderId="0" xfId="4" applyNumberFormat="1" applyFont="1" applyFill="1" applyAlignment="1"/>
    <xf numFmtId="0" fontId="33" fillId="0" borderId="2" xfId="4" applyNumberFormat="1" applyFont="1" applyFill="1" applyBorder="1" applyAlignment="1">
      <alignment vertical="center" wrapText="1"/>
    </xf>
    <xf numFmtId="0" fontId="18" fillId="0" borderId="0" xfId="4" applyNumberFormat="1" applyFont="1" applyFill="1" applyAlignment="1"/>
    <xf numFmtId="0" fontId="17" fillId="0" borderId="2" xfId="4" applyNumberFormat="1" applyFont="1" applyFill="1" applyBorder="1" applyAlignment="1">
      <alignment vertical="center" wrapText="1"/>
    </xf>
    <xf numFmtId="0" fontId="34" fillId="0" borderId="2" xfId="16" applyFont="1" applyFill="1" applyBorder="1" applyAlignment="1">
      <alignment horizontal="right" vertical="center" wrapText="1"/>
    </xf>
    <xf numFmtId="0" fontId="34" fillId="0" borderId="2" xfId="16" applyNumberFormat="1" applyFont="1" applyFill="1" applyBorder="1" applyAlignment="1">
      <alignment vertical="center"/>
    </xf>
    <xf numFmtId="0" fontId="25" fillId="0" borderId="0" xfId="35" applyNumberFormat="1" applyFont="1"/>
    <xf numFmtId="0" fontId="17" fillId="0" borderId="2" xfId="4" applyNumberFormat="1" applyFont="1" applyBorder="1" applyAlignment="1">
      <alignment horizontal="right" vertical="center" wrapText="1"/>
    </xf>
    <xf numFmtId="0" fontId="21" fillId="0" borderId="2" xfId="4" applyNumberFormat="1" applyFont="1" applyBorder="1" applyAlignment="1">
      <alignment vertical="center" wrapText="1"/>
    </xf>
    <xf numFmtId="0" fontId="34" fillId="0" borderId="2" xfId="4" applyNumberFormat="1" applyFont="1" applyBorder="1" applyAlignment="1">
      <alignment vertical="center" wrapText="1"/>
    </xf>
    <xf numFmtId="0" fontId="18" fillId="0" borderId="0" xfId="4" applyNumberFormat="1" applyFont="1"/>
    <xf numFmtId="0" fontId="25" fillId="0" borderId="0" xfId="35" applyFont="1" applyAlignment="1">
      <alignment horizontal="right" wrapText="1"/>
    </xf>
    <xf numFmtId="0" fontId="25" fillId="0" borderId="0" xfId="35" applyNumberFormat="1" applyFont="1" applyAlignment="1"/>
    <xf numFmtId="0" fontId="34" fillId="0" borderId="2" xfId="4" applyNumberFormat="1" applyFont="1" applyFill="1" applyBorder="1" applyAlignment="1">
      <alignment vertical="center"/>
    </xf>
    <xf numFmtId="0" fontId="21" fillId="0" borderId="0" xfId="4" applyFont="1" applyFill="1" applyBorder="1" applyAlignment="1">
      <alignment horizontal="right" vertical="center" wrapText="1"/>
    </xf>
    <xf numFmtId="0" fontId="18" fillId="0" borderId="2" xfId="35" applyFont="1" applyBorder="1" applyAlignment="1">
      <alignment horizontal="right" vertical="center" wrapText="1"/>
    </xf>
    <xf numFmtId="0" fontId="17" fillId="0" borderId="2" xfId="35" applyFont="1" applyBorder="1" applyAlignment="1">
      <alignment horizontal="right" vertical="center" wrapText="1"/>
    </xf>
    <xf numFmtId="0" fontId="34" fillId="0" borderId="2" xfId="35" applyFont="1" applyBorder="1" applyAlignment="1">
      <alignment horizontal="right" vertical="center" wrapText="1"/>
    </xf>
    <xf numFmtId="0" fontId="17" fillId="0" borderId="2" xfId="35" applyFont="1" applyFill="1" applyBorder="1" applyAlignment="1">
      <alignment horizontal="right" vertical="center" wrapText="1"/>
    </xf>
    <xf numFmtId="0" fontId="17" fillId="0" borderId="2" xfId="35" applyNumberFormat="1" applyFont="1" applyBorder="1" applyAlignment="1">
      <alignment horizontal="right" vertical="center" wrapText="1"/>
    </xf>
    <xf numFmtId="0" fontId="34" fillId="0" borderId="2" xfId="4" quotePrefix="1" applyNumberFormat="1" applyFont="1" applyFill="1" applyBorder="1" applyAlignment="1">
      <alignment vertical="center" wrapText="1"/>
    </xf>
    <xf numFmtId="0" fontId="18" fillId="0" borderId="0" xfId="35" applyNumberFormat="1" applyFont="1"/>
    <xf numFmtId="0" fontId="1" fillId="0" borderId="0" xfId="35" applyNumberFormat="1"/>
    <xf numFmtId="0" fontId="25" fillId="0" borderId="0" xfId="16" applyFont="1" applyAlignment="1">
      <alignment horizontal="right"/>
    </xf>
    <xf numFmtId="0" fontId="25" fillId="0" borderId="0" xfId="16" applyNumberFormat="1" applyFont="1" applyAlignment="1"/>
    <xf numFmtId="0" fontId="17" fillId="0" borderId="2" xfId="16" applyNumberFormat="1" applyFont="1" applyBorder="1" applyAlignment="1">
      <alignment horizontal="right" vertical="center" wrapText="1"/>
    </xf>
    <xf numFmtId="0" fontId="17" fillId="0" borderId="2" xfId="16" applyNumberFormat="1" applyFont="1" applyBorder="1" applyAlignment="1">
      <alignment vertical="center" wrapText="1"/>
    </xf>
    <xf numFmtId="0" fontId="18" fillId="0" borderId="0" xfId="16" applyNumberFormat="1" applyFont="1"/>
    <xf numFmtId="0" fontId="16" fillId="0" borderId="2" xfId="16" applyFont="1" applyBorder="1" applyAlignment="1">
      <alignment vertical="center"/>
    </xf>
    <xf numFmtId="0" fontId="38" fillId="0" borderId="0" xfId="16" applyFont="1" applyAlignment="1">
      <alignment horizontal="center"/>
    </xf>
    <xf numFmtId="3" fontId="20" fillId="0" borderId="27" xfId="16" applyNumberFormat="1" applyFont="1" applyBorder="1" applyAlignment="1">
      <alignment horizontal="center"/>
    </xf>
    <xf numFmtId="3" fontId="20" fillId="0" borderId="29" xfId="16" applyNumberFormat="1" applyFont="1" applyBorder="1" applyAlignment="1">
      <alignment horizontal="center"/>
    </xf>
    <xf numFmtId="3" fontId="20" fillId="0" borderId="23" xfId="16" applyNumberFormat="1" applyFont="1" applyBorder="1" applyAlignment="1">
      <alignment horizontal="center"/>
    </xf>
    <xf numFmtId="0" fontId="21" fillId="0" borderId="2" xfId="4" applyFont="1" applyFill="1" applyBorder="1" applyAlignment="1">
      <alignment horizontal="center" vertical="center"/>
    </xf>
    <xf numFmtId="0" fontId="21" fillId="0" borderId="10" xfId="4" applyFont="1" applyFill="1" applyBorder="1" applyAlignment="1">
      <alignment horizontal="center" vertical="center"/>
    </xf>
    <xf numFmtId="3" fontId="40" fillId="0" borderId="4" xfId="22" applyNumberFormat="1" applyFont="1" applyBorder="1" applyAlignment="1">
      <alignment horizontal="center" vertical="center" readingOrder="2"/>
    </xf>
    <xf numFmtId="3" fontId="40" fillId="0" borderId="5" xfId="22" applyNumberFormat="1" applyFont="1" applyBorder="1" applyAlignment="1">
      <alignment horizontal="center" vertical="center" readingOrder="2"/>
    </xf>
    <xf numFmtId="3" fontId="40" fillId="0" borderId="6" xfId="22" applyNumberFormat="1" applyFont="1" applyBorder="1" applyAlignment="1">
      <alignment horizontal="center" vertical="center" readingOrder="2"/>
    </xf>
    <xf numFmtId="3" fontId="42" fillId="0" borderId="42" xfId="22" applyNumberFormat="1" applyFont="1" applyBorder="1" applyAlignment="1">
      <alignment horizontal="center" vertical="center" readingOrder="2"/>
    </xf>
    <xf numFmtId="3" fontId="42" fillId="0" borderId="38" xfId="22" applyNumberFormat="1" applyFont="1" applyBorder="1" applyAlignment="1">
      <alignment horizontal="center" vertical="center" readingOrder="2"/>
    </xf>
    <xf numFmtId="3" fontId="42" fillId="0" borderId="25" xfId="22" applyNumberFormat="1" applyFont="1" applyBorder="1" applyAlignment="1">
      <alignment horizontal="center" vertical="center" readingOrder="2"/>
    </xf>
    <xf numFmtId="0" fontId="42" fillId="0" borderId="27" xfId="22" applyFont="1" applyBorder="1" applyAlignment="1">
      <alignment vertical="center" readingOrder="2"/>
    </xf>
    <xf numFmtId="0" fontId="42" fillId="0" borderId="41" xfId="22" applyFont="1" applyBorder="1" applyAlignment="1">
      <alignment vertical="center" readingOrder="2"/>
    </xf>
    <xf numFmtId="0" fontId="56" fillId="0" borderId="28" xfId="22" applyFont="1" applyBorder="1" applyAlignment="1">
      <alignment vertical="center" readingOrder="2"/>
    </xf>
    <xf numFmtId="0" fontId="56" fillId="0" borderId="6" xfId="22" applyFont="1" applyBorder="1" applyAlignment="1">
      <alignment vertical="center" readingOrder="2"/>
    </xf>
    <xf numFmtId="0" fontId="56" fillId="0" borderId="45" xfId="22" applyFont="1" applyBorder="1" applyAlignment="1">
      <alignment vertical="center" readingOrder="2"/>
    </xf>
    <xf numFmtId="0" fontId="56" fillId="0" borderId="25" xfId="22" applyFont="1" applyBorder="1" applyAlignment="1">
      <alignment vertical="center" readingOrder="2"/>
    </xf>
    <xf numFmtId="0" fontId="42" fillId="0" borderId="40" xfId="22" applyFont="1" applyBorder="1" applyAlignment="1">
      <alignment horizontal="center" vertical="center" readingOrder="2"/>
    </xf>
    <xf numFmtId="0" fontId="42" fillId="0" borderId="29" xfId="22" applyFont="1" applyBorder="1" applyAlignment="1">
      <alignment horizontal="center" vertical="center" readingOrder="2"/>
    </xf>
    <xf numFmtId="0" fontId="42" fillId="0" borderId="41" xfId="22" applyFont="1" applyBorder="1" applyAlignment="1">
      <alignment horizontal="center" vertical="center" readingOrder="2"/>
    </xf>
    <xf numFmtId="0" fontId="25" fillId="0" borderId="0" xfId="16" applyFont="1" applyFill="1" applyAlignment="1">
      <alignment horizontal="center"/>
    </xf>
    <xf numFmtId="3" fontId="34" fillId="0" borderId="4" xfId="13" applyNumberFormat="1" applyFont="1" applyBorder="1" applyAlignment="1">
      <alignment horizontal="center" vertical="center"/>
    </xf>
    <xf numFmtId="3" fontId="34" fillId="0" borderId="5" xfId="13" applyNumberFormat="1" applyFont="1" applyBorder="1" applyAlignment="1">
      <alignment horizontal="center" vertical="center"/>
    </xf>
    <xf numFmtId="3" fontId="34" fillId="0" borderId="6" xfId="13" applyNumberFormat="1" applyFont="1" applyBorder="1" applyAlignment="1">
      <alignment horizontal="center" vertical="center"/>
    </xf>
    <xf numFmtId="0" fontId="34" fillId="0" borderId="4" xfId="4" applyFont="1" applyFill="1" applyBorder="1" applyAlignment="1">
      <alignment horizontal="center"/>
    </xf>
    <xf numFmtId="0" fontId="34" fillId="0" borderId="5" xfId="4" applyFont="1" applyFill="1" applyBorder="1" applyAlignment="1">
      <alignment horizontal="center"/>
    </xf>
    <xf numFmtId="0" fontId="34" fillId="0" borderId="6" xfId="4" applyFont="1" applyFill="1" applyBorder="1" applyAlignment="1">
      <alignment horizontal="center"/>
    </xf>
    <xf numFmtId="3" fontId="34" fillId="0" borderId="2" xfId="13" applyNumberFormat="1" applyFont="1" applyBorder="1" applyAlignment="1">
      <alignment horizontal="center" vertical="center"/>
    </xf>
    <xf numFmtId="3" fontId="34" fillId="0" borderId="4" xfId="4" applyNumberFormat="1" applyFont="1" applyFill="1" applyBorder="1" applyAlignment="1">
      <alignment horizontal="center" vertical="center"/>
    </xf>
    <xf numFmtId="3" fontId="34" fillId="0" borderId="5" xfId="4" applyNumberFormat="1" applyFont="1" applyFill="1" applyBorder="1" applyAlignment="1">
      <alignment horizontal="center" vertical="center"/>
    </xf>
    <xf numFmtId="3" fontId="34" fillId="0" borderId="6" xfId="4" applyNumberFormat="1" applyFont="1" applyFill="1" applyBorder="1" applyAlignment="1">
      <alignment horizontal="center" vertical="center"/>
    </xf>
    <xf numFmtId="0" fontId="18" fillId="0" borderId="2" xfId="16" applyFont="1" applyFill="1" applyBorder="1" applyAlignment="1">
      <alignment horizontal="center"/>
    </xf>
    <xf numFmtId="3" fontId="34" fillId="0" borderId="2" xfId="4" applyNumberFormat="1" applyFont="1" applyFill="1" applyBorder="1" applyAlignment="1">
      <alignment horizontal="center" vertical="center"/>
    </xf>
    <xf numFmtId="0" fontId="18" fillId="0" borderId="2" xfId="4" applyFont="1" applyFill="1" applyBorder="1" applyAlignment="1">
      <alignment horizontal="center"/>
    </xf>
    <xf numFmtId="0" fontId="18" fillId="0" borderId="4" xfId="4" applyFont="1" applyFill="1" applyBorder="1" applyAlignment="1">
      <alignment horizontal="center"/>
    </xf>
    <xf numFmtId="0" fontId="18" fillId="0" borderId="5" xfId="4" applyFont="1" applyFill="1" applyBorder="1" applyAlignment="1">
      <alignment horizontal="center"/>
    </xf>
    <xf numFmtId="0" fontId="18" fillId="0" borderId="6" xfId="4" applyFont="1" applyFill="1" applyBorder="1" applyAlignment="1">
      <alignment horizontal="center"/>
    </xf>
    <xf numFmtId="0" fontId="18" fillId="0" borderId="4" xfId="16" applyFont="1" applyBorder="1" applyAlignment="1">
      <alignment horizontal="center"/>
    </xf>
    <xf numFmtId="0" fontId="18" fillId="0" borderId="5" xfId="16" applyFont="1" applyBorder="1" applyAlignment="1">
      <alignment horizontal="center"/>
    </xf>
    <xf numFmtId="0" fontId="18" fillId="0" borderId="6" xfId="16" applyFont="1" applyBorder="1" applyAlignment="1">
      <alignment horizontal="center"/>
    </xf>
    <xf numFmtId="0" fontId="18" fillId="0" borderId="4" xfId="16" applyFont="1" applyFill="1" applyBorder="1" applyAlignment="1">
      <alignment horizontal="center"/>
    </xf>
    <xf numFmtId="0" fontId="18" fillId="0" borderId="5" xfId="16" applyFont="1" applyFill="1" applyBorder="1" applyAlignment="1">
      <alignment horizontal="center"/>
    </xf>
    <xf numFmtId="0" fontId="18" fillId="0" borderId="6" xfId="16" applyFont="1" applyFill="1" applyBorder="1" applyAlignment="1">
      <alignment horizontal="center"/>
    </xf>
    <xf numFmtId="0" fontId="21" fillId="0" borderId="15" xfId="16" applyFont="1" applyBorder="1" applyAlignment="1">
      <alignment horizontal="center"/>
    </xf>
    <xf numFmtId="0" fontId="21" fillId="0" borderId="40" xfId="16" applyFont="1" applyBorder="1" applyAlignment="1">
      <alignment horizontal="center"/>
    </xf>
    <xf numFmtId="0" fontId="21" fillId="0" borderId="29" xfId="16" applyFont="1" applyBorder="1" applyAlignment="1">
      <alignment horizontal="center"/>
    </xf>
    <xf numFmtId="0" fontId="21" fillId="0" borderId="41" xfId="16" applyFont="1" applyBorder="1" applyAlignment="1">
      <alignment horizontal="center"/>
    </xf>
    <xf numFmtId="0" fontId="34" fillId="0" borderId="40" xfId="4" applyFont="1" applyFill="1" applyBorder="1" applyAlignment="1">
      <alignment horizontal="center"/>
    </xf>
    <xf numFmtId="0" fontId="34" fillId="0" borderId="29" xfId="4" applyFont="1" applyFill="1" applyBorder="1" applyAlignment="1">
      <alignment horizontal="center"/>
    </xf>
    <xf numFmtId="0" fontId="34" fillId="0" borderId="23" xfId="4" applyFont="1" applyFill="1" applyBorder="1" applyAlignment="1">
      <alignment horizontal="center"/>
    </xf>
  </cellXfs>
  <cellStyles count="37">
    <cellStyle name="Comma" xfId="12" builtinId="3"/>
    <cellStyle name="Comma 2" xfId="10"/>
    <cellStyle name="Comma 3" xfId="14"/>
    <cellStyle name="Comma 3 2" xfId="18"/>
    <cellStyle name="Comma 3 3" xfId="21"/>
    <cellStyle name="Comma 3 4" xfId="23"/>
    <cellStyle name="Comma 4" xfId="36"/>
    <cellStyle name="Normal" xfId="0" builtinId="0"/>
    <cellStyle name="Normal 2" xfId="1"/>
    <cellStyle name="Normal 2 2" xfId="5"/>
    <cellStyle name="Normal 2 2 2" xfId="19"/>
    <cellStyle name="Normal 2 3" xfId="16"/>
    <cellStyle name="Normal 2_ריכוז אגפים" xfId="6"/>
    <cellStyle name="Normal 3" xfId="2"/>
    <cellStyle name="Normal 4" xfId="4"/>
    <cellStyle name="Normal 5" xfId="11"/>
    <cellStyle name="Normal 5 2" xfId="15"/>
    <cellStyle name="Normal 5 2 2" xfId="28"/>
    <cellStyle name="Normal 5 3" xfId="26"/>
    <cellStyle name="Normal 5 3 2" xfId="31"/>
    <cellStyle name="Normal 5 3 2 2" xfId="33"/>
    <cellStyle name="Normal 5 3 3" xfId="32"/>
    <cellStyle name="Normal 5 3 4" xfId="34"/>
    <cellStyle name="Normal 5 3 5" xfId="35"/>
    <cellStyle name="Normal 5 4" xfId="29"/>
    <cellStyle name="Normal 6" xfId="13"/>
    <cellStyle name="Normal 6 2" xfId="17"/>
    <cellStyle name="Normal 6 3" xfId="20"/>
    <cellStyle name="Normal 6 4" xfId="22"/>
    <cellStyle name="Normal 6 4 2" xfId="30"/>
    <cellStyle name="Normal 7" xfId="24"/>
    <cellStyle name="Percent 2" xfId="9"/>
    <cellStyle name="Percent 3" xfId="25"/>
    <cellStyle name="Percent 4" xfId="27"/>
    <cellStyle name="הערה 2" xfId="3"/>
    <cellStyle name="הערה 2 2" xfId="7"/>
    <cellStyle name="הערה 2_ריכוז אגפים" xfId="8"/>
  </cellStyles>
  <dxfs count="3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he-IL" sz="1600" b="1" i="0" baseline="0">
              <a:effectLst/>
            </a:endParaRPr>
          </a:p>
          <a:p>
            <a:pPr>
              <a:defRPr/>
            </a:pPr>
            <a:r>
              <a:rPr lang="he-IL" sz="1800" b="1" i="0" u="sng" baseline="0">
                <a:effectLst/>
              </a:rPr>
              <a:t>תרשים לפי אגפים</a:t>
            </a:r>
            <a:endParaRPr lang="he-IL" u="sng">
              <a:effectLst/>
            </a:endParaRPr>
          </a:p>
          <a:p>
            <a:pPr>
              <a:defRPr/>
            </a:pPr>
            <a:r>
              <a:rPr lang="he-IL" sz="1800" b="1" i="0" u="sng" strike="noStrike" kern="1200" baseline="0">
                <a:solidFill>
                  <a:srgbClr val="000000"/>
                </a:solidFill>
                <a:effectLst/>
                <a:latin typeface="David"/>
                <a:ea typeface="David"/>
                <a:cs typeface="David"/>
              </a:rPr>
              <a:t>באלפי ש"ח </a:t>
            </a:r>
          </a:p>
        </c:rich>
      </c:tx>
      <c:overlay val="0"/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6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FC9-428D-8ACD-8C8983B618A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FC9-428D-8ACD-8C8983B618A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FC9-428D-8ACD-8C8983B618A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FC9-428D-8ACD-8C8983B618A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0FC9-428D-8ACD-8C8983B618A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0FC9-428D-8ACD-8C8983B618AE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0FC9-428D-8ACD-8C8983B618A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0FC9-428D-8ACD-8C8983B618A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0FC9-428D-8ACD-8C8983B618AE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0FC9-428D-8ACD-8C8983B618AE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0FC9-428D-8ACD-8C8983B618AE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5-0FC9-428D-8ACD-8C8983B618AE}"/>
              </c:ext>
            </c:extLst>
          </c:dPt>
          <c:dLbls>
            <c:dLbl>
              <c:idx val="0"/>
              <c:layout>
                <c:manualLayout>
                  <c:x val="9.4943964476002035E-2"/>
                  <c:y val="-6.136589705947773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C9-428D-8ACD-8C8983B618AE}"/>
                </c:ext>
              </c:extLst>
            </c:dLbl>
            <c:dLbl>
              <c:idx val="1"/>
              <c:layout>
                <c:manualLayout>
                  <c:x val="8.8061081299687594E-2"/>
                  <c:y val="2.380657502557943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C9-428D-8ACD-8C8983B618AE}"/>
                </c:ext>
              </c:extLst>
            </c:dLbl>
            <c:dLbl>
              <c:idx val="2"/>
              <c:layout>
                <c:manualLayout>
                  <c:x val="-5.1406291604853757E-2"/>
                  <c:y val="0.2564856087904266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C9-428D-8ACD-8C8983B618AE}"/>
                </c:ext>
              </c:extLst>
            </c:dLbl>
            <c:dLbl>
              <c:idx val="3"/>
              <c:layout>
                <c:manualLayout>
                  <c:x val="-9.8229351765811879E-2"/>
                  <c:y val="0.15674967747675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FC9-428D-8ACD-8C8983B618AE}"/>
                </c:ext>
              </c:extLst>
            </c:dLbl>
            <c:dLbl>
              <c:idx val="4"/>
              <c:layout>
                <c:manualLayout>
                  <c:x val="-0.10974950261517208"/>
                  <c:y val="7.27126651541438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FC9-428D-8ACD-8C8983B618AE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FC9-428D-8ACD-8C8983B618AE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FC9-428D-8ACD-8C8983B618AE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FC9-428D-8ACD-8C8983B618AE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FC9-428D-8ACD-8C8983B618AE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FC9-428D-8ACD-8C8983B618AE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FC9-428D-8ACD-8C8983B618A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2020  אגפים '!$C$8:$C$21</c:f>
              <c:strCache>
                <c:ptCount val="12"/>
                <c:pt idx="0">
                  <c:v>מינהל הנדסה</c:v>
                </c:pt>
                <c:pt idx="1">
                  <c:v>החברה לפיתוח הרצליה</c:v>
                </c:pt>
                <c:pt idx="2">
                  <c:v>אגף ת.ב.ל </c:v>
                </c:pt>
                <c:pt idx="3">
                  <c:v>אגף בטחון,פיקוח וסדר ציבורי</c:v>
                </c:pt>
                <c:pt idx="4">
                  <c:v>אגף חינוך </c:v>
                </c:pt>
                <c:pt idx="5">
                  <c:v>אגף ת.נ.ו.ס</c:v>
                </c:pt>
                <c:pt idx="6">
                  <c:v>אגף ש.א.י.פ.ה </c:v>
                </c:pt>
                <c:pt idx="7">
                  <c:v>רשות החופים</c:v>
                </c:pt>
                <c:pt idx="8">
                  <c:v>החברה לפיתוח התיירות</c:v>
                </c:pt>
                <c:pt idx="9">
                  <c:v>אגף תקשוב  ומערכות מידע</c:v>
                </c:pt>
                <c:pt idx="10">
                  <c:v>אגף נכסים וביטוח</c:v>
                </c:pt>
                <c:pt idx="11">
                  <c:v>כללי</c:v>
                </c:pt>
              </c:strCache>
            </c:strRef>
          </c:cat>
          <c:val>
            <c:numRef>
              <c:f>'תקציב 2020  אגפים '!$F$8:$F$21</c:f>
              <c:numCache>
                <c:formatCode>#,##0</c:formatCode>
                <c:ptCount val="12"/>
                <c:pt idx="0">
                  <c:v>32558.338</c:v>
                </c:pt>
                <c:pt idx="1">
                  <c:v>337850.033</c:v>
                </c:pt>
                <c:pt idx="2">
                  <c:v>54061.3</c:v>
                </c:pt>
                <c:pt idx="3">
                  <c:v>500</c:v>
                </c:pt>
                <c:pt idx="4">
                  <c:v>4995</c:v>
                </c:pt>
                <c:pt idx="5">
                  <c:v>3940.2289999999998</c:v>
                </c:pt>
                <c:pt idx="6">
                  <c:v>33192</c:v>
                </c:pt>
                <c:pt idx="7">
                  <c:v>1934.971</c:v>
                </c:pt>
                <c:pt idx="8">
                  <c:v>2015</c:v>
                </c:pt>
                <c:pt idx="9">
                  <c:v>13930</c:v>
                </c:pt>
                <c:pt idx="10">
                  <c:v>8924.2999999999993</c:v>
                </c:pt>
                <c:pt idx="11">
                  <c:v>8924.9549999999999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FC9-428D-8ACD-8C8983B61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lang="he-IL" sz="1400" b="1" i="0" u="none" strike="noStrike" baseline="0">
              <a:solidFill>
                <a:srgbClr val="000000"/>
              </a:solidFill>
              <a:cs typeface="David"/>
            </a:endParaRP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פרקים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 </a:t>
            </a:r>
          </a:p>
        </c:rich>
      </c:tx>
      <c:layout>
        <c:manualLayout>
          <c:xMode val="edge"/>
          <c:yMode val="edge"/>
          <c:x val="0.37130271759508326"/>
          <c:y val="2.937853107344632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BF8-4E2E-B767-4D583B83E45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BF8-4E2E-B767-4D583B83E45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BF8-4E2E-B767-4D583B83E45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BF8-4E2E-B767-4D583B83E45D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7BF8-4E2E-B767-4D583B83E45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7BF8-4E2E-B767-4D583B83E45D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7BF8-4E2E-B767-4D583B83E45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7BF8-4E2E-B767-4D583B83E45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7BF8-4E2E-B767-4D583B83E45D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7BF8-4E2E-B767-4D583B83E45D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7BF8-4E2E-B767-4D583B83E45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5-7BF8-4E2E-B767-4D583B83E45D}"/>
              </c:ext>
            </c:extLst>
          </c:dPt>
          <c:dLbls>
            <c:dLbl>
              <c:idx val="0"/>
              <c:layout>
                <c:manualLayout>
                  <c:x val="9.3338658754612197E-2"/>
                  <c:y val="2.38596022954758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F8-4E2E-B767-4D583B83E45D}"/>
                </c:ext>
              </c:extLst>
            </c:dLbl>
            <c:dLbl>
              <c:idx val="1"/>
              <c:layout>
                <c:manualLayout>
                  <c:x val="-6.4685392586796217E-3"/>
                  <c:y val="0.1512764802704746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F8-4E2E-B767-4D583B83E45D}"/>
                </c:ext>
              </c:extLst>
            </c:dLbl>
            <c:dLbl>
              <c:idx val="2"/>
              <c:layout>
                <c:manualLayout>
                  <c:x val="-0.12445335637393153"/>
                  <c:y val="4.615543396058543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F8-4E2E-B767-4D583B83E45D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7BF8-4E2E-B767-4D583B83E45D}"/>
                </c:ext>
              </c:extLst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7BF8-4E2E-B767-4D583B83E45D}"/>
                </c:ext>
              </c:extLst>
            </c:dLbl>
            <c:dLbl>
              <c:idx val="5"/>
              <c:layout>
                <c:manualLayout>
                  <c:x val="-0.16839199447895101"/>
                  <c:y val="-0.205898660972463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860593512767426"/>
                      <c:h val="7.45876595933982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7BF8-4E2E-B767-4D583B83E45D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C-7BF8-4E2E-B767-4D583B83E45D}"/>
                </c:ext>
              </c:extLst>
            </c:dLbl>
            <c:dLbl>
              <c:idx val="7"/>
              <c:layout>
                <c:manualLayout>
                  <c:x val="-0.15338213158137842"/>
                  <c:y val="0.24512478313092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BF8-4E2E-B767-4D583B83E45D}"/>
                </c:ext>
              </c:extLst>
            </c:dLbl>
            <c:dLbl>
              <c:idx val="8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0-7BF8-4E2E-B767-4D583B83E45D}"/>
                </c:ext>
              </c:extLst>
            </c:dLbl>
            <c:dLbl>
              <c:idx val="9"/>
              <c:layout>
                <c:manualLayout>
                  <c:x val="0.27422794976714865"/>
                  <c:y val="-0.196527959428800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BF8-4E2E-B767-4D583B83E45D}"/>
                </c:ext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4-7BF8-4E2E-B767-4D583B83E45D}"/>
                </c:ext>
              </c:extLst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5-7BF8-4E2E-B767-4D583B83E45D}"/>
                </c:ext>
              </c:extLst>
            </c:dLbl>
            <c:dLbl>
              <c:idx val="1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6-7BF8-4E2E-B767-4D583B83E45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2020 פרקים'!$C$8:$D$20</c:f>
              <c:strCache>
                <c:ptCount val="13"/>
                <c:pt idx="0">
                  <c:v>חינוך </c:v>
                </c:pt>
                <c:pt idx="1">
                  <c:v>נכסים ציבוריים</c:v>
                </c:pt>
                <c:pt idx="2">
                  <c:v>תרבות וספורט </c:v>
                </c:pt>
                <c:pt idx="3">
                  <c:v>תרבות הדיור </c:v>
                </c:pt>
                <c:pt idx="4">
                  <c:v>שרותים עירוניים שונים</c:v>
                </c:pt>
                <c:pt idx="5">
                  <c:v>תכנון בנין עיר</c:v>
                </c:pt>
                <c:pt idx="6">
                  <c:v>נכסים</c:v>
                </c:pt>
                <c:pt idx="7">
                  <c:v>איכות הסביבה</c:v>
                </c:pt>
                <c:pt idx="8">
                  <c:v>טיפול במרחב ציבורי</c:v>
                </c:pt>
                <c:pt idx="9">
                  <c:v>רווחה </c:v>
                </c:pt>
                <c:pt idx="10">
                  <c:v>חופים</c:v>
                </c:pt>
                <c:pt idx="11">
                  <c:v>מבני דת ציבוריים</c:v>
                </c:pt>
                <c:pt idx="12">
                  <c:v>מינהל כללי</c:v>
                </c:pt>
              </c:strCache>
            </c:strRef>
          </c:cat>
          <c:val>
            <c:numRef>
              <c:f>'תקציב 2020 פרקים'!$F$8:$F$20</c:f>
              <c:numCache>
                <c:formatCode>_ * #,##0_ ;_ * \-#,##0_ ;_ * "-"??_ ;_ @_ </c:formatCode>
                <c:ptCount val="13"/>
                <c:pt idx="0">
                  <c:v>213194.97099999999</c:v>
                </c:pt>
                <c:pt idx="1">
                  <c:v>153631.31700000001</c:v>
                </c:pt>
                <c:pt idx="2">
                  <c:v>53297.228999999999</c:v>
                </c:pt>
                <c:pt idx="3">
                  <c:v>17500</c:v>
                </c:pt>
                <c:pt idx="4">
                  <c:v>16600</c:v>
                </c:pt>
                <c:pt idx="5">
                  <c:v>16243.338</c:v>
                </c:pt>
                <c:pt idx="6">
                  <c:v>12524.3</c:v>
                </c:pt>
                <c:pt idx="7">
                  <c:v>10300</c:v>
                </c:pt>
                <c:pt idx="8">
                  <c:v>3600</c:v>
                </c:pt>
                <c:pt idx="9">
                  <c:v>2550</c:v>
                </c:pt>
                <c:pt idx="10">
                  <c:v>2234.971</c:v>
                </c:pt>
                <c:pt idx="11">
                  <c:v>1050</c:v>
                </c:pt>
                <c:pt idx="1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BF8-4E2E-B767-4D583B83E45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מקורות מימון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</a:t>
            </a:r>
          </a:p>
        </c:rich>
      </c:tx>
      <c:layout>
        <c:manualLayout>
          <c:xMode val="edge"/>
          <c:yMode val="edge"/>
          <c:x val="0.35059878384767124"/>
          <c:y val="5.197740112994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031-45EB-AB1E-17B6FDB2999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031-45EB-AB1E-17B6FDB2999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031-45EB-AB1E-17B6FDB2999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031-45EB-AB1E-17B6FDB29991}"/>
              </c:ext>
            </c:extLst>
          </c:dPt>
          <c:dLbls>
            <c:dLbl>
              <c:idx val="0"/>
              <c:layout>
                <c:manualLayout>
                  <c:x val="-2.7870755286024132E-2"/>
                  <c:y val="-0.3107374883224343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31-45EB-AB1E-17B6FDB29991}"/>
                </c:ext>
              </c:extLst>
            </c:dLbl>
            <c:dLbl>
              <c:idx val="1"/>
              <c:layout>
                <c:manualLayout>
                  <c:x val="8.6677993051698418E-2"/>
                  <c:y val="0.1349175995857660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31-45EB-AB1E-17B6FDB29991}"/>
                </c:ext>
              </c:extLst>
            </c:dLbl>
            <c:dLbl>
              <c:idx val="2"/>
              <c:layout>
                <c:manualLayout>
                  <c:x val="-0.13834564157741158"/>
                  <c:y val="9.072218515058498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31-45EB-AB1E-17B6FDB29991}"/>
                </c:ext>
              </c:extLst>
            </c:dLbl>
            <c:dLbl>
              <c:idx val="3"/>
              <c:layout>
                <c:manualLayout>
                  <c:x val="-0.24300234209854202"/>
                  <c:y val="-2.710796743627385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31-45EB-AB1E-17B6FDB29991}"/>
                </c:ext>
              </c:extLst>
            </c:dLbl>
            <c:dLbl>
              <c:idx val="4"/>
              <c:layout>
                <c:manualLayout>
                  <c:x val="-1.2225537025263146E-2"/>
                  <c:y val="-0.284349481738511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31-45EB-AB1E-17B6FDB29991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31-45EB-AB1E-17B6FDB29991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31-45EB-AB1E-17B6FDB29991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31-45EB-AB1E-17B6FDB29991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31-45EB-AB1E-17B6FDB29991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31-45EB-AB1E-17B6FDB29991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031-45EB-AB1E-17B6FDB2999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David"/>
                    <a:cs typeface="Arial" panose="020B060402020202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2020  מקורות '!$C$8:$C$12</c:f>
              <c:strCache>
                <c:ptCount val="4"/>
                <c:pt idx="0">
                  <c:v>קרן לעבודות פיתוח</c:v>
                </c:pt>
                <c:pt idx="1">
                  <c:v>קרן עודפי תקציב רגיל</c:v>
                </c:pt>
                <c:pt idx="2">
                  <c:v>קרן יעודית  מתחם גליל ים</c:v>
                </c:pt>
                <c:pt idx="3">
                  <c:v>סה"כ משרדי ממשלה ואחרים</c:v>
                </c:pt>
              </c:strCache>
            </c:strRef>
          </c:cat>
          <c:val>
            <c:numRef>
              <c:f>'תקציב 2020  מקורות '!$F$8:$F$12</c:f>
              <c:numCache>
                <c:formatCode>#,##0</c:formatCode>
                <c:ptCount val="4"/>
                <c:pt idx="0">
                  <c:v>206270</c:v>
                </c:pt>
                <c:pt idx="1">
                  <c:v>59000</c:v>
                </c:pt>
                <c:pt idx="2">
                  <c:v>100433.357</c:v>
                </c:pt>
                <c:pt idx="3">
                  <c:v>137122.769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031-45EB-AB1E-17B6FDB29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E834FA36-7DEC-4D7C-A0CB-220B7BC48205" TargetMode="External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cid:E17C8D17-F40E-44C3-A39C-18E6C0A9372F" TargetMode="External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571500</xdr:colOff>
      <xdr:row>38</xdr:row>
      <xdr:rowOff>152400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580500" y="0"/>
          <a:ext cx="9105900" cy="6522720"/>
        </a:xfrm>
        <a:prstGeom prst="rect">
          <a:avLst/>
        </a:prstGeom>
      </xdr:spPr>
    </xdr:pic>
    <xdr:clientData/>
  </xdr:twoCellAnchor>
  <xdr:twoCellAnchor>
    <xdr:from>
      <xdr:col>4</xdr:col>
      <xdr:colOff>97046</xdr:colOff>
      <xdr:row>5</xdr:row>
      <xdr:rowOff>50075</xdr:rowOff>
    </xdr:from>
    <xdr:to>
      <xdr:col>12</xdr:col>
      <xdr:colOff>55136</xdr:colOff>
      <xdr:row>11</xdr:row>
      <xdr:rowOff>45022</xdr:rowOff>
    </xdr:to>
    <xdr:sp macro="" textlink="">
      <xdr:nvSpPr>
        <xdr:cNvPr id="3" name="TextBox 2"/>
        <xdr:cNvSpPr txBox="1"/>
      </xdr:nvSpPr>
      <xdr:spPr>
        <a:xfrm>
          <a:off x="9980316064" y="888275"/>
          <a:ext cx="4834890" cy="1000787"/>
        </a:xfrm>
        <a:prstGeom prst="rect">
          <a:avLst/>
        </a:prstGeom>
        <a:noFill/>
      </xdr:spPr>
      <xdr:txBody>
        <a:bodyPr wrap="square" rtlCol="1">
          <a:spAutoFit/>
        </a:bodyPr>
        <a:lstStyle>
          <a:defPPr>
            <a:defRPr lang="he-IL"/>
          </a:defPPr>
          <a:lvl1pPr marL="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e-IL" sz="3600" b="1">
              <a:solidFill>
                <a:srgbClr val="FF0000"/>
              </a:solidFill>
              <a:latin typeface="David" panose="020E0502060401010101" pitchFamily="34" charset="-79"/>
              <a:cs typeface="David" panose="020E0502060401010101" pitchFamily="34" charset="-79"/>
            </a:rPr>
            <a:t>הצעת התקציב הבלתי רגיל</a:t>
          </a:r>
        </a:p>
        <a:p>
          <a:pPr algn="ctr"/>
          <a:r>
            <a:rPr lang="he-IL" sz="3600" b="1">
              <a:solidFill>
                <a:srgbClr val="FF0000"/>
              </a:solidFill>
              <a:latin typeface="David" panose="020E0502060401010101" pitchFamily="34" charset="-79"/>
              <a:cs typeface="David" panose="020E0502060401010101" pitchFamily="34" charset="-79"/>
            </a:rPr>
            <a:t>לשנת 2020</a:t>
          </a:r>
        </a:p>
      </xdr:txBody>
    </xdr:sp>
    <xdr:clientData/>
  </xdr:twoCellAnchor>
  <xdr:twoCellAnchor>
    <xdr:from>
      <xdr:col>7</xdr:col>
      <xdr:colOff>426619</xdr:colOff>
      <xdr:row>32</xdr:row>
      <xdr:rowOff>88900</xdr:rowOff>
    </xdr:from>
    <xdr:to>
      <xdr:col>14</xdr:col>
      <xdr:colOff>313843</xdr:colOff>
      <xdr:row>35</xdr:row>
      <xdr:rowOff>31615</xdr:rowOff>
    </xdr:to>
    <xdr:sp macro="" textlink="">
      <xdr:nvSpPr>
        <xdr:cNvPr id="4" name="TextBox 3"/>
        <xdr:cNvSpPr txBox="1"/>
      </xdr:nvSpPr>
      <xdr:spPr>
        <a:xfrm>
          <a:off x="9978838157" y="5453380"/>
          <a:ext cx="4154424" cy="445635"/>
        </a:xfrm>
        <a:prstGeom prst="rect">
          <a:avLst/>
        </a:prstGeom>
        <a:noFill/>
      </xdr:spPr>
      <xdr:txBody>
        <a:bodyPr wrap="square" rtlCol="1">
          <a:spAutoFit/>
        </a:bodyPr>
        <a:lstStyle>
          <a:defPPr>
            <a:defRPr lang="he-IL"/>
          </a:defPPr>
          <a:lvl1pPr marL="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he-IL" sz="1400" b="1">
              <a:solidFill>
                <a:srgbClr val="FF0000"/>
              </a:solidFill>
              <a:latin typeface="David" panose="020E0502060401010101" pitchFamily="34" charset="-79"/>
              <a:cs typeface="David" panose="020E0502060401010101" pitchFamily="34" charset="-79"/>
            </a:rPr>
            <a:t>חשוון תש"פ , נובמבר 2019</a:t>
          </a:r>
        </a:p>
        <a:p>
          <a:r>
            <a:rPr lang="he-IL" sz="1400" b="1">
              <a:solidFill>
                <a:srgbClr val="FF0000"/>
              </a:solidFill>
              <a:latin typeface="David" panose="020E0502060401010101" pitchFamily="34" charset="-79"/>
              <a:cs typeface="David" panose="020E0502060401010101" pitchFamily="34" charset="-79"/>
            </a:rPr>
            <a:t>עירית הרצליה/המינהל הכספי - אגף חוזים ותב"ר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12</xdr:col>
      <xdr:colOff>769620</xdr:colOff>
      <xdr:row>2</xdr:row>
      <xdr:rowOff>213360</xdr:rowOff>
    </xdr:to>
    <xdr:sp macro="" textlink="">
      <xdr:nvSpPr>
        <xdr:cNvPr id="2" name="סוגר מסולסל ימני 1"/>
        <xdr:cNvSpPr/>
      </xdr:nvSpPr>
      <xdr:spPr>
        <a:xfrm rot="16200000">
          <a:off x="10228333620" y="-1181100"/>
          <a:ext cx="624840" cy="313944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17</xdr:col>
      <xdr:colOff>60960</xdr:colOff>
      <xdr:row>0</xdr:row>
      <xdr:rowOff>0</xdr:rowOff>
    </xdr:from>
    <xdr:to>
      <xdr:col>19</xdr:col>
      <xdr:colOff>0</xdr:colOff>
      <xdr:row>2</xdr:row>
      <xdr:rowOff>213360</xdr:rowOff>
    </xdr:to>
    <xdr:sp macro="" textlink="">
      <xdr:nvSpPr>
        <xdr:cNvPr id="3" name="סוגר מסולסל ימני 2"/>
        <xdr:cNvSpPr/>
      </xdr:nvSpPr>
      <xdr:spPr>
        <a:xfrm rot="16200000">
          <a:off x="10225822830" y="-400050"/>
          <a:ext cx="701040" cy="150114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142875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754380</xdr:colOff>
      <xdr:row>0</xdr:row>
      <xdr:rowOff>99060</xdr:rowOff>
    </xdr:from>
    <xdr:to>
      <xdr:col>12</xdr:col>
      <xdr:colOff>853440</xdr:colOff>
      <xdr:row>2</xdr:row>
      <xdr:rowOff>236220</xdr:rowOff>
    </xdr:to>
    <xdr:sp macro="" textlink="">
      <xdr:nvSpPr>
        <xdr:cNvPr id="3" name="סוגר מסולסל ימני 2"/>
        <xdr:cNvSpPr/>
      </xdr:nvSpPr>
      <xdr:spPr>
        <a:xfrm rot="16200000">
          <a:off x="10228939410" y="-1238250"/>
          <a:ext cx="624840" cy="32994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281940</xdr:rowOff>
    </xdr:to>
    <xdr:sp macro="" textlink="">
      <xdr:nvSpPr>
        <xdr:cNvPr id="5" name="סוגר מסולסל ימני 4"/>
        <xdr:cNvSpPr/>
      </xdr:nvSpPr>
      <xdr:spPr>
        <a:xfrm rot="16200000">
          <a:off x="10226470530" y="-354330"/>
          <a:ext cx="7010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6200" y="333375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18</xdr:row>
      <xdr:rowOff>7620</xdr:rowOff>
    </xdr:from>
    <xdr:to>
      <xdr:col>7</xdr:col>
      <xdr:colOff>358140</xdr:colOff>
      <xdr:row>35</xdr:row>
      <xdr:rowOff>160020</xdr:rowOff>
    </xdr:to>
    <xdr:pic>
      <xdr:nvPicPr>
        <xdr:cNvPr id="3" name="E834FA36-7DEC-4D7C-A0CB-220B7BC48205" descr="cid:E834FA36-7DEC-4D7C-A0CB-220B7BC48205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2974200" y="3634740"/>
          <a:ext cx="5821680" cy="3131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144780</xdr:rowOff>
    </xdr:from>
    <xdr:to>
      <xdr:col>14</xdr:col>
      <xdr:colOff>731520</xdr:colOff>
      <xdr:row>3</xdr:row>
      <xdr:rowOff>0</xdr:rowOff>
    </xdr:to>
    <xdr:sp macro="" textlink="">
      <xdr:nvSpPr>
        <xdr:cNvPr id="4" name="סוגר מסולסל ימני 3"/>
        <xdr:cNvSpPr/>
      </xdr:nvSpPr>
      <xdr:spPr>
        <a:xfrm rot="16200000">
          <a:off x="10598097930" y="-948690"/>
          <a:ext cx="624840" cy="28117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114300</xdr:rowOff>
    </xdr:from>
    <xdr:to>
      <xdr:col>20</xdr:col>
      <xdr:colOff>640080</xdr:colOff>
      <xdr:row>3</xdr:row>
      <xdr:rowOff>0</xdr:rowOff>
    </xdr:to>
    <xdr:sp macro="" textlink="">
      <xdr:nvSpPr>
        <xdr:cNvPr id="7" name="סוגר מסולסל ימני 6"/>
        <xdr:cNvSpPr/>
      </xdr:nvSpPr>
      <xdr:spPr>
        <a:xfrm rot="16200000">
          <a:off x="10595998620" y="-198120"/>
          <a:ext cx="655320" cy="12801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121920</xdr:rowOff>
    </xdr:from>
    <xdr:to>
      <xdr:col>14</xdr:col>
      <xdr:colOff>754380</xdr:colOff>
      <xdr:row>2</xdr:row>
      <xdr:rowOff>289560</xdr:rowOff>
    </xdr:to>
    <xdr:sp macro="" textlink="">
      <xdr:nvSpPr>
        <xdr:cNvPr id="2" name="סוגר מסולסל ימני 1"/>
        <xdr:cNvSpPr/>
      </xdr:nvSpPr>
      <xdr:spPr>
        <a:xfrm rot="16200000">
          <a:off x="10600905900" y="-1005840"/>
          <a:ext cx="624840" cy="28803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68580</xdr:rowOff>
    </xdr:from>
    <xdr:to>
      <xdr:col>21</xdr:col>
      <xdr:colOff>7620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598707530" y="-262890"/>
          <a:ext cx="701040" cy="1363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121920</xdr:rowOff>
    </xdr:from>
    <xdr:to>
      <xdr:col>14</xdr:col>
      <xdr:colOff>754380</xdr:colOff>
      <xdr:row>2</xdr:row>
      <xdr:rowOff>289560</xdr:rowOff>
    </xdr:to>
    <xdr:sp macro="" textlink="">
      <xdr:nvSpPr>
        <xdr:cNvPr id="2" name="סוגר מסולסל ימני 1"/>
        <xdr:cNvSpPr/>
      </xdr:nvSpPr>
      <xdr:spPr>
        <a:xfrm rot="16200000">
          <a:off x="10600349640" y="-1005840"/>
          <a:ext cx="624840" cy="28803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68580</xdr:rowOff>
    </xdr:from>
    <xdr:to>
      <xdr:col>21</xdr:col>
      <xdr:colOff>7620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598151270" y="-262890"/>
          <a:ext cx="701040" cy="1363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243840</xdr:colOff>
      <xdr:row>23</xdr:row>
      <xdr:rowOff>22861</xdr:rowOff>
    </xdr:from>
    <xdr:to>
      <xdr:col>5</xdr:col>
      <xdr:colOff>815340</xdr:colOff>
      <xdr:row>36</xdr:row>
      <xdr:rowOff>76200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3720960" y="4587241"/>
          <a:ext cx="5334000" cy="235457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22</xdr:row>
      <xdr:rowOff>182881</xdr:rowOff>
    </xdr:from>
    <xdr:to>
      <xdr:col>4</xdr:col>
      <xdr:colOff>1882140</xdr:colOff>
      <xdr:row>36</xdr:row>
      <xdr:rowOff>152400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742040" y="4640581"/>
          <a:ext cx="4366260" cy="24460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701040</xdr:colOff>
      <xdr:row>0</xdr:row>
      <xdr:rowOff>60960</xdr:rowOff>
    </xdr:from>
    <xdr:to>
      <xdr:col>14</xdr:col>
      <xdr:colOff>769620</xdr:colOff>
      <xdr:row>2</xdr:row>
      <xdr:rowOff>220980</xdr:rowOff>
    </xdr:to>
    <xdr:sp macro="" textlink="">
      <xdr:nvSpPr>
        <xdr:cNvPr id="4" name="סוגר מסולסל ימני 3"/>
        <xdr:cNvSpPr/>
      </xdr:nvSpPr>
      <xdr:spPr>
        <a:xfrm rot="16200000">
          <a:off x="10227312540" y="-1082040"/>
          <a:ext cx="617220" cy="29032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762000</xdr:colOff>
      <xdr:row>0</xdr:row>
      <xdr:rowOff>76200</xdr:rowOff>
    </xdr:from>
    <xdr:to>
      <xdr:col>21</xdr:col>
      <xdr:colOff>15240</xdr:colOff>
      <xdr:row>2</xdr:row>
      <xdr:rowOff>213360</xdr:rowOff>
    </xdr:to>
    <xdr:sp macro="" textlink="">
      <xdr:nvSpPr>
        <xdr:cNvPr id="7" name="סוגר מסולסל ימני 6"/>
        <xdr:cNvSpPr/>
      </xdr:nvSpPr>
      <xdr:spPr>
        <a:xfrm rot="16200000">
          <a:off x="10225156080" y="-350520"/>
          <a:ext cx="594360" cy="14478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822960</xdr:colOff>
      <xdr:row>0</xdr:row>
      <xdr:rowOff>0</xdr:rowOff>
    </xdr:from>
    <xdr:to>
      <xdr:col>14</xdr:col>
      <xdr:colOff>845820</xdr:colOff>
      <xdr:row>2</xdr:row>
      <xdr:rowOff>160020</xdr:rowOff>
    </xdr:to>
    <xdr:sp macro="" textlink="">
      <xdr:nvSpPr>
        <xdr:cNvPr id="2" name="סוגר מסולסל ימני 1"/>
        <xdr:cNvSpPr/>
      </xdr:nvSpPr>
      <xdr:spPr>
        <a:xfrm rot="16200000">
          <a:off x="10230444360" y="-1272540"/>
          <a:ext cx="617220" cy="31623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20</xdr:col>
      <xdr:colOff>662940</xdr:colOff>
      <xdr:row>2</xdr:row>
      <xdr:rowOff>220980</xdr:rowOff>
    </xdr:to>
    <xdr:sp macro="" textlink="">
      <xdr:nvSpPr>
        <xdr:cNvPr id="5" name="סוגר מסולסל ימני 4"/>
        <xdr:cNvSpPr/>
      </xdr:nvSpPr>
      <xdr:spPr>
        <a:xfrm rot="16200000">
          <a:off x="10226851530" y="-339090"/>
          <a:ext cx="678180" cy="13563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822960</xdr:colOff>
      <xdr:row>0</xdr:row>
      <xdr:rowOff>0</xdr:rowOff>
    </xdr:from>
    <xdr:to>
      <xdr:col>14</xdr:col>
      <xdr:colOff>845820</xdr:colOff>
      <xdr:row>2</xdr:row>
      <xdr:rowOff>160020</xdr:rowOff>
    </xdr:to>
    <xdr:sp macro="" textlink="">
      <xdr:nvSpPr>
        <xdr:cNvPr id="2" name="סוגר מסולסל ימני 1"/>
        <xdr:cNvSpPr/>
      </xdr:nvSpPr>
      <xdr:spPr>
        <a:xfrm rot="16200000">
          <a:off x="10229324220" y="-1272540"/>
          <a:ext cx="617220" cy="31623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19</xdr:col>
      <xdr:colOff>53340</xdr:colOff>
      <xdr:row>0</xdr:row>
      <xdr:rowOff>114300</xdr:rowOff>
    </xdr:from>
    <xdr:to>
      <xdr:col>20</xdr:col>
      <xdr:colOff>739140</xdr:colOff>
      <xdr:row>2</xdr:row>
      <xdr:rowOff>175260</xdr:rowOff>
    </xdr:to>
    <xdr:sp macro="" textlink="">
      <xdr:nvSpPr>
        <xdr:cNvPr id="3" name="סוגר מסולסל ימני 2"/>
        <xdr:cNvSpPr/>
      </xdr:nvSpPr>
      <xdr:spPr>
        <a:xfrm rot="16200000">
          <a:off x="10227042030" y="-308610"/>
          <a:ext cx="518160" cy="1363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</xdr:colOff>
      <xdr:row>15</xdr:row>
      <xdr:rowOff>182881</xdr:rowOff>
    </xdr:from>
    <xdr:to>
      <xdr:col>4</xdr:col>
      <xdr:colOff>2057400</xdr:colOff>
      <xdr:row>33</xdr:row>
      <xdr:rowOff>76200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490580" y="3352801"/>
          <a:ext cx="4747260" cy="313943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129540</xdr:rowOff>
    </xdr:from>
    <xdr:to>
      <xdr:col>14</xdr:col>
      <xdr:colOff>617220</xdr:colOff>
      <xdr:row>3</xdr:row>
      <xdr:rowOff>15240</xdr:rowOff>
    </xdr:to>
    <xdr:sp macro="" textlink="">
      <xdr:nvSpPr>
        <xdr:cNvPr id="13" name="סוגר מסולסל ימני 12"/>
        <xdr:cNvSpPr/>
      </xdr:nvSpPr>
      <xdr:spPr>
        <a:xfrm rot="16200000">
          <a:off x="10224893190" y="-849630"/>
          <a:ext cx="617220" cy="25755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</xdr:rowOff>
    </xdr:from>
    <xdr:to>
      <xdr:col>20</xdr:col>
      <xdr:colOff>617220</xdr:colOff>
      <xdr:row>3</xdr:row>
      <xdr:rowOff>0</xdr:rowOff>
    </xdr:to>
    <xdr:sp macro="" textlink="">
      <xdr:nvSpPr>
        <xdr:cNvPr id="17" name="סוגר מסולסל ימני 16"/>
        <xdr:cNvSpPr/>
      </xdr:nvSpPr>
      <xdr:spPr>
        <a:xfrm rot="16200000">
          <a:off x="10222923420" y="-243840"/>
          <a:ext cx="716280" cy="12344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213360</xdr:rowOff>
    </xdr:from>
    <xdr:to>
      <xdr:col>19</xdr:col>
      <xdr:colOff>7620</xdr:colOff>
      <xdr:row>3</xdr:row>
      <xdr:rowOff>22860</xdr:rowOff>
    </xdr:to>
    <xdr:sp macro="" textlink="">
      <xdr:nvSpPr>
        <xdr:cNvPr id="3" name="סוגר מסולסל ימני 2"/>
        <xdr:cNvSpPr/>
      </xdr:nvSpPr>
      <xdr:spPr>
        <a:xfrm rot="16200000">
          <a:off x="10227087750" y="-895350"/>
          <a:ext cx="525780" cy="27432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182880</xdr:rowOff>
    </xdr:from>
    <xdr:to>
      <xdr:col>21</xdr:col>
      <xdr:colOff>7620</xdr:colOff>
      <xdr:row>3</xdr:row>
      <xdr:rowOff>15240</xdr:rowOff>
    </xdr:to>
    <xdr:sp macro="" textlink="">
      <xdr:nvSpPr>
        <xdr:cNvPr id="4" name="סוגר מסולסל ימני 3"/>
        <xdr:cNvSpPr/>
      </xdr:nvSpPr>
      <xdr:spPr>
        <a:xfrm rot="16200000">
          <a:off x="10225079880" y="-167640"/>
          <a:ext cx="548640" cy="12496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53340</xdr:rowOff>
    </xdr:from>
    <xdr:to>
      <xdr:col>15</xdr:col>
      <xdr:colOff>0</xdr:colOff>
      <xdr:row>2</xdr:row>
      <xdr:rowOff>213360</xdr:rowOff>
    </xdr:to>
    <xdr:sp macro="" textlink="">
      <xdr:nvSpPr>
        <xdr:cNvPr id="4" name="סוגר מסולסל ימני 3"/>
        <xdr:cNvSpPr/>
      </xdr:nvSpPr>
      <xdr:spPr>
        <a:xfrm rot="16200000">
          <a:off x="10227712590" y="-895350"/>
          <a:ext cx="617220" cy="25146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617220</xdr:colOff>
      <xdr:row>0</xdr:row>
      <xdr:rowOff>68580</xdr:rowOff>
    </xdr:from>
    <xdr:to>
      <xdr:col>20</xdr:col>
      <xdr:colOff>609600</xdr:colOff>
      <xdr:row>3</xdr:row>
      <xdr:rowOff>15240</xdr:rowOff>
    </xdr:to>
    <xdr:sp macro="" textlink="">
      <xdr:nvSpPr>
        <xdr:cNvPr id="7" name="סוגר מסולסל ימני 6"/>
        <xdr:cNvSpPr/>
      </xdr:nvSpPr>
      <xdr:spPr>
        <a:xfrm rot="16200000">
          <a:off x="10225834260" y="-236220"/>
          <a:ext cx="6324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91440</xdr:rowOff>
    </xdr:from>
    <xdr:to>
      <xdr:col>14</xdr:col>
      <xdr:colOff>617220</xdr:colOff>
      <xdr:row>2</xdr:row>
      <xdr:rowOff>251460</xdr:rowOff>
    </xdr:to>
    <xdr:sp macro="" textlink="">
      <xdr:nvSpPr>
        <xdr:cNvPr id="4" name="סוגר מסולסל ימני 3"/>
        <xdr:cNvSpPr/>
      </xdr:nvSpPr>
      <xdr:spPr>
        <a:xfrm rot="16200000">
          <a:off x="9977544180" y="-845820"/>
          <a:ext cx="617220" cy="24917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83820</xdr:rowOff>
    </xdr:from>
    <xdr:to>
      <xdr:col>20</xdr:col>
      <xdr:colOff>609600</xdr:colOff>
      <xdr:row>2</xdr:row>
      <xdr:rowOff>251460</xdr:rowOff>
    </xdr:to>
    <xdr:sp macro="" textlink="">
      <xdr:nvSpPr>
        <xdr:cNvPr id="8" name="סוגר מסולסל ימני 7"/>
        <xdr:cNvSpPr/>
      </xdr:nvSpPr>
      <xdr:spPr>
        <a:xfrm rot="16200000">
          <a:off x="9975669660" y="-220980"/>
          <a:ext cx="624840" cy="12344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4" name="סוגר מסולסל ימני 3"/>
        <xdr:cNvSpPr/>
      </xdr:nvSpPr>
      <xdr:spPr>
        <a:xfrm rot="16200000">
          <a:off x="10226653410" y="-811530"/>
          <a:ext cx="617220" cy="24079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594360</xdr:colOff>
      <xdr:row>0</xdr:row>
      <xdr:rowOff>91440</xdr:rowOff>
    </xdr:from>
    <xdr:to>
      <xdr:col>22</xdr:col>
      <xdr:colOff>7620</xdr:colOff>
      <xdr:row>3</xdr:row>
      <xdr:rowOff>7620</xdr:rowOff>
    </xdr:to>
    <xdr:sp macro="" textlink="">
      <xdr:nvSpPr>
        <xdr:cNvPr id="8" name="סוגר מסולסל ימני 7"/>
        <xdr:cNvSpPr/>
      </xdr:nvSpPr>
      <xdr:spPr>
        <a:xfrm rot="16200000">
          <a:off x="10224839850" y="-201930"/>
          <a:ext cx="632460" cy="12192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15240</xdr:rowOff>
    </xdr:from>
    <xdr:to>
      <xdr:col>7</xdr:col>
      <xdr:colOff>91440</xdr:colOff>
      <xdr:row>37</xdr:row>
      <xdr:rowOff>76200</xdr:rowOff>
    </xdr:to>
    <xdr:pic>
      <xdr:nvPicPr>
        <xdr:cNvPr id="10" name="תמונה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234227690" y="2487930"/>
          <a:ext cx="3726180" cy="569976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81936</xdr:rowOff>
    </xdr:from>
    <xdr:to>
      <xdr:col>15</xdr:col>
      <xdr:colOff>0</xdr:colOff>
      <xdr:row>4</xdr:row>
      <xdr:rowOff>10898</xdr:rowOff>
    </xdr:to>
    <xdr:sp macro="" textlink="">
      <xdr:nvSpPr>
        <xdr:cNvPr id="4" name="סוגר מסולסל ימני 3"/>
        <xdr:cNvSpPr/>
      </xdr:nvSpPr>
      <xdr:spPr>
        <a:xfrm rot="16200000">
          <a:off x="10193522552" y="-838487"/>
          <a:ext cx="617220" cy="291690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721030</xdr:colOff>
      <xdr:row>1</xdr:row>
      <xdr:rowOff>65549</xdr:rowOff>
    </xdr:from>
    <xdr:to>
      <xdr:col>20</xdr:col>
      <xdr:colOff>704646</xdr:colOff>
      <xdr:row>4</xdr:row>
      <xdr:rowOff>1966</xdr:rowOff>
    </xdr:to>
    <xdr:sp macro="" textlink="">
      <xdr:nvSpPr>
        <xdr:cNvPr id="6" name="סוגר מסולסל ימני 5"/>
        <xdr:cNvSpPr/>
      </xdr:nvSpPr>
      <xdr:spPr>
        <a:xfrm rot="16200000">
          <a:off x="10191310663" y="-76857"/>
          <a:ext cx="698417" cy="1442067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737420</xdr:colOff>
      <xdr:row>1</xdr:row>
      <xdr:rowOff>81936</xdr:rowOff>
    </xdr:from>
    <xdr:to>
      <xdr:col>15</xdr:col>
      <xdr:colOff>1</xdr:colOff>
      <xdr:row>4</xdr:row>
      <xdr:rowOff>10898</xdr:rowOff>
    </xdr:to>
    <xdr:sp macro="" textlink="">
      <xdr:nvSpPr>
        <xdr:cNvPr id="2" name="סוגר מסולסל ימני 1"/>
        <xdr:cNvSpPr/>
      </xdr:nvSpPr>
      <xdr:spPr>
        <a:xfrm rot="16200000">
          <a:off x="10230850309" y="-804073"/>
          <a:ext cx="614762" cy="28439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655484</xdr:colOff>
      <xdr:row>1</xdr:row>
      <xdr:rowOff>114709</xdr:rowOff>
    </xdr:from>
    <xdr:to>
      <xdr:col>21</xdr:col>
      <xdr:colOff>575</xdr:colOff>
      <xdr:row>4</xdr:row>
      <xdr:rowOff>10159</xdr:rowOff>
    </xdr:to>
    <xdr:sp macro="" textlink="">
      <xdr:nvSpPr>
        <xdr:cNvPr id="4" name="סוגר מסולסל ימני 3"/>
        <xdr:cNvSpPr/>
      </xdr:nvSpPr>
      <xdr:spPr>
        <a:xfrm rot="16200000">
          <a:off x="10193539019" y="12985"/>
          <a:ext cx="673837" cy="1336124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15240</xdr:rowOff>
    </xdr:from>
    <xdr:to>
      <xdr:col>14</xdr:col>
      <xdr:colOff>609600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6542920" y="-883920"/>
          <a:ext cx="701040" cy="24993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45720</xdr:rowOff>
    </xdr:from>
    <xdr:to>
      <xdr:col>20</xdr:col>
      <xdr:colOff>617220</xdr:colOff>
      <xdr:row>3</xdr:row>
      <xdr:rowOff>0</xdr:rowOff>
    </xdr:to>
    <xdr:sp macro="" textlink="">
      <xdr:nvSpPr>
        <xdr:cNvPr id="5" name="סוגר מסולסל ימני 4"/>
        <xdr:cNvSpPr/>
      </xdr:nvSpPr>
      <xdr:spPr>
        <a:xfrm rot="16200000">
          <a:off x="10224672210" y="-240030"/>
          <a:ext cx="6705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617220</xdr:colOff>
      <xdr:row>0</xdr:row>
      <xdr:rowOff>76200</xdr:rowOff>
    </xdr:from>
    <xdr:to>
      <xdr:col>15</xdr:col>
      <xdr:colOff>0</xdr:colOff>
      <xdr:row>3</xdr:row>
      <xdr:rowOff>7620</xdr:rowOff>
    </xdr:to>
    <xdr:sp macro="" textlink="">
      <xdr:nvSpPr>
        <xdr:cNvPr id="3" name="סוגר מסולסל ימני 2"/>
        <xdr:cNvSpPr/>
      </xdr:nvSpPr>
      <xdr:spPr>
        <a:xfrm rot="16200000">
          <a:off x="10226329560" y="-868680"/>
          <a:ext cx="617220" cy="25069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6" name="סוגר מסולסל ימני 5"/>
        <xdr:cNvSpPr/>
      </xdr:nvSpPr>
      <xdr:spPr>
        <a:xfrm rot="16200000">
          <a:off x="10224458850" y="-171450"/>
          <a:ext cx="5943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12</xdr:row>
      <xdr:rowOff>68581</xdr:rowOff>
    </xdr:from>
    <xdr:to>
      <xdr:col>8</xdr:col>
      <xdr:colOff>327660</xdr:colOff>
      <xdr:row>35</xdr:row>
      <xdr:rowOff>7621</xdr:rowOff>
    </xdr:to>
    <xdr:pic>
      <xdr:nvPicPr>
        <xdr:cNvPr id="4" name="תמונה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2174100" y="2468881"/>
          <a:ext cx="7322820" cy="397002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617220</xdr:colOff>
      <xdr:row>0</xdr:row>
      <xdr:rowOff>68580</xdr:rowOff>
    </xdr:from>
    <xdr:to>
      <xdr:col>15</xdr:col>
      <xdr:colOff>0</xdr:colOff>
      <xdr:row>2</xdr:row>
      <xdr:rowOff>228600</xdr:rowOff>
    </xdr:to>
    <xdr:sp macro="" textlink="">
      <xdr:nvSpPr>
        <xdr:cNvPr id="3" name="סוגר מסולסל ימני 2"/>
        <xdr:cNvSpPr/>
      </xdr:nvSpPr>
      <xdr:spPr>
        <a:xfrm rot="16200000">
          <a:off x="10229568060" y="-876300"/>
          <a:ext cx="617220" cy="25069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5" name="סוגר מסולסל ימני 4"/>
        <xdr:cNvSpPr/>
      </xdr:nvSpPr>
      <xdr:spPr>
        <a:xfrm rot="16200000">
          <a:off x="10227678300" y="-228600"/>
          <a:ext cx="640080" cy="12496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2020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6760090" y="-1101090"/>
          <a:ext cx="617220" cy="2849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617220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6" name="סוגר מסולסל ימני 5"/>
        <xdr:cNvSpPr/>
      </xdr:nvSpPr>
      <xdr:spPr>
        <a:xfrm rot="16200000">
          <a:off x="10224024510" y="-255270"/>
          <a:ext cx="670560" cy="12573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2020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</xdr:row>
      <xdr:rowOff>137160</xdr:rowOff>
    </xdr:from>
    <xdr:to>
      <xdr:col>5</xdr:col>
      <xdr:colOff>76200</xdr:colOff>
      <xdr:row>36</xdr:row>
      <xdr:rowOff>167640</xdr:rowOff>
    </xdr:to>
    <xdr:pic>
      <xdr:nvPicPr>
        <xdr:cNvPr id="5" name="E17C8D17-F40E-44C3-A39C-18E6C0A9372F" descr="cid:E17C8D17-F40E-44C3-A39C-18E6C0A9372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300080" y="4221480"/>
          <a:ext cx="4556760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8771770" y="-925830"/>
          <a:ext cx="571500" cy="26517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655320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9" name="סוגר מסולסל ימני 8"/>
        <xdr:cNvSpPr/>
      </xdr:nvSpPr>
      <xdr:spPr>
        <a:xfrm rot="16200000">
          <a:off x="10226249550" y="-262890"/>
          <a:ext cx="571500" cy="1325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493;&#1499;&#1504;&#1497;&#1514;%20&#1506;&#1489;&#1493;&#1491;&#1492;%202020/2020%20&#1492;&#1499;&#1504;&#1514;%20&#1514;&#1511;&#1510;&#1497;&#1489;/&#1502;&#1497;&#1502;&#1493;&#1513;%20&#1514;&#1511;&#1510;&#1497;&#1489;%202019/&#1502;&#1497;&#1502;&#1493;&#1513;%20&#1514;&#1511;&#1510;&#1497;&#1489;%20&#1505;&#1508;&#1496;&#1502;&#1489;&#1512;%202019%20&#1502;&#1506;&#1493;&#1491;&#1499;&#1503;%2010.9.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511;&#1510;&#1497;&#1489;%202019/&#1502;&#1497;&#1502;&#1493;&#1513;%20&#1514;&#1511;&#1510;&#1497;&#1489;%20&#1502;&#1505;&#1490;&#1512;&#1514;%202019/&#1502;&#1497;&#1502;&#1493;&#1513;%20&#1514;&#1511;&#1510;&#1497;&#1489;%209.2019/&#1502;&#1497;&#1502;&#1493;&#1513;%20&#1514;&#1511;&#1510;&#1497;&#1489;%20&#1499;&#1493;&#1500;&#1500;%20&#1505;&#1508;&#1496;&#1502;&#1489;&#1512;%202019%2015.9.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493;&#1499;&#1504;&#1497;&#1514;%20&#1506;&#1489;&#1493;&#1491;&#1492;%202019/&#1492;&#1499;&#1504;&#1514;%20&#1514;&#1511;&#1510;&#1497;&#1489;%202019/&#1495;&#1497;&#1504;&#1493;&#1498;/&#1496;&#1497;&#1493;&#1496;&#1492;%20&#1500;&#1491;&#1497;&#1493;&#1503;%20&#1502;&#1504;&#1499;&#1500;%20&#1495;&#1497;&#1504;&#1493;&#1498;%202019%2023.10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פרוט מקורות אחרים"/>
      <sheetName val="תקציב הנדסה 2019"/>
      <sheetName val="הנדסה 2019 פרקים"/>
      <sheetName val="תקציב הנדסה 2019 תאור"/>
      <sheetName val="תקציב החברה לפיתוח 2019"/>
      <sheetName val=" החברה לפיתוח 2019 פרקים"/>
      <sheetName val="תקציב החברה לפיתוח 2019 תאור"/>
      <sheetName val="תקציב אגף ת.ב.ל 2019"/>
      <sheetName val="תבל 2019 פרקים"/>
      <sheetName val="תקציב אגף ת.ב.ל 2019 תאור"/>
      <sheetName val="תקציב אגף בטחון פיקוח סד&quot;צ 2019"/>
      <sheetName val="ביטחון פיקוח וסדצ 2019 פרקים"/>
      <sheetName val="תקציב אגף חינוך 2019"/>
      <sheetName val="חינוך 2019 פרקים"/>
      <sheetName val="תנוס 2019 פרקים"/>
      <sheetName val="תקציב אגף תנוס 2019"/>
      <sheetName val="תקציב אגף שאיפה  2019"/>
      <sheetName val="שאיפה 2019 פרקים"/>
      <sheetName val="תקציב אגף שאיפה  2019 תאור"/>
      <sheetName val="תקציב רשות החופים 2019"/>
      <sheetName val="רשות החופים 2019 פרקים"/>
      <sheetName val="תקציב רשות החופים 2019 "/>
      <sheetName val="תקציב החברה לתירות 2019"/>
      <sheetName val="החברה לתיירות 2019 פרקים"/>
      <sheetName val="תקציב אגף תקשוב 2019"/>
      <sheetName val="מחשוב 2019 פרקים"/>
      <sheetName val="תקציב אגף נכסים וביטוח 2019"/>
      <sheetName val="נכסים 2019 פרקים"/>
      <sheetName val="תקציב מינהל כללי 2019"/>
      <sheetName val="מינהל כללי 2019 פרק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1">
          <cell r="D71">
            <v>659008945</v>
          </cell>
          <cell r="E71">
            <v>632243945</v>
          </cell>
          <cell r="F71">
            <v>26765000</v>
          </cell>
          <cell r="G71">
            <v>507684741</v>
          </cell>
          <cell r="H71">
            <v>432359545.21999997</v>
          </cell>
          <cell r="I71">
            <v>18484399.039999999</v>
          </cell>
          <cell r="J71">
            <v>36617167.289999999</v>
          </cell>
          <cell r="K71">
            <v>55101566.330000006</v>
          </cell>
          <cell r="L71">
            <v>487461111.55000001</v>
          </cell>
          <cell r="M71">
            <v>22273629.449999984</v>
          </cell>
          <cell r="N71">
            <v>49991300</v>
          </cell>
          <cell r="O71">
            <v>99282904</v>
          </cell>
          <cell r="P71">
            <v>20223629.449999988</v>
          </cell>
          <cell r="Q71">
            <v>2590000</v>
          </cell>
          <cell r="R71">
            <v>0</v>
          </cell>
          <cell r="S71">
            <v>2590000</v>
          </cell>
          <cell r="T71">
            <v>540000</v>
          </cell>
          <cell r="U71">
            <v>49451300</v>
          </cell>
          <cell r="V71">
            <v>25230000</v>
          </cell>
          <cell r="W71">
            <v>15000000</v>
          </cell>
          <cell r="X71">
            <v>0</v>
          </cell>
          <cell r="Y71">
            <v>0</v>
          </cell>
          <cell r="Z71">
            <v>9221300</v>
          </cell>
        </row>
      </sheetData>
      <sheetData sheetId="9"/>
      <sheetData sheetId="10"/>
      <sheetData sheetId="11">
        <row r="12">
          <cell r="D12">
            <v>3735000</v>
          </cell>
          <cell r="E12">
            <v>2225000</v>
          </cell>
          <cell r="F12">
            <v>1510000</v>
          </cell>
          <cell r="G12">
            <v>2075000</v>
          </cell>
          <cell r="H12">
            <v>1876964.26</v>
          </cell>
          <cell r="I12">
            <v>0</v>
          </cell>
          <cell r="J12">
            <v>135281.96000000002</v>
          </cell>
          <cell r="K12">
            <v>135281.96000000002</v>
          </cell>
          <cell r="L12">
            <v>2012246.22</v>
          </cell>
          <cell r="M12">
            <v>22753.780000000086</v>
          </cell>
          <cell r="N12">
            <v>1700000</v>
          </cell>
          <cell r="O12">
            <v>0</v>
          </cell>
          <cell r="P12">
            <v>62753.780000000086</v>
          </cell>
          <cell r="Q12">
            <v>0</v>
          </cell>
          <cell r="R12">
            <v>0</v>
          </cell>
          <cell r="S12">
            <v>0</v>
          </cell>
          <cell r="T12">
            <v>40000</v>
          </cell>
          <cell r="U12">
            <v>1660000</v>
          </cell>
          <cell r="V12">
            <v>0</v>
          </cell>
          <cell r="W12">
            <v>1660000</v>
          </cell>
          <cell r="X12">
            <v>0</v>
          </cell>
          <cell r="Y12">
            <v>0</v>
          </cell>
          <cell r="Z12">
            <v>0</v>
          </cell>
        </row>
      </sheetData>
      <sheetData sheetId="12"/>
      <sheetData sheetId="13">
        <row r="30">
          <cell r="D30">
            <v>18230363.133986652</v>
          </cell>
          <cell r="E30">
            <v>11385500</v>
          </cell>
          <cell r="F30">
            <v>6844863.13398665</v>
          </cell>
          <cell r="G30">
            <v>9038263</v>
          </cell>
          <cell r="H30">
            <v>4614992.4400000004</v>
          </cell>
          <cell r="I30">
            <v>0</v>
          </cell>
          <cell r="J30">
            <v>1851410.6500000001</v>
          </cell>
          <cell r="K30">
            <v>1851410.6500000001</v>
          </cell>
          <cell r="L30">
            <v>6466403.0899999999</v>
          </cell>
          <cell r="M30">
            <v>2071859.9100000001</v>
          </cell>
          <cell r="N30">
            <v>8912100.13398665</v>
          </cell>
          <cell r="O30">
            <v>780000</v>
          </cell>
          <cell r="P30">
            <v>2571859.9100000006</v>
          </cell>
          <cell r="Q30">
            <v>0</v>
          </cell>
          <cell r="R30">
            <v>0</v>
          </cell>
          <cell r="S30">
            <v>0</v>
          </cell>
          <cell r="T30">
            <v>500000</v>
          </cell>
          <cell r="U30">
            <v>8412100.13398665</v>
          </cell>
          <cell r="V30">
            <v>0</v>
          </cell>
          <cell r="W30">
            <v>3534100.13398665</v>
          </cell>
          <cell r="X30">
            <v>0</v>
          </cell>
          <cell r="Y30">
            <v>0</v>
          </cell>
          <cell r="Z30">
            <v>4878000</v>
          </cell>
        </row>
      </sheetData>
      <sheetData sheetId="14"/>
      <sheetData sheetId="15"/>
      <sheetData sheetId="16">
        <row r="17">
          <cell r="D17">
            <v>14813365</v>
          </cell>
          <cell r="E17">
            <v>13843365</v>
          </cell>
          <cell r="F17">
            <v>970000</v>
          </cell>
          <cell r="G17">
            <v>8328365</v>
          </cell>
          <cell r="H17">
            <v>6323918.959999999</v>
          </cell>
          <cell r="I17">
            <v>0</v>
          </cell>
          <cell r="J17">
            <v>660990.71</v>
          </cell>
          <cell r="K17">
            <v>660990.71</v>
          </cell>
          <cell r="L17">
            <v>6984909.669999999</v>
          </cell>
          <cell r="M17">
            <v>4243455.33</v>
          </cell>
          <cell r="N17">
            <v>3120000</v>
          </cell>
          <cell r="O17">
            <v>465000</v>
          </cell>
          <cell r="P17">
            <v>1343455.33</v>
          </cell>
          <cell r="Q17">
            <v>2900000</v>
          </cell>
          <cell r="R17">
            <v>0</v>
          </cell>
          <cell r="S17">
            <v>2900000</v>
          </cell>
          <cell r="T17">
            <v>0</v>
          </cell>
          <cell r="U17">
            <v>3120000</v>
          </cell>
          <cell r="V17">
            <v>0</v>
          </cell>
          <cell r="W17">
            <v>3120000</v>
          </cell>
          <cell r="X17">
            <v>0</v>
          </cell>
          <cell r="Y17">
            <v>0</v>
          </cell>
          <cell r="Z17">
            <v>0</v>
          </cell>
        </row>
      </sheetData>
      <sheetData sheetId="17">
        <row r="50">
          <cell r="D50">
            <v>231868059</v>
          </cell>
          <cell r="E50">
            <v>246322059</v>
          </cell>
          <cell r="F50">
            <v>-14454000</v>
          </cell>
          <cell r="G50">
            <v>174365579</v>
          </cell>
          <cell r="H50">
            <v>156748875.67999998</v>
          </cell>
          <cell r="I50">
            <v>474201</v>
          </cell>
          <cell r="J50">
            <v>12594137.780000001</v>
          </cell>
          <cell r="K50">
            <v>13068338.780000001</v>
          </cell>
          <cell r="L50">
            <v>169817214.45999995</v>
          </cell>
          <cell r="M50">
            <v>7236164.5399999991</v>
          </cell>
          <cell r="N50">
            <v>36445000</v>
          </cell>
          <cell r="O50">
            <v>18369680</v>
          </cell>
          <cell r="P50">
            <v>4548364.54</v>
          </cell>
          <cell r="Q50">
            <v>2700000</v>
          </cell>
          <cell r="R50">
            <v>27800</v>
          </cell>
          <cell r="S50">
            <v>2727800</v>
          </cell>
          <cell r="T50">
            <v>40000</v>
          </cell>
          <cell r="U50">
            <v>36405000</v>
          </cell>
          <cell r="V50">
            <v>10365000</v>
          </cell>
          <cell r="W50">
            <v>8550000</v>
          </cell>
          <cell r="X50">
            <v>0</v>
          </cell>
          <cell r="Y50">
            <v>0</v>
          </cell>
          <cell r="Z50">
            <v>17490000</v>
          </cell>
        </row>
      </sheetData>
      <sheetData sheetId="18"/>
      <sheetData sheetId="19"/>
      <sheetData sheetId="20">
        <row r="25">
          <cell r="D25">
            <v>7879159</v>
          </cell>
          <cell r="E25">
            <v>9541000</v>
          </cell>
          <cell r="F25">
            <v>-1661841</v>
          </cell>
          <cell r="G25">
            <v>5613000</v>
          </cell>
          <cell r="H25">
            <v>4759043.32</v>
          </cell>
          <cell r="I25">
            <v>354044.03</v>
          </cell>
          <cell r="J25">
            <v>255698.02000000002</v>
          </cell>
          <cell r="K25">
            <v>609742.05000000005</v>
          </cell>
          <cell r="L25">
            <v>5368785.3700000001</v>
          </cell>
          <cell r="M25">
            <v>214214.62999999998</v>
          </cell>
          <cell r="N25">
            <v>1896159</v>
          </cell>
          <cell r="O25">
            <v>400000</v>
          </cell>
          <cell r="P25">
            <v>244214.62999999998</v>
          </cell>
          <cell r="Q25">
            <v>0</v>
          </cell>
          <cell r="R25">
            <v>0</v>
          </cell>
          <cell r="S25">
            <v>0</v>
          </cell>
          <cell r="T25">
            <v>30000</v>
          </cell>
          <cell r="U25">
            <v>1866159</v>
          </cell>
          <cell r="V25">
            <v>0</v>
          </cell>
          <cell r="W25">
            <v>1670000</v>
          </cell>
          <cell r="X25">
            <v>0</v>
          </cell>
          <cell r="Y25">
            <v>0</v>
          </cell>
          <cell r="Z25">
            <v>196159</v>
          </cell>
        </row>
      </sheetData>
      <sheetData sheetId="21"/>
      <sheetData sheetId="22"/>
      <sheetData sheetId="23">
        <row r="20">
          <cell r="D20">
            <v>39693000</v>
          </cell>
          <cell r="E20">
            <v>39693000</v>
          </cell>
          <cell r="F20">
            <v>0</v>
          </cell>
          <cell r="G20">
            <v>12130000</v>
          </cell>
          <cell r="H20">
            <v>10252507.559999999</v>
          </cell>
          <cell r="I20">
            <v>0</v>
          </cell>
          <cell r="J20">
            <v>0</v>
          </cell>
          <cell r="K20">
            <v>0</v>
          </cell>
          <cell r="L20">
            <v>10252507.559999999</v>
          </cell>
          <cell r="M20">
            <v>2077492.44</v>
          </cell>
          <cell r="N20">
            <v>7930000</v>
          </cell>
          <cell r="O20">
            <v>19433000</v>
          </cell>
          <cell r="P20">
            <v>1877492.44</v>
          </cell>
          <cell r="Q20">
            <v>200000</v>
          </cell>
          <cell r="R20">
            <v>0</v>
          </cell>
          <cell r="S20">
            <v>200000</v>
          </cell>
          <cell r="T20">
            <v>0</v>
          </cell>
          <cell r="U20">
            <v>7930000</v>
          </cell>
          <cell r="V20">
            <v>3130000</v>
          </cell>
          <cell r="W20">
            <v>0</v>
          </cell>
          <cell r="X20">
            <v>0</v>
          </cell>
          <cell r="Y20">
            <v>0</v>
          </cell>
          <cell r="Z20">
            <v>4800000</v>
          </cell>
        </row>
      </sheetData>
      <sheetData sheetId="24"/>
      <sheetData sheetId="25">
        <row r="15">
          <cell r="D15">
            <v>49590000</v>
          </cell>
          <cell r="E15">
            <v>41510000</v>
          </cell>
          <cell r="F15">
            <v>8080000</v>
          </cell>
          <cell r="G15">
            <v>18048000</v>
          </cell>
          <cell r="H15">
            <v>8495620.3200000003</v>
          </cell>
          <cell r="I15">
            <v>5613414</v>
          </cell>
          <cell r="J15">
            <v>331169</v>
          </cell>
          <cell r="K15">
            <v>5944583</v>
          </cell>
          <cell r="L15">
            <v>14440203.32</v>
          </cell>
          <cell r="M15">
            <v>3524796.74</v>
          </cell>
          <cell r="N15">
            <v>13008000</v>
          </cell>
          <cell r="O15">
            <v>18616999.939999998</v>
          </cell>
          <cell r="P15">
            <v>3607796.6799999997</v>
          </cell>
          <cell r="Q15">
            <v>0</v>
          </cell>
          <cell r="R15">
            <v>0</v>
          </cell>
          <cell r="S15">
            <v>0</v>
          </cell>
          <cell r="T15">
            <v>82999.939999999944</v>
          </cell>
          <cell r="U15">
            <v>12925000.060000001</v>
          </cell>
          <cell r="V15">
            <v>5450000</v>
          </cell>
          <cell r="W15">
            <v>4475000.0600000005</v>
          </cell>
          <cell r="X15">
            <v>0</v>
          </cell>
          <cell r="Y15">
            <v>0</v>
          </cell>
          <cell r="Z15">
            <v>3000000</v>
          </cell>
        </row>
      </sheetData>
      <sheetData sheetId="26"/>
      <sheetData sheetId="27">
        <row r="24">
          <cell r="D24">
            <v>161849000</v>
          </cell>
          <cell r="E24">
            <v>158949700</v>
          </cell>
          <cell r="F24">
            <v>2899300</v>
          </cell>
          <cell r="G24">
            <v>86452525</v>
          </cell>
          <cell r="H24">
            <v>67056335.199999996</v>
          </cell>
          <cell r="I24">
            <v>0</v>
          </cell>
          <cell r="J24">
            <v>36241</v>
          </cell>
          <cell r="K24">
            <v>36241</v>
          </cell>
          <cell r="L24">
            <v>67092576.199999996</v>
          </cell>
          <cell r="M24">
            <v>19369948.800000001</v>
          </cell>
          <cell r="N24">
            <v>7949300</v>
          </cell>
          <cell r="O24">
            <v>67437175</v>
          </cell>
          <cell r="P24">
            <v>19359948.800000001</v>
          </cell>
          <cell r="Q24">
            <v>10000</v>
          </cell>
          <cell r="R24">
            <v>0</v>
          </cell>
          <cell r="S24">
            <v>10000</v>
          </cell>
          <cell r="T24">
            <v>0</v>
          </cell>
          <cell r="U24">
            <v>7949300</v>
          </cell>
          <cell r="V24">
            <v>7949300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</sheetData>
      <sheetData sheetId="28"/>
      <sheetData sheetId="29">
        <row r="17">
          <cell r="D17">
            <v>136041606</v>
          </cell>
          <cell r="E17">
            <v>125991606</v>
          </cell>
          <cell r="F17">
            <v>10050000</v>
          </cell>
          <cell r="G17">
            <v>92058500</v>
          </cell>
          <cell r="H17">
            <v>71800967.069999993</v>
          </cell>
          <cell r="I17">
            <v>462414.37</v>
          </cell>
          <cell r="J17">
            <v>5816839.2599999998</v>
          </cell>
          <cell r="K17">
            <v>6279253.6299999999</v>
          </cell>
          <cell r="L17">
            <v>78080220.700000003</v>
          </cell>
          <cell r="M17">
            <v>10898006.299999999</v>
          </cell>
          <cell r="N17">
            <v>11100000</v>
          </cell>
          <cell r="O17">
            <v>35963379</v>
          </cell>
          <cell r="P17">
            <v>13978279.299999999</v>
          </cell>
          <cell r="Q17">
            <v>0</v>
          </cell>
          <cell r="R17">
            <v>0</v>
          </cell>
          <cell r="S17">
            <v>0</v>
          </cell>
          <cell r="T17">
            <v>3080273</v>
          </cell>
          <cell r="U17">
            <v>8019727</v>
          </cell>
          <cell r="V17">
            <v>4528827</v>
          </cell>
          <cell r="W17">
            <v>3490900</v>
          </cell>
          <cell r="X17">
            <v>0</v>
          </cell>
          <cell r="Y17">
            <v>0</v>
          </cell>
          <cell r="Z17">
            <v>0</v>
          </cell>
        </row>
      </sheetData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פרוט מקורות אחרים"/>
      <sheetName val="תקציב הנדסה 2019"/>
      <sheetName val="הנדסה 2019 פרקים"/>
      <sheetName val="תקציב הנדסה 2019 תאור"/>
      <sheetName val="תקציב החברה לפיתוח 2019"/>
      <sheetName val=" החברה לפיתוח 2019 פרקים"/>
      <sheetName val="תקציב החברה לפיתוח 2019 תאור"/>
      <sheetName val="תקציב אגף ת.ב.ל 2019"/>
      <sheetName val="תבל 2019 פרקים"/>
      <sheetName val="תקציב אגף ת.ב.ל 2019 תאור"/>
      <sheetName val="תקציב אגף בטחון פיקוח סד&quot;צ 2019"/>
      <sheetName val="ביטחון פיקוח וסדצ 2019 פרקים"/>
      <sheetName val="תקציב אגף חינוך 2019"/>
      <sheetName val="חינוך 2019 פרקים"/>
      <sheetName val="תנוס 2019 פרקים"/>
      <sheetName val="תקציב אגף תנוס 2019"/>
      <sheetName val="תקציב אגף שאיפה  2019"/>
      <sheetName val="שאיפה 2019 פרקים"/>
      <sheetName val="תקציב אגף שאיפה  2019 תאור"/>
      <sheetName val="תקציב רשות החופים 2019"/>
      <sheetName val="רשות החופים 2019 פרקים"/>
      <sheetName val="תקציב רשות החופים 2019 "/>
      <sheetName val="תקציב החברה לתירות 2019"/>
      <sheetName val="החברה לתיירות 2019 פרקים"/>
      <sheetName val="תקציב אגף תקשוב 2019"/>
      <sheetName val="מחשוב 2019 פרקים"/>
      <sheetName val="תקציב אגף נכסים וביטוח 2019"/>
      <sheetName val="נכסים 2019 פרקים"/>
      <sheetName val="תקציב מינהל כללי 2019"/>
      <sheetName val="מינהל כללי 2019 פרקים"/>
    </sheetNames>
    <sheetDataSet>
      <sheetData sheetId="0"/>
      <sheetData sheetId="1"/>
      <sheetData sheetId="2">
        <row r="105">
          <cell r="AK105">
            <v>250000</v>
          </cell>
          <cell r="AL105">
            <v>3107323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ינוך "/>
      <sheetName val="אומדן - סיכום"/>
      <sheetName val="ציוד - אופק"/>
      <sheetName val="אומדן ירוק"/>
      <sheetName val="רשימת חדרים - להשתמש בחדרים אלו"/>
      <sheetName val="מחשוב אופק"/>
      <sheetName val="רשימת חדרים -   בר אילן "/>
      <sheetName val="גינות קהילתיות"/>
      <sheetName val="גיליון1"/>
      <sheetName val="סדנת רובוטיקה בהנדסאים "/>
      <sheetName val="הצטיידות תיכון יובל"/>
      <sheetName val="כיתה תקשורתית"/>
      <sheetName val="תוספת כיתות חדשות לקיים "/>
      <sheetName val="כיתה קטנה"/>
      <sheetName val="עלויות של מחשוב"/>
      <sheetName val="מחשוב גן מיוחד"/>
      <sheetName val="מחשוב גנים רגילים"/>
    </sheetNames>
    <sheetDataSet>
      <sheetData sheetId="0"/>
      <sheetData sheetId="1">
        <row r="24">
          <cell r="E24">
            <v>345000</v>
          </cell>
        </row>
        <row r="31">
          <cell r="E31">
            <v>600000</v>
          </cell>
        </row>
        <row r="35">
          <cell r="E35">
            <v>70000</v>
          </cell>
        </row>
        <row r="39">
          <cell r="E39">
            <v>773987.00000000012</v>
          </cell>
        </row>
        <row r="40">
          <cell r="E40">
            <v>216013.13398664998</v>
          </cell>
        </row>
        <row r="41">
          <cell r="E41">
            <v>60000</v>
          </cell>
        </row>
        <row r="56">
          <cell r="C56">
            <v>2335000</v>
          </cell>
        </row>
        <row r="73">
          <cell r="E73">
            <v>300000</v>
          </cell>
        </row>
        <row r="77">
          <cell r="E77">
            <v>78000</v>
          </cell>
        </row>
        <row r="78">
          <cell r="E78">
            <v>112000</v>
          </cell>
        </row>
        <row r="94">
          <cell r="E94">
            <v>100000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4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6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1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13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5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1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7.bin"/><Relationship Id="rId4" Type="http://schemas.openxmlformats.org/officeDocument/2006/relationships/comments" Target="../comments18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0.bin"/><Relationship Id="rId4" Type="http://schemas.openxmlformats.org/officeDocument/2006/relationships/comments" Target="../comments20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zoomScaleNormal="100" workbookViewId="0">
      <selection activeCell="Q24" sqref="Q24"/>
    </sheetView>
  </sheetViews>
  <sheetFormatPr defaultRowHeight="13.2"/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topLeftCell="A7" workbookViewId="0">
      <selection activeCell="Q24" sqref="Q24"/>
    </sheetView>
  </sheetViews>
  <sheetFormatPr defaultColWidth="9.109375" defaultRowHeight="13.8"/>
  <cols>
    <col min="1" max="1" width="9.109375" style="181"/>
    <col min="2" max="7" width="9.109375" style="111"/>
    <col min="8" max="8" width="14.33203125" style="111" customWidth="1"/>
    <col min="9" max="16384" width="9.109375" style="111"/>
  </cols>
  <sheetData>
    <row r="1" spans="1:10" ht="18">
      <c r="B1" s="182"/>
      <c r="C1" s="182"/>
      <c r="D1" s="182"/>
      <c r="E1" s="182"/>
      <c r="F1" s="182"/>
      <c r="G1" s="182"/>
      <c r="H1" s="182"/>
    </row>
    <row r="2" spans="1:10" ht="21">
      <c r="B2" s="122" t="s">
        <v>323</v>
      </c>
      <c r="H2" s="122" t="s">
        <v>324</v>
      </c>
      <c r="J2" s="452"/>
    </row>
    <row r="3" spans="1:10" ht="15.6">
      <c r="B3" s="113"/>
    </row>
    <row r="4" spans="1:10" ht="24.9" customHeight="1">
      <c r="A4" s="183"/>
      <c r="B4" s="113" t="s">
        <v>256</v>
      </c>
      <c r="H4" s="113">
        <v>3</v>
      </c>
    </row>
    <row r="5" spans="1:10" ht="24.9" customHeight="1">
      <c r="A5" s="183"/>
      <c r="B5" s="113" t="s">
        <v>899</v>
      </c>
      <c r="H5" s="113">
        <v>4</v>
      </c>
    </row>
    <row r="6" spans="1:10" ht="24.9" customHeight="1">
      <c r="A6" s="183"/>
      <c r="B6" s="113" t="s">
        <v>900</v>
      </c>
      <c r="F6" s="113"/>
    </row>
    <row r="7" spans="1:10" ht="24.9" customHeight="1">
      <c r="A7" s="183"/>
      <c r="B7" s="113" t="s">
        <v>325</v>
      </c>
      <c r="F7" s="184"/>
      <c r="G7" s="258"/>
      <c r="H7" s="120" t="s">
        <v>392</v>
      </c>
    </row>
    <row r="8" spans="1:10" ht="24.9" customHeight="1">
      <c r="A8" s="183"/>
      <c r="B8" s="113" t="s">
        <v>668</v>
      </c>
      <c r="F8" s="185"/>
      <c r="G8" s="258"/>
      <c r="H8" s="120" t="s">
        <v>1399</v>
      </c>
    </row>
    <row r="9" spans="1:10" ht="24.9" customHeight="1">
      <c r="A9" s="183"/>
      <c r="B9" s="113" t="s">
        <v>286</v>
      </c>
      <c r="F9" s="185"/>
      <c r="G9" s="258"/>
      <c r="H9" s="120" t="s">
        <v>1400</v>
      </c>
    </row>
    <row r="10" spans="1:10" ht="24.9" customHeight="1">
      <c r="A10" s="183"/>
      <c r="B10" s="113" t="s">
        <v>229</v>
      </c>
      <c r="F10" s="186"/>
      <c r="G10" s="258"/>
      <c r="H10" s="120" t="s">
        <v>1401</v>
      </c>
    </row>
    <row r="11" spans="1:10" ht="24.9" customHeight="1">
      <c r="A11" s="183"/>
      <c r="B11" s="113" t="s">
        <v>326</v>
      </c>
      <c r="F11" s="186"/>
      <c r="G11" s="258"/>
      <c r="H11" s="120" t="s">
        <v>1402</v>
      </c>
    </row>
    <row r="12" spans="1:10" ht="24.9" customHeight="1">
      <c r="A12" s="183"/>
      <c r="B12" s="113" t="s">
        <v>238</v>
      </c>
      <c r="F12" s="186"/>
      <c r="G12" s="258"/>
      <c r="H12" s="120" t="s">
        <v>1403</v>
      </c>
    </row>
    <row r="13" spans="1:10" ht="24.9" customHeight="1">
      <c r="A13" s="183"/>
      <c r="B13" s="113" t="s">
        <v>585</v>
      </c>
      <c r="F13" s="186"/>
      <c r="G13" s="258"/>
      <c r="H13" s="120" t="s">
        <v>1404</v>
      </c>
    </row>
    <row r="14" spans="1:10" ht="24.9" customHeight="1">
      <c r="A14" s="183"/>
      <c r="B14" s="113" t="s">
        <v>117</v>
      </c>
      <c r="F14" s="186"/>
      <c r="G14" s="258"/>
      <c r="H14" s="120" t="s">
        <v>1405</v>
      </c>
    </row>
    <row r="15" spans="1:10" ht="24.9" customHeight="1">
      <c r="A15" s="183"/>
      <c r="B15" s="113" t="s">
        <v>233</v>
      </c>
      <c r="F15" s="186"/>
      <c r="G15" s="258"/>
      <c r="H15" s="120" t="s">
        <v>1406</v>
      </c>
    </row>
    <row r="16" spans="1:10" ht="24.9" customHeight="1">
      <c r="A16" s="183"/>
      <c r="B16" s="113" t="s">
        <v>362</v>
      </c>
      <c r="F16" s="185"/>
      <c r="G16" s="258"/>
      <c r="H16" s="120" t="s">
        <v>1407</v>
      </c>
    </row>
    <row r="17" spans="1:8" ht="24.9" customHeight="1">
      <c r="A17" s="183"/>
      <c r="B17" s="113" t="s">
        <v>363</v>
      </c>
      <c r="F17" s="185"/>
      <c r="G17" s="258"/>
      <c r="H17" s="120" t="s">
        <v>1408</v>
      </c>
    </row>
    <row r="18" spans="1:8" ht="24.9" customHeight="1">
      <c r="A18" s="183"/>
      <c r="B18" s="113" t="s">
        <v>860</v>
      </c>
      <c r="F18" s="185"/>
      <c r="G18" s="258"/>
      <c r="H18" s="120" t="s">
        <v>1480</v>
      </c>
    </row>
    <row r="19" spans="1:8" ht="24.9" customHeight="1">
      <c r="A19" s="183"/>
      <c r="B19" s="113" t="s">
        <v>341</v>
      </c>
      <c r="F19" s="185"/>
      <c r="G19" s="258"/>
      <c r="H19" s="120" t="s">
        <v>1409</v>
      </c>
    </row>
    <row r="20" spans="1:8" ht="24.9" customHeight="1">
      <c r="A20" s="183"/>
      <c r="B20" s="113" t="s">
        <v>901</v>
      </c>
      <c r="H20" s="120" t="s">
        <v>1410</v>
      </c>
    </row>
    <row r="21" spans="1:8" ht="24.9" customHeight="1">
      <c r="A21" s="183"/>
      <c r="B21" s="113" t="s">
        <v>311</v>
      </c>
      <c r="H21" s="120" t="s">
        <v>1417</v>
      </c>
    </row>
    <row r="22" spans="1:8" ht="15.6">
      <c r="A22" s="1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6"/>
  <sheetViews>
    <sheetView rightToLeft="1" tabSelected="1" topLeftCell="A7" zoomScaleNormal="100" workbookViewId="0">
      <selection activeCell="Q24" sqref="Q24"/>
    </sheetView>
  </sheetViews>
  <sheetFormatPr defaultColWidth="9.109375" defaultRowHeight="13.8"/>
  <cols>
    <col min="1" max="2" width="4.109375" style="111" customWidth="1"/>
    <col min="3" max="3" width="56.88671875" style="111" customWidth="1"/>
    <col min="4" max="4" width="9.109375" style="111"/>
    <col min="5" max="5" width="15.6640625" style="111" customWidth="1"/>
    <col min="6" max="8" width="9.109375" style="111"/>
    <col min="9" max="9" width="7.88671875" style="111" customWidth="1"/>
    <col min="10" max="16384" width="9.109375" style="111"/>
  </cols>
  <sheetData>
    <row r="3" spans="1:16" ht="21">
      <c r="C3" s="112"/>
    </row>
    <row r="4" spans="1:16" ht="15.6">
      <c r="A4" s="113" t="s">
        <v>255</v>
      </c>
      <c r="B4" s="113" t="s">
        <v>255</v>
      </c>
      <c r="C4" s="114" t="s">
        <v>256</v>
      </c>
    </row>
    <row r="5" spans="1:16" ht="15.6">
      <c r="A5" s="113"/>
      <c r="B5" s="113"/>
      <c r="C5" s="114"/>
    </row>
    <row r="6" spans="1:16" ht="15.6">
      <c r="A6" s="113">
        <v>1.1000000000000001</v>
      </c>
      <c r="B6" s="113"/>
      <c r="C6" s="115" t="s">
        <v>257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</row>
    <row r="7" spans="1:16" ht="15.6">
      <c r="A7" s="113"/>
      <c r="B7" s="113"/>
      <c r="C7" s="113" t="s">
        <v>258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</row>
    <row r="8" spans="1:16" ht="15.6">
      <c r="A8" s="113"/>
      <c r="B8" s="113"/>
      <c r="C8" s="113" t="s">
        <v>1498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</row>
    <row r="9" spans="1:16" ht="15.6">
      <c r="A9" s="113"/>
      <c r="B9" s="113"/>
      <c r="C9" s="113" t="s">
        <v>1497</v>
      </c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</row>
    <row r="10" spans="1:16" ht="15.6">
      <c r="A10" s="113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</row>
    <row r="11" spans="1:16" ht="15.6">
      <c r="A11" s="113"/>
      <c r="B11" s="113"/>
      <c r="C11" s="113" t="s">
        <v>259</v>
      </c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</row>
    <row r="12" spans="1:16" ht="15.6">
      <c r="A12" s="116"/>
      <c r="B12" s="116" t="s">
        <v>227</v>
      </c>
      <c r="C12" s="113" t="s">
        <v>260</v>
      </c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</row>
    <row r="13" spans="1:16" ht="15.6">
      <c r="A13" s="113"/>
      <c r="B13" s="116" t="s">
        <v>227</v>
      </c>
      <c r="C13" s="113" t="s">
        <v>261</v>
      </c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</row>
    <row r="14" spans="1:16" ht="15.6">
      <c r="A14" s="113"/>
      <c r="B14" s="116" t="s">
        <v>227</v>
      </c>
      <c r="C14" s="113" t="s">
        <v>262</v>
      </c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</row>
    <row r="15" spans="1:16" ht="15.6">
      <c r="A15" s="113"/>
      <c r="B15" s="113"/>
      <c r="C15" s="113" t="s">
        <v>263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</row>
    <row r="16" spans="1:16" ht="15.6">
      <c r="A16" s="113"/>
      <c r="B16" s="116" t="s">
        <v>227</v>
      </c>
      <c r="C16" s="113" t="s">
        <v>264</v>
      </c>
      <c r="D16" s="113"/>
      <c r="E16" s="113"/>
      <c r="F16" s="113"/>
      <c r="G16" s="113"/>
      <c r="H16" s="113"/>
      <c r="I16" s="113"/>
      <c r="J16" s="115"/>
      <c r="K16" s="113"/>
      <c r="L16" s="113"/>
      <c r="M16" s="113"/>
      <c r="N16" s="113"/>
      <c r="O16" s="113"/>
      <c r="P16" s="113"/>
    </row>
    <row r="17" spans="1:16" ht="15.6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</row>
    <row r="18" spans="1:16" ht="15.6">
      <c r="A18" s="113">
        <v>1.2</v>
      </c>
      <c r="B18" s="113"/>
      <c r="C18" s="115" t="s">
        <v>265</v>
      </c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</row>
    <row r="19" spans="1:16" ht="15.6">
      <c r="A19" s="113"/>
      <c r="B19" s="113"/>
      <c r="C19" s="113" t="s">
        <v>266</v>
      </c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</row>
    <row r="20" spans="1:16" ht="15.6">
      <c r="A20" s="113"/>
      <c r="B20" s="113"/>
      <c r="C20" s="113" t="s">
        <v>1495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</row>
    <row r="21" spans="1:16" ht="15.6">
      <c r="A21" s="113"/>
      <c r="B21" s="113"/>
      <c r="C21" s="113" t="s">
        <v>1496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</row>
    <row r="22" spans="1:16" ht="15.6">
      <c r="A22" s="113"/>
      <c r="B22" s="113"/>
      <c r="C22" s="113" t="s">
        <v>267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</row>
    <row r="23" spans="1:16" ht="15.6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</row>
    <row r="24" spans="1:16" ht="15.6">
      <c r="A24" s="113">
        <v>1.3</v>
      </c>
      <c r="B24" s="113"/>
      <c r="C24" s="115" t="s">
        <v>268</v>
      </c>
      <c r="D24" s="113"/>
      <c r="E24" s="114" t="s">
        <v>269</v>
      </c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</row>
    <row r="25" spans="1:16" ht="15.6">
      <c r="A25" s="113"/>
      <c r="B25" s="113"/>
      <c r="C25" s="115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</row>
    <row r="26" spans="1:16" ht="16.2" thickBo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</row>
    <row r="27" spans="1:16" ht="16.2" thickBot="1">
      <c r="A27" s="113"/>
      <c r="B27" s="116" t="s">
        <v>227</v>
      </c>
      <c r="C27" s="113" t="s">
        <v>902</v>
      </c>
      <c r="E27" s="117">
        <f>'ריכוז אגפים'!S19/1000</f>
        <v>502826.12599999999</v>
      </c>
      <c r="K27" s="113"/>
      <c r="L27" s="113"/>
      <c r="M27" s="113"/>
      <c r="N27" s="113"/>
      <c r="O27" s="113"/>
      <c r="P27" s="113"/>
    </row>
    <row r="28" spans="1:16" ht="16.2" thickBo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  <row r="29" spans="1:16" ht="16.2" thickBot="1">
      <c r="A29" s="113"/>
      <c r="B29" s="116" t="s">
        <v>227</v>
      </c>
      <c r="C29" s="113" t="s">
        <v>903</v>
      </c>
      <c r="E29" s="117">
        <f>'ריכוז אגפים'!L19/1000</f>
        <v>566256.19999999995</v>
      </c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</row>
    <row r="30" spans="1:16" ht="16.2" thickBot="1">
      <c r="A30" s="113"/>
      <c r="B30" s="113"/>
      <c r="C30" s="113"/>
      <c r="D30" s="118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</row>
    <row r="31" spans="1:16" ht="16.2" thickBot="1">
      <c r="A31" s="113"/>
      <c r="B31" s="116" t="s">
        <v>227</v>
      </c>
      <c r="C31" s="113" t="s">
        <v>270</v>
      </c>
      <c r="E31" s="117">
        <f>'ריכוז אגפים'!B19/1000</f>
        <v>4639177.6849999996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</row>
    <row r="32" spans="1:16" ht="15.6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</row>
    <row r="33" spans="1:16" ht="15.6">
      <c r="A33" s="113"/>
      <c r="B33" s="119"/>
      <c r="C33" s="119"/>
      <c r="D33" s="119"/>
      <c r="E33" s="119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</row>
    <row r="34" spans="1:16" ht="15.6">
      <c r="A34" s="113"/>
      <c r="B34" s="116" t="s">
        <v>227</v>
      </c>
      <c r="C34" s="113" t="s">
        <v>1421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</row>
    <row r="35" spans="1:16" ht="15.6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</row>
    <row r="36" spans="1:16" ht="15.6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</row>
    <row r="37" spans="1:16" ht="15.6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</row>
    <row r="38" spans="1:16" ht="15.6">
      <c r="A38" s="120"/>
      <c r="B38" s="120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</row>
    <row r="39" spans="1:16" ht="15.6">
      <c r="A39" s="120"/>
      <c r="B39" s="120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</row>
    <row r="40" spans="1:16" ht="15.6">
      <c r="A40" s="120"/>
      <c r="B40" s="120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</row>
    <row r="41" spans="1:16" ht="15.6">
      <c r="A41" s="120"/>
      <c r="B41" s="120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</row>
    <row r="42" spans="1:16" ht="15.6">
      <c r="A42" s="120"/>
      <c r="B42" s="120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</row>
    <row r="43" spans="1:16" ht="15.6">
      <c r="A43" s="120"/>
      <c r="B43" s="120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</row>
    <row r="44" spans="1:16" ht="15.6">
      <c r="A44" s="120"/>
      <c r="B44" s="120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</row>
    <row r="45" spans="1:16" ht="15.6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</row>
    <row r="46" spans="1:16" ht="15.6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5"/>
  <sheetViews>
    <sheetView rightToLeft="1" tabSelected="1" topLeftCell="A13" zoomScaleNormal="100" workbookViewId="0">
      <selection activeCell="Q24" sqref="Q24"/>
    </sheetView>
  </sheetViews>
  <sheetFormatPr defaultColWidth="9.109375" defaultRowHeight="13.8"/>
  <cols>
    <col min="1" max="2" width="4.109375" style="111" customWidth="1"/>
    <col min="3" max="3" width="33" style="111" customWidth="1"/>
    <col min="4" max="4" width="10.6640625" style="111" customWidth="1"/>
    <col min="5" max="5" width="12.109375" style="111" customWidth="1"/>
    <col min="6" max="6" width="9" style="111" hidden="1" customWidth="1"/>
    <col min="7" max="7" width="13" style="111" customWidth="1"/>
    <col min="8" max="8" width="11" style="111" customWidth="1"/>
    <col min="9" max="9" width="10.44140625" style="111" customWidth="1"/>
    <col min="10" max="10" width="7.88671875" style="111" customWidth="1"/>
    <col min="11" max="16384" width="9.109375" style="111"/>
  </cols>
  <sheetData>
    <row r="2" spans="1:17" s="123" customFormat="1" ht="18">
      <c r="A2" s="121" t="s">
        <v>271</v>
      </c>
      <c r="B2" s="121"/>
      <c r="C2" s="122" t="s">
        <v>904</v>
      </c>
      <c r="D2" s="121"/>
      <c r="E2" s="121"/>
      <c r="F2" s="121"/>
      <c r="G2" s="121"/>
      <c r="H2" s="121"/>
      <c r="I2" s="121"/>
    </row>
    <row r="3" spans="1:17" ht="15.6">
      <c r="A3" s="113"/>
      <c r="B3" s="113"/>
      <c r="C3" s="114"/>
      <c r="D3" s="113"/>
      <c r="E3" s="113"/>
      <c r="F3" s="113"/>
      <c r="G3" s="113"/>
      <c r="H3" s="113"/>
      <c r="I3" s="113"/>
    </row>
    <row r="4" spans="1:17" ht="15.6">
      <c r="C4" s="113" t="s">
        <v>905</v>
      </c>
      <c r="D4" s="113"/>
      <c r="E4" s="113"/>
      <c r="F4" s="113"/>
      <c r="G4" s="113"/>
      <c r="H4" s="113"/>
      <c r="I4" s="113"/>
    </row>
    <row r="5" spans="1:17" ht="15.6">
      <c r="C5" s="113" t="s">
        <v>906</v>
      </c>
      <c r="E5" s="113"/>
      <c r="F5" s="118"/>
      <c r="G5" s="118"/>
      <c r="H5" s="118"/>
      <c r="I5" s="113"/>
      <c r="J5" s="113"/>
      <c r="K5" s="113"/>
      <c r="L5" s="113"/>
      <c r="M5" s="113"/>
      <c r="N5" s="113"/>
      <c r="O5" s="113"/>
      <c r="P5" s="113"/>
      <c r="Q5" s="113"/>
    </row>
    <row r="6" spans="1:17" ht="15.6">
      <c r="C6" s="113"/>
      <c r="D6" s="118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</row>
    <row r="7" spans="1:17" ht="15.6">
      <c r="C7" s="113" t="s">
        <v>272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</row>
    <row r="8" spans="1:17" ht="15.6"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</row>
    <row r="9" spans="1:17" ht="15.6">
      <c r="B9" s="116" t="s">
        <v>227</v>
      </c>
      <c r="C9" s="113" t="s">
        <v>13</v>
      </c>
      <c r="D9" s="124">
        <v>290040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</row>
    <row r="10" spans="1:17" ht="15.6">
      <c r="B10" s="116" t="s">
        <v>227</v>
      </c>
      <c r="C10" s="113" t="s">
        <v>14</v>
      </c>
      <c r="D10" s="124">
        <v>44000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</row>
    <row r="11" spans="1:17" ht="15.6" hidden="1">
      <c r="B11" s="116" t="s">
        <v>227</v>
      </c>
      <c r="C11" s="113" t="s">
        <v>273</v>
      </c>
      <c r="D11" s="124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</row>
    <row r="12" spans="1:17" ht="15.6">
      <c r="B12" s="116" t="s">
        <v>227</v>
      </c>
      <c r="C12" s="113" t="s">
        <v>401</v>
      </c>
      <c r="D12" s="124">
        <v>34723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17" ht="17.399999999999999">
      <c r="B13" s="116" t="s">
        <v>227</v>
      </c>
      <c r="C13" s="113" t="s">
        <v>274</v>
      </c>
      <c r="D13" s="125">
        <v>120645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</row>
    <row r="14" spans="1:17" ht="17.399999999999999">
      <c r="C14" s="115" t="s">
        <v>120</v>
      </c>
      <c r="D14" s="126">
        <f>SUM(D9:D13)</f>
        <v>489408</v>
      </c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</row>
    <row r="15" spans="1:17" ht="15.6"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</row>
    <row r="16" spans="1:17" ht="15.6">
      <c r="B16" s="113"/>
      <c r="C16" s="113" t="s">
        <v>907</v>
      </c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</row>
    <row r="17" spans="1:17" ht="15.6"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</row>
    <row r="18" spans="1:17" ht="46.8">
      <c r="C18" s="127" t="s">
        <v>275</v>
      </c>
      <c r="D18" s="128" t="s">
        <v>13</v>
      </c>
      <c r="E18" s="128" t="s">
        <v>14</v>
      </c>
      <c r="F18" s="128" t="s">
        <v>15</v>
      </c>
      <c r="G18" s="128" t="s">
        <v>401</v>
      </c>
      <c r="H18" s="128" t="s">
        <v>276</v>
      </c>
      <c r="I18" s="128" t="s">
        <v>120</v>
      </c>
      <c r="J18" s="113"/>
      <c r="K18" s="113"/>
      <c r="L18" s="113"/>
      <c r="M18" s="113"/>
      <c r="N18" s="113"/>
      <c r="O18" s="113"/>
      <c r="P18" s="113"/>
      <c r="Q18" s="113"/>
    </row>
    <row r="19" spans="1:17" ht="31.5" customHeight="1">
      <c r="C19" s="129" t="s">
        <v>277</v>
      </c>
      <c r="D19" s="130">
        <f>D9</f>
        <v>290040</v>
      </c>
      <c r="E19" s="130">
        <f>D10</f>
        <v>44000</v>
      </c>
      <c r="F19" s="130">
        <f>D11</f>
        <v>0</v>
      </c>
      <c r="G19" s="130">
        <f>D12</f>
        <v>34723</v>
      </c>
      <c r="H19" s="130">
        <f>D13</f>
        <v>120645</v>
      </c>
      <c r="I19" s="130">
        <f>SUM(D19:H19)</f>
        <v>489408</v>
      </c>
      <c r="J19" s="113"/>
      <c r="K19" s="113"/>
      <c r="L19" s="113"/>
      <c r="M19" s="113"/>
      <c r="N19" s="113"/>
      <c r="O19" s="113"/>
      <c r="P19" s="113"/>
      <c r="Q19" s="113"/>
    </row>
    <row r="20" spans="1:17" ht="31.5" customHeight="1">
      <c r="C20" s="129" t="s">
        <v>908</v>
      </c>
      <c r="D20" s="130">
        <f>'ריכוז אגפים 2019'!AM$19/1000</f>
        <v>220080.88699999999</v>
      </c>
      <c r="E20" s="130">
        <f>'ריכוז אגפים 2019'!AN$19/1000</f>
        <v>39493</v>
      </c>
      <c r="F20" s="130">
        <f>'ריכוז אגפים 2019'!AO$19/1000</f>
        <v>0</v>
      </c>
      <c r="G20" s="130">
        <f>'ריכוז אגפים 2019'!AP$19/1000</f>
        <v>21640.345000000001</v>
      </c>
      <c r="H20" s="130">
        <f>'ריכוז אגפים 2019'!AQ$19/1000</f>
        <v>53850.542999999998</v>
      </c>
      <c r="I20" s="130">
        <f>SUM(D20:H20)</f>
        <v>335064.77499999997</v>
      </c>
      <c r="J20" s="113"/>
      <c r="K20" s="113"/>
      <c r="L20" s="113"/>
      <c r="M20" s="113"/>
      <c r="N20" s="113"/>
      <c r="O20" s="113"/>
      <c r="P20" s="113"/>
      <c r="Q20" s="113"/>
    </row>
    <row r="21" spans="1:17" ht="31.5" customHeight="1">
      <c r="C21" s="129" t="s">
        <v>278</v>
      </c>
      <c r="D21" s="130">
        <f t="shared" ref="D21:I21" si="0">D20/D19*100</f>
        <v>75.879494897255555</v>
      </c>
      <c r="E21" s="130">
        <f t="shared" si="0"/>
        <v>89.756818181818176</v>
      </c>
      <c r="F21" s="130"/>
      <c r="G21" s="130">
        <f t="shared" si="0"/>
        <v>62.322797569334455</v>
      </c>
      <c r="H21" s="130">
        <f t="shared" si="0"/>
        <v>44.635536491358948</v>
      </c>
      <c r="I21" s="130">
        <f t="shared" si="0"/>
        <v>68.463281147835744</v>
      </c>
      <c r="J21" s="113"/>
      <c r="K21" s="113"/>
      <c r="L21" s="113"/>
      <c r="M21" s="113"/>
      <c r="N21" s="113"/>
      <c r="O21" s="113"/>
      <c r="P21" s="113"/>
      <c r="Q21" s="113"/>
    </row>
    <row r="22" spans="1:17" ht="31.5" customHeight="1">
      <c r="C22" s="131" t="s">
        <v>909</v>
      </c>
      <c r="D22" s="130">
        <f>'ריכוז תקציב מעבר לתוכנית 2019'!AC92/1000</f>
        <v>13693.679</v>
      </c>
      <c r="E22" s="130">
        <f>'ריכוז תקציב מעבר לתוכנית 2019'!AD92/1000</f>
        <v>7945.4189999999999</v>
      </c>
      <c r="F22" s="130"/>
      <c r="G22" s="130"/>
      <c r="H22" s="130">
        <f>'ריכוז תקציב מעבר לתוכנית 2019'!AE92/1000</f>
        <v>6687.48</v>
      </c>
      <c r="I22" s="130">
        <f>SUM(D22:H22)</f>
        <v>28326.577999999998</v>
      </c>
      <c r="J22" s="113"/>
      <c r="K22" s="113"/>
      <c r="L22" s="113"/>
      <c r="M22" s="113"/>
      <c r="N22" s="113"/>
      <c r="O22" s="113"/>
      <c r="P22" s="113"/>
      <c r="Q22" s="113"/>
    </row>
    <row r="23" spans="1:17" ht="31.5" customHeight="1">
      <c r="C23" s="129" t="s">
        <v>279</v>
      </c>
      <c r="D23" s="130">
        <f>D20+D22</f>
        <v>233774.56599999999</v>
      </c>
      <c r="E23" s="130">
        <f>E20+E22</f>
        <v>47438.419000000002</v>
      </c>
      <c r="F23" s="130">
        <f>F20+F22</f>
        <v>0</v>
      </c>
      <c r="G23" s="130">
        <f>G20+G22</f>
        <v>21640.345000000001</v>
      </c>
      <c r="H23" s="130">
        <f>H20+H22</f>
        <v>60538.023000000001</v>
      </c>
      <c r="I23" s="130">
        <f>SUM(D23:H23)</f>
        <v>363391.35299999994</v>
      </c>
      <c r="J23" s="113"/>
      <c r="K23" s="113"/>
      <c r="L23" s="113"/>
      <c r="M23" s="113"/>
      <c r="N23" s="113"/>
      <c r="O23" s="113"/>
      <c r="P23" s="113"/>
      <c r="Q23" s="113"/>
    </row>
    <row r="24" spans="1:17" ht="31.5" customHeight="1">
      <c r="C24" s="129" t="s">
        <v>278</v>
      </c>
      <c r="D24" s="130">
        <f t="shared" ref="D24:I24" si="1">D23/D19*100</f>
        <v>80.600801958350559</v>
      </c>
      <c r="E24" s="130">
        <f t="shared" si="1"/>
        <v>107.81458863636364</v>
      </c>
      <c r="F24" s="130" t="e">
        <f t="shared" si="1"/>
        <v>#DIV/0!</v>
      </c>
      <c r="G24" s="130">
        <f t="shared" si="1"/>
        <v>62.322797569334455</v>
      </c>
      <c r="H24" s="130">
        <f t="shared" si="1"/>
        <v>50.178642297650136</v>
      </c>
      <c r="I24" s="130">
        <f t="shared" si="1"/>
        <v>74.251208194389946</v>
      </c>
      <c r="L24" s="113"/>
      <c r="M24" s="113"/>
      <c r="N24" s="113"/>
      <c r="O24" s="113"/>
      <c r="P24" s="113"/>
      <c r="Q24" s="113"/>
    </row>
    <row r="25" spans="1:17" ht="15.6"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</row>
    <row r="26" spans="1:17" ht="15.6">
      <c r="C26" s="251" t="s">
        <v>1426</v>
      </c>
      <c r="D26" s="25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</row>
    <row r="27" spans="1:17" ht="15.6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</row>
    <row r="28" spans="1:17" ht="15.6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</row>
    <row r="29" spans="1:17" ht="15.6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</row>
    <row r="30" spans="1:17" ht="15.6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</row>
    <row r="31" spans="1:17" ht="15.6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</row>
    <row r="32" spans="1:17" ht="15.6">
      <c r="A32" s="113"/>
      <c r="B32" s="113"/>
      <c r="C32" s="116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7" ht="15.6">
      <c r="A33" s="113"/>
      <c r="B33" s="113"/>
      <c r="C33" s="116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</row>
    <row r="34" spans="1:17" ht="15.6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</row>
    <row r="35" spans="1:17" ht="15.6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</row>
    <row r="36" spans="1:17" ht="15.6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</row>
    <row r="37" spans="1:17" ht="15.6">
      <c r="A37" s="120"/>
      <c r="B37" s="120"/>
      <c r="C37" s="120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</row>
    <row r="38" spans="1:17" ht="15.6">
      <c r="A38" s="120"/>
      <c r="B38" s="120"/>
      <c r="C38" s="120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</row>
    <row r="39" spans="1:17" ht="15.6">
      <c r="A39" s="120"/>
      <c r="B39" s="120"/>
      <c r="C39" s="120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</row>
    <row r="40" spans="1:17" ht="15.6">
      <c r="A40" s="120"/>
      <c r="B40" s="120"/>
      <c r="C40" s="120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</row>
    <row r="41" spans="1:17" ht="15.6">
      <c r="A41" s="120"/>
      <c r="B41" s="120"/>
      <c r="C41" s="120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</row>
    <row r="42" spans="1:17" ht="15.6">
      <c r="A42" s="120"/>
      <c r="B42" s="120"/>
      <c r="C42" s="120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</row>
    <row r="43" spans="1:17" ht="15.6">
      <c r="A43" s="120"/>
      <c r="B43" s="120"/>
      <c r="C43" s="120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</row>
    <row r="44" spans="1:17" ht="15.6"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</row>
    <row r="45" spans="1:17" ht="15.6"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111" customWidth="1"/>
    <col min="4" max="4" width="33" style="111" customWidth="1"/>
    <col min="5" max="9" width="12.109375" style="111" customWidth="1"/>
    <col min="10" max="10" width="7.88671875" style="111" customWidth="1"/>
    <col min="11" max="16384" width="9.109375" style="111"/>
  </cols>
  <sheetData>
    <row r="3" spans="1:17" ht="21">
      <c r="E3" s="112"/>
    </row>
    <row r="4" spans="1:17" s="123" customFormat="1" ht="18">
      <c r="A4" s="121" t="s">
        <v>283</v>
      </c>
      <c r="C4" s="122" t="s">
        <v>900</v>
      </c>
    </row>
    <row r="5" spans="1:17" ht="15.6">
      <c r="A5" s="113"/>
      <c r="C5" s="114"/>
      <c r="G5" s="114" t="s">
        <v>269</v>
      </c>
    </row>
    <row r="6" spans="1:17" ht="16.2" thickBot="1">
      <c r="A6" s="113"/>
      <c r="C6" s="114"/>
    </row>
    <row r="7" spans="1:17" ht="16.2" thickBot="1">
      <c r="A7" s="113">
        <v>3.1</v>
      </c>
      <c r="C7" s="113" t="s">
        <v>282</v>
      </c>
      <c r="D7" s="113"/>
      <c r="E7" s="113"/>
      <c r="F7" s="113"/>
      <c r="G7" s="133">
        <f>מבוא!E27</f>
        <v>502826.12599999999</v>
      </c>
    </row>
    <row r="8" spans="1:17" ht="16.2" thickBot="1">
      <c r="A8" s="113"/>
      <c r="C8" s="113"/>
      <c r="D8" s="113"/>
      <c r="E8" s="113"/>
      <c r="F8" s="113"/>
      <c r="G8" s="118"/>
    </row>
    <row r="9" spans="1:17" ht="16.2" thickBot="1">
      <c r="A9" s="113"/>
      <c r="C9" s="113" t="s">
        <v>903</v>
      </c>
      <c r="D9" s="113"/>
      <c r="E9" s="113"/>
      <c r="F9" s="113"/>
      <c r="G9" s="133">
        <f>מבוא!E29</f>
        <v>566256.19999999995</v>
      </c>
      <c r="I9" s="113"/>
      <c r="J9" s="113"/>
      <c r="K9" s="113"/>
      <c r="L9" s="113"/>
    </row>
    <row r="10" spans="1:17" ht="16.2" thickBot="1">
      <c r="A10" s="113"/>
      <c r="C10" s="113"/>
      <c r="D10" s="113"/>
      <c r="E10" s="113"/>
      <c r="F10" s="113"/>
      <c r="G10" s="118"/>
      <c r="I10" s="113"/>
      <c r="J10" s="113"/>
      <c r="K10" s="113"/>
      <c r="L10" s="113"/>
    </row>
    <row r="11" spans="1:17" ht="16.2" thickBot="1">
      <c r="A11" s="113"/>
      <c r="C11" s="113" t="s">
        <v>270</v>
      </c>
      <c r="D11" s="113"/>
      <c r="E11" s="113"/>
      <c r="F11" s="113"/>
      <c r="G11" s="133">
        <f>מבוא!E31</f>
        <v>4639177.6849999996</v>
      </c>
      <c r="I11" s="113"/>
      <c r="J11" s="113"/>
      <c r="K11" s="113"/>
      <c r="L11" s="113"/>
      <c r="O11" s="113"/>
      <c r="P11" s="113"/>
      <c r="Q11" s="113"/>
    </row>
    <row r="12" spans="1:17" ht="15.6">
      <c r="A12" s="113"/>
      <c r="C12" s="113"/>
      <c r="D12" s="113"/>
      <c r="E12" s="113"/>
      <c r="F12" s="113"/>
      <c r="G12" s="132"/>
      <c r="I12" s="113"/>
      <c r="J12" s="113"/>
      <c r="K12" s="113"/>
      <c r="L12" s="113"/>
      <c r="O12" s="113"/>
      <c r="P12" s="113"/>
      <c r="Q12" s="113"/>
    </row>
    <row r="13" spans="1:17" ht="15.6">
      <c r="A13" s="113"/>
      <c r="C13" s="113"/>
      <c r="D13" s="113"/>
      <c r="E13" s="113"/>
      <c r="F13" s="113"/>
      <c r="G13" s="132"/>
      <c r="I13" s="113"/>
      <c r="J13" s="113"/>
      <c r="K13" s="113"/>
      <c r="L13" s="113"/>
      <c r="O13" s="113"/>
      <c r="P13" s="113"/>
      <c r="Q13" s="113"/>
    </row>
    <row r="14" spans="1:17" ht="15.6">
      <c r="A14" s="113"/>
      <c r="C14" s="113"/>
      <c r="D14" s="253"/>
      <c r="E14" s="113"/>
      <c r="F14" s="113"/>
      <c r="G14" s="113"/>
      <c r="H14" s="113"/>
      <c r="I14" s="113"/>
      <c r="J14" s="113"/>
      <c r="K14" s="113"/>
      <c r="L14" s="113"/>
      <c r="O14" s="113"/>
      <c r="P14" s="113"/>
      <c r="Q14" s="113"/>
    </row>
    <row r="15" spans="1:17" ht="15.6">
      <c r="A15" s="113">
        <v>3.2</v>
      </c>
      <c r="C15" s="113" t="s">
        <v>910</v>
      </c>
      <c r="D15" s="113"/>
      <c r="E15" s="113"/>
      <c r="F15" s="113"/>
      <c r="G15" s="113"/>
      <c r="H15" s="113"/>
      <c r="I15" s="113"/>
      <c r="J15" s="113"/>
      <c r="K15" s="113"/>
      <c r="L15" s="113"/>
      <c r="O15" s="113"/>
      <c r="P15" s="113"/>
      <c r="Q15" s="113"/>
    </row>
    <row r="16" spans="1:17" ht="15.6">
      <c r="A16" s="113"/>
      <c r="B16" s="116" t="s">
        <v>227</v>
      </c>
      <c r="C16" s="113" t="s">
        <v>281</v>
      </c>
      <c r="D16" s="113"/>
      <c r="E16" s="113"/>
      <c r="F16" s="113"/>
      <c r="G16" s="113"/>
      <c r="H16" s="113"/>
      <c r="I16" s="113"/>
      <c r="J16" s="113"/>
      <c r="K16" s="113"/>
      <c r="L16" s="113"/>
      <c r="O16" s="113"/>
      <c r="P16" s="113"/>
      <c r="Q16" s="113"/>
    </row>
    <row r="17" spans="1:17" ht="15.6">
      <c r="A17" s="113"/>
      <c r="B17" s="116" t="s">
        <v>227</v>
      </c>
      <c r="C17" s="113" t="s">
        <v>1481</v>
      </c>
      <c r="D17" s="113"/>
      <c r="E17" s="113"/>
      <c r="F17" s="113"/>
      <c r="G17" s="113"/>
      <c r="H17" s="113"/>
      <c r="I17" s="113"/>
      <c r="J17" s="113"/>
      <c r="K17" s="113"/>
      <c r="L17" s="113"/>
      <c r="O17" s="113"/>
      <c r="P17" s="113"/>
      <c r="Q17" s="113"/>
    </row>
    <row r="18" spans="1:17" ht="15.6">
      <c r="A18" s="113"/>
      <c r="B18" s="116" t="s">
        <v>227</v>
      </c>
      <c r="C18" s="113" t="s">
        <v>1482</v>
      </c>
      <c r="D18" s="113"/>
      <c r="E18" s="113"/>
      <c r="F18" s="113"/>
      <c r="G18" s="113"/>
      <c r="H18" s="113"/>
      <c r="I18" s="113"/>
      <c r="J18" s="113"/>
      <c r="K18" s="113"/>
      <c r="L18" s="113"/>
      <c r="O18" s="113"/>
      <c r="P18" s="113"/>
      <c r="Q18" s="113"/>
    </row>
    <row r="19" spans="1:17" ht="15.6">
      <c r="A19" s="113"/>
      <c r="B19" s="116" t="s">
        <v>227</v>
      </c>
      <c r="C19" s="113" t="s">
        <v>1483</v>
      </c>
      <c r="D19" s="113"/>
      <c r="E19" s="113"/>
      <c r="F19" s="113"/>
      <c r="G19" s="113"/>
      <c r="H19" s="113"/>
      <c r="I19" s="113"/>
      <c r="J19" s="113"/>
      <c r="K19" s="113"/>
      <c r="L19" s="113"/>
      <c r="O19" s="113"/>
      <c r="P19" s="113"/>
      <c r="Q19" s="113"/>
    </row>
    <row r="20" spans="1:17" ht="15.6">
      <c r="A20" s="113"/>
      <c r="B20" s="116" t="s">
        <v>227</v>
      </c>
      <c r="C20" s="113" t="s">
        <v>865</v>
      </c>
      <c r="D20" s="113"/>
      <c r="E20" s="113"/>
      <c r="F20" s="113"/>
      <c r="G20" s="113"/>
      <c r="H20" s="113"/>
      <c r="I20" s="113"/>
      <c r="J20" s="113"/>
      <c r="K20" s="113"/>
      <c r="L20" s="113"/>
      <c r="O20" s="113"/>
      <c r="P20" s="113"/>
      <c r="Q20" s="113"/>
    </row>
    <row r="21" spans="1:17" ht="15.6">
      <c r="B21" s="116" t="s">
        <v>227</v>
      </c>
      <c r="C21" s="113" t="s">
        <v>1484</v>
      </c>
    </row>
    <row r="22" spans="1:17" ht="15.6">
      <c r="A22" s="113"/>
      <c r="B22" s="116" t="s">
        <v>227</v>
      </c>
      <c r="C22" s="113" t="s">
        <v>1485</v>
      </c>
      <c r="D22" s="113"/>
      <c r="E22" s="113"/>
      <c r="F22" s="113"/>
      <c r="G22" s="113"/>
      <c r="H22" s="113"/>
      <c r="I22" s="113"/>
      <c r="J22" s="113"/>
      <c r="K22" s="113"/>
      <c r="L22" s="113"/>
      <c r="O22" s="113"/>
      <c r="P22" s="113"/>
      <c r="Q22" s="113"/>
    </row>
    <row r="23" spans="1:17" ht="15.6">
      <c r="A23" s="113"/>
      <c r="B23" s="116" t="s">
        <v>227</v>
      </c>
      <c r="C23" s="113" t="s">
        <v>1486</v>
      </c>
      <c r="D23" s="113"/>
      <c r="E23" s="113"/>
      <c r="F23" s="113"/>
      <c r="G23" s="113"/>
      <c r="H23" s="113"/>
      <c r="I23" s="113"/>
      <c r="J23" s="113"/>
      <c r="K23" s="113"/>
      <c r="L23" s="113"/>
      <c r="O23" s="113"/>
      <c r="P23" s="113"/>
      <c r="Q23" s="113"/>
    </row>
    <row r="24" spans="1:17" ht="15.6">
      <c r="A24" s="113"/>
      <c r="B24" s="116" t="s">
        <v>227</v>
      </c>
      <c r="C24" s="113" t="s">
        <v>1487</v>
      </c>
      <c r="D24" s="113"/>
      <c r="E24" s="113"/>
      <c r="F24" s="113"/>
      <c r="G24" s="113"/>
      <c r="H24" s="113"/>
      <c r="I24" s="113"/>
      <c r="J24" s="113"/>
      <c r="K24" s="113"/>
      <c r="L24" s="113"/>
      <c r="O24" s="113"/>
      <c r="P24" s="113"/>
      <c r="Q24" s="113"/>
    </row>
    <row r="25" spans="1:17" ht="15.6">
      <c r="A25" s="113"/>
      <c r="B25" s="116" t="s">
        <v>227</v>
      </c>
      <c r="C25" s="113" t="s">
        <v>1488</v>
      </c>
      <c r="D25" s="113"/>
      <c r="E25" s="113"/>
      <c r="F25" s="113"/>
      <c r="G25" s="113"/>
      <c r="H25" s="113"/>
      <c r="I25" s="113"/>
      <c r="J25" s="113"/>
      <c r="K25" s="113"/>
      <c r="L25" s="113"/>
      <c r="O25" s="113"/>
      <c r="P25" s="113"/>
      <c r="Q25" s="113"/>
    </row>
    <row r="26" spans="1:17" ht="15.6">
      <c r="A26" s="113"/>
      <c r="B26" s="116" t="s">
        <v>227</v>
      </c>
      <c r="C26" s="113" t="s">
        <v>280</v>
      </c>
      <c r="D26" s="113"/>
      <c r="E26" s="113"/>
      <c r="F26" s="113"/>
      <c r="G26" s="113"/>
      <c r="H26" s="113"/>
      <c r="I26" s="113"/>
      <c r="J26" s="113"/>
      <c r="K26" s="113"/>
      <c r="L26" s="113"/>
      <c r="O26" s="113"/>
      <c r="P26" s="113"/>
      <c r="Q26" s="113"/>
    </row>
    <row r="27" spans="1:17" ht="15.6">
      <c r="A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O27" s="113"/>
      <c r="P27" s="113"/>
      <c r="Q27" s="113"/>
    </row>
    <row r="28" spans="1:17" ht="15.6">
      <c r="A28" s="113"/>
      <c r="N28" s="113"/>
      <c r="O28" s="113"/>
      <c r="P28" s="113"/>
      <c r="Q28" s="113"/>
    </row>
    <row r="29" spans="1:17" ht="15.6">
      <c r="A29" s="113"/>
      <c r="N29" s="113"/>
      <c r="O29" s="113"/>
      <c r="P29" s="113"/>
      <c r="Q29" s="113"/>
    </row>
    <row r="30" spans="1:17" ht="22.8">
      <c r="A30" s="113"/>
      <c r="B30" s="120"/>
      <c r="C30" s="120"/>
      <c r="D30" s="384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</row>
    <row r="31" spans="1:17" ht="15.6">
      <c r="A31" s="120"/>
      <c r="B31" s="120"/>
      <c r="C31" s="120"/>
      <c r="D31" s="120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</row>
    <row r="32" spans="1:17" ht="15.6"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5:17" ht="15.6"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7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111" customWidth="1"/>
    <col min="4" max="4" width="33" style="111" customWidth="1"/>
    <col min="5" max="8" width="12.109375" style="111" customWidth="1"/>
    <col min="9" max="9" width="12.109375" style="111" hidden="1" customWidth="1"/>
    <col min="10" max="10" width="7.88671875" style="111" customWidth="1"/>
    <col min="11" max="16384" width="9.109375" style="111"/>
  </cols>
  <sheetData>
    <row r="3" spans="1:17" ht="21">
      <c r="E3" s="112"/>
    </row>
    <row r="4" spans="1:17" ht="15.6">
      <c r="A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O4" s="113"/>
      <c r="P4" s="113"/>
      <c r="Q4" s="113"/>
    </row>
    <row r="5" spans="1:17" ht="15.6">
      <c r="A5" s="113">
        <v>3.3</v>
      </c>
      <c r="C5" s="113" t="s">
        <v>337</v>
      </c>
      <c r="D5" s="113"/>
      <c r="E5" s="113"/>
      <c r="F5" s="113"/>
      <c r="G5" s="113"/>
      <c r="H5" s="113"/>
      <c r="I5" s="113"/>
      <c r="J5" s="113"/>
      <c r="K5" s="113"/>
      <c r="L5" s="113"/>
      <c r="O5" s="113"/>
      <c r="P5" s="113"/>
      <c r="Q5" s="113"/>
    </row>
    <row r="6" spans="1:17" ht="16.2" thickBot="1">
      <c r="A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O6" s="113"/>
      <c r="P6" s="113"/>
      <c r="Q6" s="113"/>
    </row>
    <row r="7" spans="1:17" ht="20.100000000000001" customHeight="1">
      <c r="A7" s="113"/>
      <c r="C7" s="134" t="s">
        <v>285</v>
      </c>
      <c r="D7" s="135"/>
      <c r="E7" s="460" t="s">
        <v>828</v>
      </c>
      <c r="F7" s="137" t="s">
        <v>914</v>
      </c>
      <c r="G7" s="138" t="s">
        <v>574</v>
      </c>
      <c r="O7" s="113"/>
      <c r="P7" s="113"/>
      <c r="Q7" s="113"/>
    </row>
    <row r="8" spans="1:17" ht="20.100000000000001" customHeight="1">
      <c r="A8" s="113"/>
      <c r="C8" s="139" t="s">
        <v>911</v>
      </c>
      <c r="D8" s="140"/>
      <c r="E8" s="252">
        <v>81</v>
      </c>
      <c r="F8" s="252">
        <f>'ריכוז פרקים'!S11/1000</f>
        <v>213194.97099999999</v>
      </c>
      <c r="G8" s="222">
        <v>83574.3</v>
      </c>
      <c r="I8" s="316">
        <f t="shared" ref="I8:I20" si="0">F8/$F$21</f>
        <v>0.42399342431940379</v>
      </c>
      <c r="O8" s="113"/>
      <c r="P8" s="113"/>
      <c r="Q8" s="113"/>
    </row>
    <row r="9" spans="1:17" ht="20.100000000000001" customHeight="1">
      <c r="A9" s="113"/>
      <c r="C9" s="139" t="s">
        <v>338</v>
      </c>
      <c r="D9" s="145"/>
      <c r="E9" s="252">
        <v>74</v>
      </c>
      <c r="F9" s="252">
        <f>'ריכוז פרקים'!S8/1000</f>
        <v>153631.31700000001</v>
      </c>
      <c r="G9" s="479">
        <v>244597.3</v>
      </c>
      <c r="I9" s="316">
        <f t="shared" si="0"/>
        <v>0.30553566940155374</v>
      </c>
      <c r="O9" s="113"/>
      <c r="P9" s="113"/>
      <c r="Q9" s="113"/>
    </row>
    <row r="10" spans="1:17" ht="20.100000000000001" customHeight="1">
      <c r="A10" s="113"/>
      <c r="C10" s="139" t="s">
        <v>912</v>
      </c>
      <c r="D10" s="145"/>
      <c r="E10" s="252">
        <v>82</v>
      </c>
      <c r="F10" s="252">
        <f>'ריכוז פרקים'!S12/1000</f>
        <v>53297.228999999999</v>
      </c>
      <c r="G10" s="222">
        <v>80246</v>
      </c>
      <c r="I10" s="316">
        <f t="shared" si="0"/>
        <v>0.10599534559586508</v>
      </c>
      <c r="O10" s="113"/>
      <c r="P10" s="113"/>
      <c r="Q10" s="113"/>
    </row>
    <row r="11" spans="1:17" ht="20.100000000000001" customHeight="1">
      <c r="A11" s="113"/>
      <c r="C11" s="139" t="s">
        <v>836</v>
      </c>
      <c r="D11" s="145"/>
      <c r="E11" s="252">
        <v>764</v>
      </c>
      <c r="F11" s="252">
        <f>'ריכוז פרקים'!S17/1000</f>
        <v>17500</v>
      </c>
      <c r="G11" s="222">
        <v>16350</v>
      </c>
      <c r="I11" s="316">
        <f t="shared" si="0"/>
        <v>3.4803283073640452E-2</v>
      </c>
      <c r="O11" s="113"/>
      <c r="P11" s="113"/>
      <c r="Q11" s="113"/>
    </row>
    <row r="12" spans="1:17" ht="20.100000000000001" customHeight="1">
      <c r="A12" s="113"/>
      <c r="C12" s="146" t="s">
        <v>342</v>
      </c>
      <c r="D12" s="147"/>
      <c r="E12" s="252">
        <v>76</v>
      </c>
      <c r="F12" s="252">
        <f>'ריכוז פרקים'!S10/1000</f>
        <v>16600</v>
      </c>
      <c r="G12" s="222">
        <v>13960</v>
      </c>
      <c r="I12" s="316">
        <f t="shared" si="0"/>
        <v>3.3013399944138939E-2</v>
      </c>
      <c r="O12" s="113"/>
      <c r="P12" s="113"/>
      <c r="Q12" s="113"/>
    </row>
    <row r="13" spans="1:17" ht="20.100000000000001" customHeight="1">
      <c r="A13" s="113"/>
      <c r="C13" s="139" t="s">
        <v>340</v>
      </c>
      <c r="D13" s="140"/>
      <c r="E13" s="252">
        <v>73</v>
      </c>
      <c r="F13" s="252">
        <f>'ריכוז פרקים'!S7/1000</f>
        <v>16243.338</v>
      </c>
      <c r="G13" s="222">
        <v>19720</v>
      </c>
      <c r="I13" s="316">
        <f t="shared" si="0"/>
        <v>3.2304085169989755E-2</v>
      </c>
      <c r="O13" s="113"/>
      <c r="P13" s="113"/>
      <c r="Q13" s="113"/>
    </row>
    <row r="14" spans="1:17" ht="20.100000000000001" customHeight="1">
      <c r="A14" s="113"/>
      <c r="C14" s="146" t="s">
        <v>339</v>
      </c>
      <c r="D14" s="223"/>
      <c r="E14" s="252">
        <v>93</v>
      </c>
      <c r="F14" s="252">
        <f>'ריכוז פרקים'!S18/1000</f>
        <v>12524.3</v>
      </c>
      <c r="G14" s="222">
        <v>12154</v>
      </c>
      <c r="I14" s="316">
        <f t="shared" si="0"/>
        <v>2.490781475423972E-2</v>
      </c>
      <c r="O14" s="113"/>
      <c r="P14" s="113"/>
      <c r="Q14" s="113"/>
    </row>
    <row r="15" spans="1:17" ht="20.100000000000001" customHeight="1">
      <c r="A15" s="113"/>
      <c r="C15" s="139" t="s">
        <v>108</v>
      </c>
      <c r="D15" s="140"/>
      <c r="E15" s="252">
        <v>87</v>
      </c>
      <c r="F15" s="252">
        <f>'ריכוז פרקים'!S15/1000</f>
        <v>10300</v>
      </c>
      <c r="G15" s="222">
        <v>3130</v>
      </c>
      <c r="I15" s="316">
        <f t="shared" si="0"/>
        <v>2.0484218037628378E-2</v>
      </c>
      <c r="O15" s="113"/>
      <c r="P15" s="113"/>
      <c r="Q15" s="113"/>
    </row>
    <row r="16" spans="1:17" ht="20.100000000000001" customHeight="1">
      <c r="A16" s="113"/>
      <c r="C16" s="139" t="s">
        <v>833</v>
      </c>
      <c r="D16" s="145"/>
      <c r="E16" s="252">
        <v>848</v>
      </c>
      <c r="F16" s="252">
        <f>'ריכוז פרקים'!S16/1000</f>
        <v>3600</v>
      </c>
      <c r="G16" s="222">
        <v>6500</v>
      </c>
      <c r="I16" s="316">
        <f t="shared" si="0"/>
        <v>7.1595325180060353E-3</v>
      </c>
      <c r="N16" s="150"/>
      <c r="O16" s="113"/>
      <c r="P16" s="113"/>
      <c r="Q16" s="113"/>
    </row>
    <row r="17" spans="1:17" ht="20.100000000000001" customHeight="1">
      <c r="A17" s="113"/>
      <c r="C17" s="139" t="s">
        <v>913</v>
      </c>
      <c r="D17" s="145"/>
      <c r="E17" s="252">
        <v>84</v>
      </c>
      <c r="F17" s="252">
        <f>'ריכוז פרקים'!S13/1000</f>
        <v>2550</v>
      </c>
      <c r="G17" s="222">
        <v>50</v>
      </c>
      <c r="I17" s="316">
        <f t="shared" si="0"/>
        <v>5.0713355335876087E-3</v>
      </c>
      <c r="O17" s="113"/>
      <c r="P17" s="113"/>
      <c r="Q17" s="113"/>
    </row>
    <row r="18" spans="1:17" ht="20.100000000000001" customHeight="1">
      <c r="A18" s="113"/>
      <c r="C18" s="139" t="s">
        <v>106</v>
      </c>
      <c r="D18" s="140"/>
      <c r="E18" s="252">
        <v>747</v>
      </c>
      <c r="F18" s="252">
        <f>'ריכוז פרקים'!S9/1000</f>
        <v>2234.971</v>
      </c>
      <c r="G18" s="222">
        <v>3416</v>
      </c>
      <c r="I18" s="316">
        <f t="shared" si="0"/>
        <v>4.4448187642501299E-3</v>
      </c>
      <c r="O18" s="113"/>
      <c r="P18" s="113"/>
      <c r="Q18" s="113"/>
    </row>
    <row r="19" spans="1:17" ht="20.100000000000001" customHeight="1">
      <c r="A19" s="113"/>
      <c r="C19" s="139" t="s">
        <v>343</v>
      </c>
      <c r="D19" s="140"/>
      <c r="E19" s="252">
        <v>85</v>
      </c>
      <c r="F19" s="252">
        <f>'ריכוז פרקים'!S14/1000</f>
        <v>1050</v>
      </c>
      <c r="G19" s="222">
        <v>5425</v>
      </c>
      <c r="I19" s="316">
        <f t="shared" si="0"/>
        <v>2.088196984418427E-3</v>
      </c>
      <c r="O19" s="113"/>
      <c r="P19" s="113"/>
      <c r="Q19" s="113"/>
    </row>
    <row r="20" spans="1:17" ht="20.100000000000001" customHeight="1">
      <c r="A20" s="113"/>
      <c r="C20" s="139" t="s">
        <v>341</v>
      </c>
      <c r="D20" s="140"/>
      <c r="E20" s="252">
        <v>61</v>
      </c>
      <c r="F20" s="252">
        <f>'ריכוז פרקים'!S6/1000</f>
        <v>100</v>
      </c>
      <c r="G20" s="222">
        <v>285</v>
      </c>
      <c r="I20" s="316">
        <f t="shared" si="0"/>
        <v>1.9887590327794544E-4</v>
      </c>
      <c r="O20" s="113"/>
      <c r="P20" s="113"/>
      <c r="Q20" s="113"/>
    </row>
    <row r="21" spans="1:17" ht="20.100000000000001" customHeight="1" thickBot="1">
      <c r="A21" s="113"/>
      <c r="C21" s="224" t="s">
        <v>120</v>
      </c>
      <c r="D21" s="225"/>
      <c r="E21" s="226"/>
      <c r="F21" s="241">
        <f>SUM(F8:F20)</f>
        <v>502826.12599999999</v>
      </c>
      <c r="G21" s="242">
        <f>SUM(G8:G20)</f>
        <v>489407.6</v>
      </c>
      <c r="I21" s="227">
        <f>SUM(I8:I20)</f>
        <v>1.0000000000000002</v>
      </c>
      <c r="O21" s="113"/>
      <c r="P21" s="113"/>
      <c r="Q21" s="113"/>
    </row>
    <row r="22" spans="1:17" ht="15.6">
      <c r="A22" s="113"/>
      <c r="N22" s="113"/>
      <c r="O22" s="113"/>
      <c r="P22" s="113"/>
      <c r="Q22" s="113"/>
    </row>
    <row r="23" spans="1:17" s="477" customFormat="1" ht="15.6">
      <c r="A23" s="476"/>
      <c r="C23" s="478"/>
      <c r="D23" s="476"/>
      <c r="N23" s="476"/>
      <c r="O23" s="476"/>
      <c r="P23" s="476"/>
      <c r="Q23" s="476"/>
    </row>
    <row r="24" spans="1:17" ht="15.6">
      <c r="A24" s="113"/>
      <c r="B24" s="120"/>
      <c r="C24" s="120"/>
      <c r="D24" s="120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</row>
    <row r="25" spans="1:17" ht="15.6">
      <c r="A25" s="120"/>
      <c r="B25" s="120"/>
      <c r="C25" s="120"/>
      <c r="D25" s="120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</row>
    <row r="26" spans="1:17" ht="15.6"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</row>
    <row r="27" spans="1:17" ht="15.6"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</row>
  </sheetData>
  <sortState ref="A8:Q20">
    <sortCondition descending="1" ref="F8:F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8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111" customWidth="1"/>
    <col min="4" max="4" width="33" style="111" customWidth="1"/>
    <col min="5" max="8" width="12.109375" style="111" customWidth="1"/>
    <col min="9" max="9" width="7.88671875" style="111" customWidth="1"/>
    <col min="10" max="10" width="9.109375" style="111" hidden="1" customWidth="1"/>
    <col min="11" max="16384" width="9.109375" style="111"/>
  </cols>
  <sheetData>
    <row r="5" spans="1:16" ht="15.6">
      <c r="A5" s="113">
        <v>3.4</v>
      </c>
      <c r="C5" s="113" t="s">
        <v>284</v>
      </c>
    </row>
    <row r="6" spans="1:16" ht="16.2" thickBot="1">
      <c r="A6" s="113"/>
      <c r="H6" s="113"/>
      <c r="I6" s="113"/>
      <c r="J6" s="113"/>
      <c r="K6" s="113"/>
      <c r="N6" s="113"/>
      <c r="O6" s="113"/>
      <c r="P6" s="113"/>
    </row>
    <row r="7" spans="1:16" ht="20.100000000000001" customHeight="1">
      <c r="A7" s="113"/>
      <c r="C7" s="134" t="s">
        <v>285</v>
      </c>
      <c r="D7" s="135"/>
      <c r="E7" s="136"/>
      <c r="F7" s="137" t="s">
        <v>914</v>
      </c>
      <c r="G7" s="138" t="s">
        <v>574</v>
      </c>
      <c r="N7" s="113"/>
      <c r="O7" s="113"/>
      <c r="P7" s="113"/>
    </row>
    <row r="8" spans="1:16" ht="20.100000000000001" customHeight="1">
      <c r="A8" s="113"/>
      <c r="C8" s="139" t="s">
        <v>668</v>
      </c>
      <c r="D8" s="140"/>
      <c r="E8" s="141"/>
      <c r="F8" s="142">
        <f>'ריכוז אגפים'!$S7/1000</f>
        <v>32558.338</v>
      </c>
      <c r="G8" s="143">
        <v>42417</v>
      </c>
      <c r="J8" s="316">
        <f>F8/$F$22</f>
        <v>6.4750688789786556E-2</v>
      </c>
      <c r="N8" s="113"/>
      <c r="O8" s="113"/>
      <c r="P8" s="113"/>
    </row>
    <row r="9" spans="1:16" ht="20.100000000000001" customHeight="1">
      <c r="A9" s="113"/>
      <c r="C9" s="139" t="s">
        <v>286</v>
      </c>
      <c r="D9" s="145"/>
      <c r="E9" s="141"/>
      <c r="F9" s="142">
        <f>'ריכוז אגפים'!$S8/1000</f>
        <v>337850.033</v>
      </c>
      <c r="G9" s="143">
        <v>309253</v>
      </c>
      <c r="J9" s="316">
        <f t="shared" ref="J9:J21" si="0">F9/$F$22</f>
        <v>0.67190230485358671</v>
      </c>
      <c r="N9" s="113"/>
      <c r="O9" s="113"/>
      <c r="P9" s="113"/>
    </row>
    <row r="10" spans="1:16" ht="20.100000000000001" customHeight="1">
      <c r="A10" s="113"/>
      <c r="C10" s="139" t="s">
        <v>116</v>
      </c>
      <c r="D10" s="140"/>
      <c r="E10" s="141"/>
      <c r="F10" s="142">
        <f>'ריכוז אגפים'!$S9/1000</f>
        <v>54061.3</v>
      </c>
      <c r="G10" s="143">
        <v>49451</v>
      </c>
      <c r="J10" s="316">
        <f t="shared" si="0"/>
        <v>0.10751489869879992</v>
      </c>
      <c r="N10" s="113"/>
      <c r="O10" s="113"/>
      <c r="P10" s="113"/>
    </row>
    <row r="11" spans="1:16" ht="20.100000000000001" customHeight="1">
      <c r="A11" s="113"/>
      <c r="C11" s="139" t="s">
        <v>287</v>
      </c>
      <c r="D11" s="140"/>
      <c r="E11" s="141"/>
      <c r="F11" s="142">
        <f>'ריכוז אגפים'!$S10/1000</f>
        <v>500</v>
      </c>
      <c r="G11" s="143">
        <v>1660</v>
      </c>
      <c r="J11" s="316">
        <f t="shared" si="0"/>
        <v>9.9437951638972708E-4</v>
      </c>
      <c r="N11" s="113"/>
      <c r="O11" s="113"/>
      <c r="P11" s="113"/>
    </row>
    <row r="12" spans="1:16" ht="20.100000000000001" customHeight="1">
      <c r="A12" s="113"/>
      <c r="C12" s="139" t="s">
        <v>238</v>
      </c>
      <c r="D12" s="145"/>
      <c r="E12" s="141"/>
      <c r="F12" s="142">
        <f>'ריכוז אגפים'!$S11/1000</f>
        <v>4995</v>
      </c>
      <c r="G12" s="143">
        <v>8412</v>
      </c>
      <c r="J12" s="316">
        <f t="shared" si="0"/>
        <v>9.9338513687333742E-3</v>
      </c>
      <c r="N12" s="113"/>
      <c r="O12" s="113"/>
      <c r="P12" s="113"/>
    </row>
    <row r="13" spans="1:16" ht="20.100000000000001" customHeight="1">
      <c r="A13" s="113"/>
      <c r="C13" s="139" t="s">
        <v>585</v>
      </c>
      <c r="D13" s="145"/>
      <c r="E13" s="141"/>
      <c r="F13" s="142">
        <f>'ריכוז אגפים'!$S12/1000</f>
        <v>3940.2289999999998</v>
      </c>
      <c r="G13" s="143">
        <v>3120</v>
      </c>
      <c r="J13" s="316">
        <f>F13/$F$22</f>
        <v>7.8361660149695554E-3</v>
      </c>
      <c r="N13" s="113"/>
      <c r="O13" s="113"/>
      <c r="P13" s="113"/>
    </row>
    <row r="14" spans="1:16" ht="20.100000000000001" customHeight="1">
      <c r="A14" s="113"/>
      <c r="C14" s="146" t="s">
        <v>117</v>
      </c>
      <c r="D14" s="147"/>
      <c r="E14" s="148"/>
      <c r="F14" s="142">
        <f>'ריכוז אגפים'!$S13/1000</f>
        <v>33192</v>
      </c>
      <c r="G14" s="143">
        <v>36405</v>
      </c>
      <c r="J14" s="316">
        <f t="shared" si="0"/>
        <v>6.6010889816015647E-2</v>
      </c>
      <c r="N14" s="113"/>
      <c r="O14" s="113"/>
      <c r="P14" s="113"/>
    </row>
    <row r="15" spans="1:16" ht="20.100000000000001" customHeight="1">
      <c r="A15" s="113"/>
      <c r="C15" s="139" t="s">
        <v>233</v>
      </c>
      <c r="D15" s="145"/>
      <c r="E15" s="141"/>
      <c r="F15" s="142">
        <f>'ריכוז אגפים'!$S14/1000</f>
        <v>1934.971</v>
      </c>
      <c r="G15" s="143">
        <v>1866</v>
      </c>
      <c r="J15" s="316">
        <f t="shared" si="0"/>
        <v>3.8481910544162935E-3</v>
      </c>
      <c r="N15" s="113"/>
      <c r="O15" s="113"/>
      <c r="P15" s="113"/>
    </row>
    <row r="16" spans="1:16" ht="20.100000000000001" hidden="1" customHeight="1">
      <c r="A16" s="113"/>
      <c r="C16" s="139" t="s">
        <v>118</v>
      </c>
      <c r="D16" s="145"/>
      <c r="E16" s="141"/>
      <c r="F16" s="142"/>
      <c r="G16" s="149">
        <f>3211.058-3211.058</f>
        <v>0</v>
      </c>
      <c r="J16" s="316">
        <f t="shared" si="0"/>
        <v>0</v>
      </c>
      <c r="N16" s="113"/>
      <c r="O16" s="113"/>
      <c r="P16" s="113"/>
    </row>
    <row r="17" spans="1:16" ht="20.100000000000001" customHeight="1">
      <c r="A17" s="113"/>
      <c r="C17" s="139" t="s">
        <v>119</v>
      </c>
      <c r="D17" s="140"/>
      <c r="E17" s="141"/>
      <c r="F17" s="142">
        <f>'ריכוז אגפים'!$S15/1000</f>
        <v>2015</v>
      </c>
      <c r="G17" s="143">
        <v>7930</v>
      </c>
      <c r="J17" s="316">
        <f t="shared" si="0"/>
        <v>4.0073494510506008E-3</v>
      </c>
      <c r="N17" s="113"/>
      <c r="O17" s="113"/>
      <c r="P17" s="113"/>
    </row>
    <row r="18" spans="1:16" ht="20.100000000000001" customHeight="1">
      <c r="A18" s="113"/>
      <c r="C18" s="146" t="s">
        <v>383</v>
      </c>
      <c r="D18" s="147"/>
      <c r="E18" s="148"/>
      <c r="F18" s="142">
        <f>'ריכוז אגפים'!$S16/1000</f>
        <v>13930</v>
      </c>
      <c r="G18" s="143">
        <v>12925</v>
      </c>
      <c r="J18" s="316">
        <f t="shared" si="0"/>
        <v>2.7703413326617798E-2</v>
      </c>
      <c r="M18" s="150"/>
      <c r="N18" s="113"/>
      <c r="O18" s="113"/>
      <c r="P18" s="113"/>
    </row>
    <row r="19" spans="1:16" ht="20.100000000000001" customHeight="1">
      <c r="A19" s="113"/>
      <c r="C19" s="139" t="s">
        <v>618</v>
      </c>
      <c r="D19" s="140"/>
      <c r="E19" s="141"/>
      <c r="F19" s="142">
        <f>'ריכוז אגפים'!$S17/1000</f>
        <v>8924.2999999999993</v>
      </c>
      <c r="G19" s="143">
        <v>7949</v>
      </c>
      <c r="J19" s="316">
        <f t="shared" si="0"/>
        <v>1.7748282236233683E-2</v>
      </c>
      <c r="N19" s="113"/>
      <c r="O19" s="113"/>
      <c r="P19" s="113"/>
    </row>
    <row r="20" spans="1:16" ht="20.100000000000001" hidden="1" customHeight="1">
      <c r="A20" s="113"/>
      <c r="C20" s="139" t="s">
        <v>915</v>
      </c>
      <c r="D20" s="140"/>
      <c r="E20" s="141"/>
      <c r="F20" s="142"/>
      <c r="G20" s="143">
        <f>13750-13750</f>
        <v>0</v>
      </c>
      <c r="J20" s="316">
        <f t="shared" si="0"/>
        <v>0</v>
      </c>
      <c r="N20" s="113"/>
      <c r="O20" s="113"/>
      <c r="P20" s="113"/>
    </row>
    <row r="21" spans="1:16" ht="20.100000000000001" customHeight="1">
      <c r="A21" s="113"/>
      <c r="C21" s="139" t="s">
        <v>135</v>
      </c>
      <c r="D21" s="140"/>
      <c r="E21" s="141"/>
      <c r="F21" s="142">
        <f>'ריכוז אגפים'!$S18/1000</f>
        <v>8924.9549999999999</v>
      </c>
      <c r="G21" s="143">
        <v>8020</v>
      </c>
      <c r="J21" s="316">
        <f t="shared" si="0"/>
        <v>1.7749584873400153E-2</v>
      </c>
      <c r="N21" s="113"/>
      <c r="O21" s="113"/>
      <c r="P21" s="113"/>
    </row>
    <row r="22" spans="1:16" ht="20.100000000000001" customHeight="1" thickBot="1">
      <c r="A22" s="113"/>
      <c r="C22" s="151" t="s">
        <v>120</v>
      </c>
      <c r="D22" s="152"/>
      <c r="E22" s="153"/>
      <c r="F22" s="241">
        <f>SUM(F8:F21)</f>
        <v>502826.12599999999</v>
      </c>
      <c r="G22" s="242">
        <f>SUM(G8:G21)</f>
        <v>489408</v>
      </c>
      <c r="J22" s="155">
        <f>SUM(J8:J21)</f>
        <v>0.99999999999999989</v>
      </c>
      <c r="N22" s="113"/>
      <c r="O22" s="113"/>
      <c r="P22" s="113"/>
    </row>
    <row r="23" spans="1:16" ht="17.399999999999999">
      <c r="A23" s="113"/>
      <c r="C23" s="114"/>
      <c r="D23" s="113"/>
      <c r="F23" s="126"/>
      <c r="G23" s="126"/>
      <c r="N23" s="113"/>
      <c r="O23" s="113"/>
      <c r="P23" s="113"/>
    </row>
    <row r="24" spans="1:16" s="477" customFormat="1" ht="15.6">
      <c r="A24" s="476"/>
      <c r="D24" s="476"/>
      <c r="E24" s="476"/>
      <c r="F24" s="476"/>
      <c r="M24" s="476"/>
      <c r="N24" s="476"/>
      <c r="O24" s="476"/>
      <c r="P24" s="476"/>
    </row>
    <row r="25" spans="1:16" ht="15.6">
      <c r="A25" s="113"/>
      <c r="B25" s="120"/>
      <c r="C25" s="120"/>
      <c r="D25" s="120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</row>
    <row r="26" spans="1:16" ht="15.6">
      <c r="A26" s="120"/>
      <c r="B26" s="120"/>
      <c r="C26" s="120"/>
      <c r="D26" s="120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</row>
    <row r="27" spans="1:16" ht="15.6"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</row>
    <row r="28" spans="1:16" ht="15.6"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0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111" customWidth="1"/>
    <col min="4" max="4" width="33" style="111" customWidth="1"/>
    <col min="5" max="8" width="12.109375" style="111" customWidth="1"/>
    <col min="9" max="9" width="7.88671875" style="111" customWidth="1"/>
    <col min="10" max="10" width="9.109375" style="111" hidden="1" customWidth="1"/>
    <col min="11" max="16384" width="9.109375" style="111"/>
  </cols>
  <sheetData>
    <row r="4" spans="1:16" ht="12.75" customHeight="1">
      <c r="A4" s="113"/>
      <c r="C4" s="156"/>
      <c r="D4" s="118"/>
      <c r="E4" s="157"/>
      <c r="F4" s="158"/>
      <c r="G4" s="158"/>
      <c r="N4" s="113"/>
      <c r="O4" s="113"/>
      <c r="P4" s="113"/>
    </row>
    <row r="5" spans="1:16" ht="15.6">
      <c r="A5" s="113">
        <v>3.5</v>
      </c>
      <c r="C5" s="113" t="s">
        <v>288</v>
      </c>
    </row>
    <row r="6" spans="1:16" ht="16.2" thickBot="1">
      <c r="A6" s="113"/>
      <c r="H6" s="113"/>
      <c r="I6" s="113"/>
      <c r="J6" s="113"/>
      <c r="K6" s="113"/>
      <c r="N6" s="113"/>
      <c r="O6" s="113"/>
      <c r="P6" s="113"/>
    </row>
    <row r="7" spans="1:16" ht="20.100000000000001" customHeight="1">
      <c r="A7" s="113"/>
      <c r="C7" s="134" t="s">
        <v>289</v>
      </c>
      <c r="D7" s="244"/>
      <c r="E7" s="136"/>
      <c r="F7" s="137" t="s">
        <v>914</v>
      </c>
      <c r="G7" s="159" t="s">
        <v>573</v>
      </c>
      <c r="J7" s="144"/>
      <c r="M7" s="113"/>
      <c r="N7" s="113"/>
      <c r="O7" s="113"/>
    </row>
    <row r="8" spans="1:16" ht="20.100000000000001" customHeight="1">
      <c r="A8" s="113"/>
      <c r="C8" s="139" t="s">
        <v>290</v>
      </c>
      <c r="D8" s="139"/>
      <c r="E8" s="141"/>
      <c r="F8" s="142">
        <f>'תקציב 2020 קרנות הרשות'!C21</f>
        <v>206270</v>
      </c>
      <c r="G8" s="143">
        <v>290040</v>
      </c>
      <c r="J8" s="316">
        <f>F8/$F$13</f>
        <v>0.410221325691418</v>
      </c>
      <c r="M8" s="113"/>
      <c r="N8" s="113"/>
      <c r="O8" s="113"/>
    </row>
    <row r="9" spans="1:16" ht="20.100000000000001" customHeight="1">
      <c r="A9" s="113"/>
      <c r="C9" s="139" t="s">
        <v>14</v>
      </c>
      <c r="D9" s="139"/>
      <c r="E9" s="141"/>
      <c r="F9" s="142">
        <f>'תקציב 2020 קרנות הרשות'!D21</f>
        <v>59000</v>
      </c>
      <c r="G9" s="143">
        <v>44000</v>
      </c>
      <c r="J9" s="316">
        <f>F9/$F$13</f>
        <v>0.11733678293398779</v>
      </c>
      <c r="M9" s="113"/>
      <c r="N9" s="113"/>
      <c r="O9" s="113"/>
    </row>
    <row r="10" spans="1:16" ht="20.100000000000001" hidden="1" customHeight="1">
      <c r="A10" s="113"/>
      <c r="C10" s="139" t="s">
        <v>15</v>
      </c>
      <c r="D10" s="139"/>
      <c r="E10" s="141"/>
      <c r="F10" s="142"/>
      <c r="G10" s="143"/>
      <c r="J10" s="316">
        <f>F10/$F$13</f>
        <v>0</v>
      </c>
      <c r="M10" s="113"/>
      <c r="N10" s="113"/>
      <c r="O10" s="113"/>
    </row>
    <row r="11" spans="1:16" ht="20.100000000000001" customHeight="1">
      <c r="A11" s="113"/>
      <c r="C11" s="139" t="s">
        <v>355</v>
      </c>
      <c r="D11" s="146"/>
      <c r="E11" s="148"/>
      <c r="F11" s="142">
        <f>59019+48388-1973.643-5000</f>
        <v>100433.357</v>
      </c>
      <c r="G11" s="143">
        <v>34723</v>
      </c>
      <c r="J11" s="316">
        <f>F11/$F$13</f>
        <v>0.19973774592611362</v>
      </c>
      <c r="M11" s="113"/>
      <c r="N11" s="113"/>
      <c r="O11" s="113"/>
    </row>
    <row r="12" spans="1:16" ht="20.100000000000001" customHeight="1">
      <c r="A12" s="113"/>
      <c r="C12" s="139" t="s">
        <v>291</v>
      </c>
      <c r="D12" s="259"/>
      <c r="E12" s="161"/>
      <c r="F12" s="142">
        <f>'תקציב 2020 מקורות אחרים'!F14</f>
        <v>137122.769</v>
      </c>
      <c r="G12" s="143">
        <v>120645</v>
      </c>
      <c r="J12" s="316">
        <f>F12/$F$13</f>
        <v>0.27270414544848048</v>
      </c>
      <c r="L12" s="150"/>
      <c r="M12" s="113"/>
      <c r="N12" s="113"/>
      <c r="O12" s="113"/>
    </row>
    <row r="13" spans="1:16" ht="20.100000000000001" customHeight="1" thickBot="1">
      <c r="A13" s="113"/>
      <c r="C13" s="243" t="s">
        <v>120</v>
      </c>
      <c r="D13" s="245"/>
      <c r="E13" s="153"/>
      <c r="F13" s="241">
        <f>SUM(F8:F12)</f>
        <v>502826.12600000005</v>
      </c>
      <c r="G13" s="242">
        <f>SUM(G8:G12)</f>
        <v>489408</v>
      </c>
      <c r="J13" s="317">
        <f>SUM(J8:J12)</f>
        <v>0.99999999999999978</v>
      </c>
      <c r="M13" s="113"/>
      <c r="N13" s="113"/>
      <c r="O13" s="113"/>
    </row>
    <row r="14" spans="1:16" ht="17.399999999999999">
      <c r="A14" s="113"/>
      <c r="C14" s="114"/>
      <c r="D14" s="113"/>
      <c r="F14" s="126"/>
      <c r="G14" s="126"/>
      <c r="N14" s="113"/>
      <c r="O14" s="113"/>
      <c r="P14" s="113"/>
    </row>
    <row r="15" spans="1:16" ht="15.6">
      <c r="A15" s="113"/>
      <c r="M15" s="113"/>
      <c r="N15" s="113"/>
      <c r="O15" s="113"/>
      <c r="P15" s="113"/>
    </row>
    <row r="16" spans="1:16" ht="15.6">
      <c r="A16" s="113"/>
      <c r="M16" s="113"/>
      <c r="N16" s="113"/>
      <c r="O16" s="113"/>
      <c r="P16" s="113"/>
    </row>
    <row r="17" spans="1:16" ht="15.6">
      <c r="A17" s="113"/>
      <c r="B17" s="120"/>
      <c r="C17" s="120"/>
      <c r="D17" s="120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</row>
    <row r="18" spans="1:16" ht="15.6">
      <c r="A18" s="120"/>
      <c r="B18" s="120"/>
      <c r="C18" s="120"/>
      <c r="D18" s="120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</row>
    <row r="19" spans="1:16" ht="15.6"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</row>
    <row r="20" spans="1:16" ht="15.6"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Zeros="0" rightToLeft="1" tabSelected="1" topLeftCell="A2" workbookViewId="0">
      <selection activeCell="Q24" sqref="Q24"/>
    </sheetView>
  </sheetViews>
  <sheetFormatPr defaultRowHeight="15.6"/>
  <cols>
    <col min="1" max="1" width="3.44140625" style="90" customWidth="1"/>
    <col min="2" max="2" width="37.33203125" style="90" bestFit="1" customWidth="1"/>
    <col min="3" max="3" width="16.44140625" style="92" bestFit="1" customWidth="1"/>
    <col min="4" max="4" width="19.88671875" style="92" bestFit="1" customWidth="1"/>
    <col min="5" max="5" width="13.44140625" style="92" customWidth="1"/>
    <col min="6" max="6" width="16.44140625" style="92" bestFit="1" customWidth="1"/>
    <col min="7" max="7" width="19.88671875" style="92" bestFit="1" customWidth="1"/>
    <col min="8" max="8" width="12.44140625" style="92" customWidth="1"/>
    <col min="9" max="10" width="9.109375" style="90"/>
    <col min="11" max="15" width="0" style="90" hidden="1" customWidth="1"/>
    <col min="16" max="256" width="9.109375" style="90"/>
    <col min="257" max="257" width="3.44140625" style="90" customWidth="1"/>
    <col min="258" max="258" width="37.33203125" style="90" bestFit="1" customWidth="1"/>
    <col min="259" max="259" width="16.44140625" style="90" bestFit="1" customWidth="1"/>
    <col min="260" max="260" width="19.88671875" style="90" bestFit="1" customWidth="1"/>
    <col min="261" max="261" width="13.44140625" style="90" customWidth="1"/>
    <col min="262" max="262" width="16.44140625" style="90" bestFit="1" customWidth="1"/>
    <col min="263" max="263" width="19.88671875" style="90" bestFit="1" customWidth="1"/>
    <col min="264" max="264" width="12.44140625" style="90" customWidth="1"/>
    <col min="265" max="512" width="9.109375" style="90"/>
    <col min="513" max="513" width="3.44140625" style="90" customWidth="1"/>
    <col min="514" max="514" width="37.33203125" style="90" bestFit="1" customWidth="1"/>
    <col min="515" max="515" width="16.44140625" style="90" bestFit="1" customWidth="1"/>
    <col min="516" max="516" width="19.88671875" style="90" bestFit="1" customWidth="1"/>
    <col min="517" max="517" width="13.44140625" style="90" customWidth="1"/>
    <col min="518" max="518" width="16.44140625" style="90" bestFit="1" customWidth="1"/>
    <col min="519" max="519" width="19.88671875" style="90" bestFit="1" customWidth="1"/>
    <col min="520" max="520" width="12.44140625" style="90" customWidth="1"/>
    <col min="521" max="768" width="9.109375" style="90"/>
    <col min="769" max="769" width="3.44140625" style="90" customWidth="1"/>
    <col min="770" max="770" width="37.33203125" style="90" bestFit="1" customWidth="1"/>
    <col min="771" max="771" width="16.44140625" style="90" bestFit="1" customWidth="1"/>
    <col min="772" max="772" width="19.88671875" style="90" bestFit="1" customWidth="1"/>
    <col min="773" max="773" width="13.44140625" style="90" customWidth="1"/>
    <col min="774" max="774" width="16.44140625" style="90" bestFit="1" customWidth="1"/>
    <col min="775" max="775" width="19.88671875" style="90" bestFit="1" customWidth="1"/>
    <col min="776" max="776" width="12.44140625" style="90" customWidth="1"/>
    <col min="777" max="1024" width="9.109375" style="90"/>
    <col min="1025" max="1025" width="3.44140625" style="90" customWidth="1"/>
    <col min="1026" max="1026" width="37.33203125" style="90" bestFit="1" customWidth="1"/>
    <col min="1027" max="1027" width="16.44140625" style="90" bestFit="1" customWidth="1"/>
    <col min="1028" max="1028" width="19.88671875" style="90" bestFit="1" customWidth="1"/>
    <col min="1029" max="1029" width="13.44140625" style="90" customWidth="1"/>
    <col min="1030" max="1030" width="16.44140625" style="90" bestFit="1" customWidth="1"/>
    <col min="1031" max="1031" width="19.88671875" style="90" bestFit="1" customWidth="1"/>
    <col min="1032" max="1032" width="12.44140625" style="90" customWidth="1"/>
    <col min="1033" max="1280" width="9.109375" style="90"/>
    <col min="1281" max="1281" width="3.44140625" style="90" customWidth="1"/>
    <col min="1282" max="1282" width="37.33203125" style="90" bestFit="1" customWidth="1"/>
    <col min="1283" max="1283" width="16.44140625" style="90" bestFit="1" customWidth="1"/>
    <col min="1284" max="1284" width="19.88671875" style="90" bestFit="1" customWidth="1"/>
    <col min="1285" max="1285" width="13.44140625" style="90" customWidth="1"/>
    <col min="1286" max="1286" width="16.44140625" style="90" bestFit="1" customWidth="1"/>
    <col min="1287" max="1287" width="19.88671875" style="90" bestFit="1" customWidth="1"/>
    <col min="1288" max="1288" width="12.44140625" style="90" customWidth="1"/>
    <col min="1289" max="1536" width="9.109375" style="90"/>
    <col min="1537" max="1537" width="3.44140625" style="90" customWidth="1"/>
    <col min="1538" max="1538" width="37.33203125" style="90" bestFit="1" customWidth="1"/>
    <col min="1539" max="1539" width="16.44140625" style="90" bestFit="1" customWidth="1"/>
    <col min="1540" max="1540" width="19.88671875" style="90" bestFit="1" customWidth="1"/>
    <col min="1541" max="1541" width="13.44140625" style="90" customWidth="1"/>
    <col min="1542" max="1542" width="16.44140625" style="90" bestFit="1" customWidth="1"/>
    <col min="1543" max="1543" width="19.88671875" style="90" bestFit="1" customWidth="1"/>
    <col min="1544" max="1544" width="12.44140625" style="90" customWidth="1"/>
    <col min="1545" max="1792" width="9.109375" style="90"/>
    <col min="1793" max="1793" width="3.44140625" style="90" customWidth="1"/>
    <col min="1794" max="1794" width="37.33203125" style="90" bestFit="1" customWidth="1"/>
    <col min="1795" max="1795" width="16.44140625" style="90" bestFit="1" customWidth="1"/>
    <col min="1796" max="1796" width="19.88671875" style="90" bestFit="1" customWidth="1"/>
    <col min="1797" max="1797" width="13.44140625" style="90" customWidth="1"/>
    <col min="1798" max="1798" width="16.44140625" style="90" bestFit="1" customWidth="1"/>
    <col min="1799" max="1799" width="19.88671875" style="90" bestFit="1" customWidth="1"/>
    <col min="1800" max="1800" width="12.44140625" style="90" customWidth="1"/>
    <col min="1801" max="2048" width="9.109375" style="90"/>
    <col min="2049" max="2049" width="3.44140625" style="90" customWidth="1"/>
    <col min="2050" max="2050" width="37.33203125" style="90" bestFit="1" customWidth="1"/>
    <col min="2051" max="2051" width="16.44140625" style="90" bestFit="1" customWidth="1"/>
    <col min="2052" max="2052" width="19.88671875" style="90" bestFit="1" customWidth="1"/>
    <col min="2053" max="2053" width="13.44140625" style="90" customWidth="1"/>
    <col min="2054" max="2054" width="16.44140625" style="90" bestFit="1" customWidth="1"/>
    <col min="2055" max="2055" width="19.88671875" style="90" bestFit="1" customWidth="1"/>
    <col min="2056" max="2056" width="12.44140625" style="90" customWidth="1"/>
    <col min="2057" max="2304" width="9.109375" style="90"/>
    <col min="2305" max="2305" width="3.44140625" style="90" customWidth="1"/>
    <col min="2306" max="2306" width="37.33203125" style="90" bestFit="1" customWidth="1"/>
    <col min="2307" max="2307" width="16.44140625" style="90" bestFit="1" customWidth="1"/>
    <col min="2308" max="2308" width="19.88671875" style="90" bestFit="1" customWidth="1"/>
    <col min="2309" max="2309" width="13.44140625" style="90" customWidth="1"/>
    <col min="2310" max="2310" width="16.44140625" style="90" bestFit="1" customWidth="1"/>
    <col min="2311" max="2311" width="19.88671875" style="90" bestFit="1" customWidth="1"/>
    <col min="2312" max="2312" width="12.44140625" style="90" customWidth="1"/>
    <col min="2313" max="2560" width="9.109375" style="90"/>
    <col min="2561" max="2561" width="3.44140625" style="90" customWidth="1"/>
    <col min="2562" max="2562" width="37.33203125" style="90" bestFit="1" customWidth="1"/>
    <col min="2563" max="2563" width="16.44140625" style="90" bestFit="1" customWidth="1"/>
    <col min="2564" max="2564" width="19.88671875" style="90" bestFit="1" customWidth="1"/>
    <col min="2565" max="2565" width="13.44140625" style="90" customWidth="1"/>
    <col min="2566" max="2566" width="16.44140625" style="90" bestFit="1" customWidth="1"/>
    <col min="2567" max="2567" width="19.88671875" style="90" bestFit="1" customWidth="1"/>
    <col min="2568" max="2568" width="12.44140625" style="90" customWidth="1"/>
    <col min="2569" max="2816" width="9.109375" style="90"/>
    <col min="2817" max="2817" width="3.44140625" style="90" customWidth="1"/>
    <col min="2818" max="2818" width="37.33203125" style="90" bestFit="1" customWidth="1"/>
    <col min="2819" max="2819" width="16.44140625" style="90" bestFit="1" customWidth="1"/>
    <col min="2820" max="2820" width="19.88671875" style="90" bestFit="1" customWidth="1"/>
    <col min="2821" max="2821" width="13.44140625" style="90" customWidth="1"/>
    <col min="2822" max="2822" width="16.44140625" style="90" bestFit="1" customWidth="1"/>
    <col min="2823" max="2823" width="19.88671875" style="90" bestFit="1" customWidth="1"/>
    <col min="2824" max="2824" width="12.44140625" style="90" customWidth="1"/>
    <col min="2825" max="3072" width="9.109375" style="90"/>
    <col min="3073" max="3073" width="3.44140625" style="90" customWidth="1"/>
    <col min="3074" max="3074" width="37.33203125" style="90" bestFit="1" customWidth="1"/>
    <col min="3075" max="3075" width="16.44140625" style="90" bestFit="1" customWidth="1"/>
    <col min="3076" max="3076" width="19.88671875" style="90" bestFit="1" customWidth="1"/>
    <col min="3077" max="3077" width="13.44140625" style="90" customWidth="1"/>
    <col min="3078" max="3078" width="16.44140625" style="90" bestFit="1" customWidth="1"/>
    <col min="3079" max="3079" width="19.88671875" style="90" bestFit="1" customWidth="1"/>
    <col min="3080" max="3080" width="12.44140625" style="90" customWidth="1"/>
    <col min="3081" max="3328" width="9.109375" style="90"/>
    <col min="3329" max="3329" width="3.44140625" style="90" customWidth="1"/>
    <col min="3330" max="3330" width="37.33203125" style="90" bestFit="1" customWidth="1"/>
    <col min="3331" max="3331" width="16.44140625" style="90" bestFit="1" customWidth="1"/>
    <col min="3332" max="3332" width="19.88671875" style="90" bestFit="1" customWidth="1"/>
    <col min="3333" max="3333" width="13.44140625" style="90" customWidth="1"/>
    <col min="3334" max="3334" width="16.44140625" style="90" bestFit="1" customWidth="1"/>
    <col min="3335" max="3335" width="19.88671875" style="90" bestFit="1" customWidth="1"/>
    <col min="3336" max="3336" width="12.44140625" style="90" customWidth="1"/>
    <col min="3337" max="3584" width="9.109375" style="90"/>
    <col min="3585" max="3585" width="3.44140625" style="90" customWidth="1"/>
    <col min="3586" max="3586" width="37.33203125" style="90" bestFit="1" customWidth="1"/>
    <col min="3587" max="3587" width="16.44140625" style="90" bestFit="1" customWidth="1"/>
    <col min="3588" max="3588" width="19.88671875" style="90" bestFit="1" customWidth="1"/>
    <col min="3589" max="3589" width="13.44140625" style="90" customWidth="1"/>
    <col min="3590" max="3590" width="16.44140625" style="90" bestFit="1" customWidth="1"/>
    <col min="3591" max="3591" width="19.88671875" style="90" bestFit="1" customWidth="1"/>
    <col min="3592" max="3592" width="12.44140625" style="90" customWidth="1"/>
    <col min="3593" max="3840" width="9.109375" style="90"/>
    <col min="3841" max="3841" width="3.44140625" style="90" customWidth="1"/>
    <col min="3842" max="3842" width="37.33203125" style="90" bestFit="1" customWidth="1"/>
    <col min="3843" max="3843" width="16.44140625" style="90" bestFit="1" customWidth="1"/>
    <col min="3844" max="3844" width="19.88671875" style="90" bestFit="1" customWidth="1"/>
    <col min="3845" max="3845" width="13.44140625" style="90" customWidth="1"/>
    <col min="3846" max="3846" width="16.44140625" style="90" bestFit="1" customWidth="1"/>
    <col min="3847" max="3847" width="19.88671875" style="90" bestFit="1" customWidth="1"/>
    <col min="3848" max="3848" width="12.44140625" style="90" customWidth="1"/>
    <col min="3849" max="4096" width="9.109375" style="90"/>
    <col min="4097" max="4097" width="3.44140625" style="90" customWidth="1"/>
    <col min="4098" max="4098" width="37.33203125" style="90" bestFit="1" customWidth="1"/>
    <col min="4099" max="4099" width="16.44140625" style="90" bestFit="1" customWidth="1"/>
    <col min="4100" max="4100" width="19.88671875" style="90" bestFit="1" customWidth="1"/>
    <col min="4101" max="4101" width="13.44140625" style="90" customWidth="1"/>
    <col min="4102" max="4102" width="16.44140625" style="90" bestFit="1" customWidth="1"/>
    <col min="4103" max="4103" width="19.88671875" style="90" bestFit="1" customWidth="1"/>
    <col min="4104" max="4104" width="12.44140625" style="90" customWidth="1"/>
    <col min="4105" max="4352" width="9.109375" style="90"/>
    <col min="4353" max="4353" width="3.44140625" style="90" customWidth="1"/>
    <col min="4354" max="4354" width="37.33203125" style="90" bestFit="1" customWidth="1"/>
    <col min="4355" max="4355" width="16.44140625" style="90" bestFit="1" customWidth="1"/>
    <col min="4356" max="4356" width="19.88671875" style="90" bestFit="1" customWidth="1"/>
    <col min="4357" max="4357" width="13.44140625" style="90" customWidth="1"/>
    <col min="4358" max="4358" width="16.44140625" style="90" bestFit="1" customWidth="1"/>
    <col min="4359" max="4359" width="19.88671875" style="90" bestFit="1" customWidth="1"/>
    <col min="4360" max="4360" width="12.44140625" style="90" customWidth="1"/>
    <col min="4361" max="4608" width="9.109375" style="90"/>
    <col min="4609" max="4609" width="3.44140625" style="90" customWidth="1"/>
    <col min="4610" max="4610" width="37.33203125" style="90" bestFit="1" customWidth="1"/>
    <col min="4611" max="4611" width="16.44140625" style="90" bestFit="1" customWidth="1"/>
    <col min="4612" max="4612" width="19.88671875" style="90" bestFit="1" customWidth="1"/>
    <col min="4613" max="4613" width="13.44140625" style="90" customWidth="1"/>
    <col min="4614" max="4614" width="16.44140625" style="90" bestFit="1" customWidth="1"/>
    <col min="4615" max="4615" width="19.88671875" style="90" bestFit="1" customWidth="1"/>
    <col min="4616" max="4616" width="12.44140625" style="90" customWidth="1"/>
    <col min="4617" max="4864" width="9.109375" style="90"/>
    <col min="4865" max="4865" width="3.44140625" style="90" customWidth="1"/>
    <col min="4866" max="4866" width="37.33203125" style="90" bestFit="1" customWidth="1"/>
    <col min="4867" max="4867" width="16.44140625" style="90" bestFit="1" customWidth="1"/>
    <col min="4868" max="4868" width="19.88671875" style="90" bestFit="1" customWidth="1"/>
    <col min="4869" max="4869" width="13.44140625" style="90" customWidth="1"/>
    <col min="4870" max="4870" width="16.44140625" style="90" bestFit="1" customWidth="1"/>
    <col min="4871" max="4871" width="19.88671875" style="90" bestFit="1" customWidth="1"/>
    <col min="4872" max="4872" width="12.44140625" style="90" customWidth="1"/>
    <col min="4873" max="5120" width="9.109375" style="90"/>
    <col min="5121" max="5121" width="3.44140625" style="90" customWidth="1"/>
    <col min="5122" max="5122" width="37.33203125" style="90" bestFit="1" customWidth="1"/>
    <col min="5123" max="5123" width="16.44140625" style="90" bestFit="1" customWidth="1"/>
    <col min="5124" max="5124" width="19.88671875" style="90" bestFit="1" customWidth="1"/>
    <col min="5125" max="5125" width="13.44140625" style="90" customWidth="1"/>
    <col min="5126" max="5126" width="16.44140625" style="90" bestFit="1" customWidth="1"/>
    <col min="5127" max="5127" width="19.88671875" style="90" bestFit="1" customWidth="1"/>
    <col min="5128" max="5128" width="12.44140625" style="90" customWidth="1"/>
    <col min="5129" max="5376" width="9.109375" style="90"/>
    <col min="5377" max="5377" width="3.44140625" style="90" customWidth="1"/>
    <col min="5378" max="5378" width="37.33203125" style="90" bestFit="1" customWidth="1"/>
    <col min="5379" max="5379" width="16.44140625" style="90" bestFit="1" customWidth="1"/>
    <col min="5380" max="5380" width="19.88671875" style="90" bestFit="1" customWidth="1"/>
    <col min="5381" max="5381" width="13.44140625" style="90" customWidth="1"/>
    <col min="5382" max="5382" width="16.44140625" style="90" bestFit="1" customWidth="1"/>
    <col min="5383" max="5383" width="19.88671875" style="90" bestFit="1" customWidth="1"/>
    <col min="5384" max="5384" width="12.44140625" style="90" customWidth="1"/>
    <col min="5385" max="5632" width="9.109375" style="90"/>
    <col min="5633" max="5633" width="3.44140625" style="90" customWidth="1"/>
    <col min="5634" max="5634" width="37.33203125" style="90" bestFit="1" customWidth="1"/>
    <col min="5635" max="5635" width="16.44140625" style="90" bestFit="1" customWidth="1"/>
    <col min="5636" max="5636" width="19.88671875" style="90" bestFit="1" customWidth="1"/>
    <col min="5637" max="5637" width="13.44140625" style="90" customWidth="1"/>
    <col min="5638" max="5638" width="16.44140625" style="90" bestFit="1" customWidth="1"/>
    <col min="5639" max="5639" width="19.88671875" style="90" bestFit="1" customWidth="1"/>
    <col min="5640" max="5640" width="12.44140625" style="90" customWidth="1"/>
    <col min="5641" max="5888" width="9.109375" style="90"/>
    <col min="5889" max="5889" width="3.44140625" style="90" customWidth="1"/>
    <col min="5890" max="5890" width="37.33203125" style="90" bestFit="1" customWidth="1"/>
    <col min="5891" max="5891" width="16.44140625" style="90" bestFit="1" customWidth="1"/>
    <col min="5892" max="5892" width="19.88671875" style="90" bestFit="1" customWidth="1"/>
    <col min="5893" max="5893" width="13.44140625" style="90" customWidth="1"/>
    <col min="5894" max="5894" width="16.44140625" style="90" bestFit="1" customWidth="1"/>
    <col min="5895" max="5895" width="19.88671875" style="90" bestFit="1" customWidth="1"/>
    <col min="5896" max="5896" width="12.44140625" style="90" customWidth="1"/>
    <col min="5897" max="6144" width="9.109375" style="90"/>
    <col min="6145" max="6145" width="3.44140625" style="90" customWidth="1"/>
    <col min="6146" max="6146" width="37.33203125" style="90" bestFit="1" customWidth="1"/>
    <col min="6147" max="6147" width="16.44140625" style="90" bestFit="1" customWidth="1"/>
    <col min="6148" max="6148" width="19.88671875" style="90" bestFit="1" customWidth="1"/>
    <col min="6149" max="6149" width="13.44140625" style="90" customWidth="1"/>
    <col min="6150" max="6150" width="16.44140625" style="90" bestFit="1" customWidth="1"/>
    <col min="6151" max="6151" width="19.88671875" style="90" bestFit="1" customWidth="1"/>
    <col min="6152" max="6152" width="12.44140625" style="90" customWidth="1"/>
    <col min="6153" max="6400" width="9.109375" style="90"/>
    <col min="6401" max="6401" width="3.44140625" style="90" customWidth="1"/>
    <col min="6402" max="6402" width="37.33203125" style="90" bestFit="1" customWidth="1"/>
    <col min="6403" max="6403" width="16.44140625" style="90" bestFit="1" customWidth="1"/>
    <col min="6404" max="6404" width="19.88671875" style="90" bestFit="1" customWidth="1"/>
    <col min="6405" max="6405" width="13.44140625" style="90" customWidth="1"/>
    <col min="6406" max="6406" width="16.44140625" style="90" bestFit="1" customWidth="1"/>
    <col min="6407" max="6407" width="19.88671875" style="90" bestFit="1" customWidth="1"/>
    <col min="6408" max="6408" width="12.44140625" style="90" customWidth="1"/>
    <col min="6409" max="6656" width="9.109375" style="90"/>
    <col min="6657" max="6657" width="3.44140625" style="90" customWidth="1"/>
    <col min="6658" max="6658" width="37.33203125" style="90" bestFit="1" customWidth="1"/>
    <col min="6659" max="6659" width="16.44140625" style="90" bestFit="1" customWidth="1"/>
    <col min="6660" max="6660" width="19.88671875" style="90" bestFit="1" customWidth="1"/>
    <col min="6661" max="6661" width="13.44140625" style="90" customWidth="1"/>
    <col min="6662" max="6662" width="16.44140625" style="90" bestFit="1" customWidth="1"/>
    <col min="6663" max="6663" width="19.88671875" style="90" bestFit="1" customWidth="1"/>
    <col min="6664" max="6664" width="12.44140625" style="90" customWidth="1"/>
    <col min="6665" max="6912" width="9.109375" style="90"/>
    <col min="6913" max="6913" width="3.44140625" style="90" customWidth="1"/>
    <col min="6914" max="6914" width="37.33203125" style="90" bestFit="1" customWidth="1"/>
    <col min="6915" max="6915" width="16.44140625" style="90" bestFit="1" customWidth="1"/>
    <col min="6916" max="6916" width="19.88671875" style="90" bestFit="1" customWidth="1"/>
    <col min="6917" max="6917" width="13.44140625" style="90" customWidth="1"/>
    <col min="6918" max="6918" width="16.44140625" style="90" bestFit="1" customWidth="1"/>
    <col min="6919" max="6919" width="19.88671875" style="90" bestFit="1" customWidth="1"/>
    <col min="6920" max="6920" width="12.44140625" style="90" customWidth="1"/>
    <col min="6921" max="7168" width="9.109375" style="90"/>
    <col min="7169" max="7169" width="3.44140625" style="90" customWidth="1"/>
    <col min="7170" max="7170" width="37.33203125" style="90" bestFit="1" customWidth="1"/>
    <col min="7171" max="7171" width="16.44140625" style="90" bestFit="1" customWidth="1"/>
    <col min="7172" max="7172" width="19.88671875" style="90" bestFit="1" customWidth="1"/>
    <col min="7173" max="7173" width="13.44140625" style="90" customWidth="1"/>
    <col min="7174" max="7174" width="16.44140625" style="90" bestFit="1" customWidth="1"/>
    <col min="7175" max="7175" width="19.88671875" style="90" bestFit="1" customWidth="1"/>
    <col min="7176" max="7176" width="12.44140625" style="90" customWidth="1"/>
    <col min="7177" max="7424" width="9.109375" style="90"/>
    <col min="7425" max="7425" width="3.44140625" style="90" customWidth="1"/>
    <col min="7426" max="7426" width="37.33203125" style="90" bestFit="1" customWidth="1"/>
    <col min="7427" max="7427" width="16.44140625" style="90" bestFit="1" customWidth="1"/>
    <col min="7428" max="7428" width="19.88671875" style="90" bestFit="1" customWidth="1"/>
    <col min="7429" max="7429" width="13.44140625" style="90" customWidth="1"/>
    <col min="7430" max="7430" width="16.44140625" style="90" bestFit="1" customWidth="1"/>
    <col min="7431" max="7431" width="19.88671875" style="90" bestFit="1" customWidth="1"/>
    <col min="7432" max="7432" width="12.44140625" style="90" customWidth="1"/>
    <col min="7433" max="7680" width="9.109375" style="90"/>
    <col min="7681" max="7681" width="3.44140625" style="90" customWidth="1"/>
    <col min="7682" max="7682" width="37.33203125" style="90" bestFit="1" customWidth="1"/>
    <col min="7683" max="7683" width="16.44140625" style="90" bestFit="1" customWidth="1"/>
    <col min="7684" max="7684" width="19.88671875" style="90" bestFit="1" customWidth="1"/>
    <col min="7685" max="7685" width="13.44140625" style="90" customWidth="1"/>
    <col min="7686" max="7686" width="16.44140625" style="90" bestFit="1" customWidth="1"/>
    <col min="7687" max="7687" width="19.88671875" style="90" bestFit="1" customWidth="1"/>
    <col min="7688" max="7688" width="12.44140625" style="90" customWidth="1"/>
    <col min="7689" max="7936" width="9.109375" style="90"/>
    <col min="7937" max="7937" width="3.44140625" style="90" customWidth="1"/>
    <col min="7938" max="7938" width="37.33203125" style="90" bestFit="1" customWidth="1"/>
    <col min="7939" max="7939" width="16.44140625" style="90" bestFit="1" customWidth="1"/>
    <col min="7940" max="7940" width="19.88671875" style="90" bestFit="1" customWidth="1"/>
    <col min="7941" max="7941" width="13.44140625" style="90" customWidth="1"/>
    <col min="7942" max="7942" width="16.44140625" style="90" bestFit="1" customWidth="1"/>
    <col min="7943" max="7943" width="19.88671875" style="90" bestFit="1" customWidth="1"/>
    <col min="7944" max="7944" width="12.44140625" style="90" customWidth="1"/>
    <col min="7945" max="8192" width="9.109375" style="90"/>
    <col min="8193" max="8193" width="3.44140625" style="90" customWidth="1"/>
    <col min="8194" max="8194" width="37.33203125" style="90" bestFit="1" customWidth="1"/>
    <col min="8195" max="8195" width="16.44140625" style="90" bestFit="1" customWidth="1"/>
    <col min="8196" max="8196" width="19.88671875" style="90" bestFit="1" customWidth="1"/>
    <col min="8197" max="8197" width="13.44140625" style="90" customWidth="1"/>
    <col min="8198" max="8198" width="16.44140625" style="90" bestFit="1" customWidth="1"/>
    <col min="8199" max="8199" width="19.88671875" style="90" bestFit="1" customWidth="1"/>
    <col min="8200" max="8200" width="12.44140625" style="90" customWidth="1"/>
    <col min="8201" max="8448" width="9.109375" style="90"/>
    <col min="8449" max="8449" width="3.44140625" style="90" customWidth="1"/>
    <col min="8450" max="8450" width="37.33203125" style="90" bestFit="1" customWidth="1"/>
    <col min="8451" max="8451" width="16.44140625" style="90" bestFit="1" customWidth="1"/>
    <col min="8452" max="8452" width="19.88671875" style="90" bestFit="1" customWidth="1"/>
    <col min="8453" max="8453" width="13.44140625" style="90" customWidth="1"/>
    <col min="8454" max="8454" width="16.44140625" style="90" bestFit="1" customWidth="1"/>
    <col min="8455" max="8455" width="19.88671875" style="90" bestFit="1" customWidth="1"/>
    <col min="8456" max="8456" width="12.44140625" style="90" customWidth="1"/>
    <col min="8457" max="8704" width="9.109375" style="90"/>
    <col min="8705" max="8705" width="3.44140625" style="90" customWidth="1"/>
    <col min="8706" max="8706" width="37.33203125" style="90" bestFit="1" customWidth="1"/>
    <col min="8707" max="8707" width="16.44140625" style="90" bestFit="1" customWidth="1"/>
    <col min="8708" max="8708" width="19.88671875" style="90" bestFit="1" customWidth="1"/>
    <col min="8709" max="8709" width="13.44140625" style="90" customWidth="1"/>
    <col min="8710" max="8710" width="16.44140625" style="90" bestFit="1" customWidth="1"/>
    <col min="8711" max="8711" width="19.88671875" style="90" bestFit="1" customWidth="1"/>
    <col min="8712" max="8712" width="12.44140625" style="90" customWidth="1"/>
    <col min="8713" max="8960" width="9.109375" style="90"/>
    <col min="8961" max="8961" width="3.44140625" style="90" customWidth="1"/>
    <col min="8962" max="8962" width="37.33203125" style="90" bestFit="1" customWidth="1"/>
    <col min="8963" max="8963" width="16.44140625" style="90" bestFit="1" customWidth="1"/>
    <col min="8964" max="8964" width="19.88671875" style="90" bestFit="1" customWidth="1"/>
    <col min="8965" max="8965" width="13.44140625" style="90" customWidth="1"/>
    <col min="8966" max="8966" width="16.44140625" style="90" bestFit="1" customWidth="1"/>
    <col min="8967" max="8967" width="19.88671875" style="90" bestFit="1" customWidth="1"/>
    <col min="8968" max="8968" width="12.44140625" style="90" customWidth="1"/>
    <col min="8969" max="9216" width="9.109375" style="90"/>
    <col min="9217" max="9217" width="3.44140625" style="90" customWidth="1"/>
    <col min="9218" max="9218" width="37.33203125" style="90" bestFit="1" customWidth="1"/>
    <col min="9219" max="9219" width="16.44140625" style="90" bestFit="1" customWidth="1"/>
    <col min="9220" max="9220" width="19.88671875" style="90" bestFit="1" customWidth="1"/>
    <col min="9221" max="9221" width="13.44140625" style="90" customWidth="1"/>
    <col min="9222" max="9222" width="16.44140625" style="90" bestFit="1" customWidth="1"/>
    <col min="9223" max="9223" width="19.88671875" style="90" bestFit="1" customWidth="1"/>
    <col min="9224" max="9224" width="12.44140625" style="90" customWidth="1"/>
    <col min="9225" max="9472" width="9.109375" style="90"/>
    <col min="9473" max="9473" width="3.44140625" style="90" customWidth="1"/>
    <col min="9474" max="9474" width="37.33203125" style="90" bestFit="1" customWidth="1"/>
    <col min="9475" max="9475" width="16.44140625" style="90" bestFit="1" customWidth="1"/>
    <col min="9476" max="9476" width="19.88671875" style="90" bestFit="1" customWidth="1"/>
    <col min="9477" max="9477" width="13.44140625" style="90" customWidth="1"/>
    <col min="9478" max="9478" width="16.44140625" style="90" bestFit="1" customWidth="1"/>
    <col min="9479" max="9479" width="19.88671875" style="90" bestFit="1" customWidth="1"/>
    <col min="9480" max="9480" width="12.44140625" style="90" customWidth="1"/>
    <col min="9481" max="9728" width="9.109375" style="90"/>
    <col min="9729" max="9729" width="3.44140625" style="90" customWidth="1"/>
    <col min="9730" max="9730" width="37.33203125" style="90" bestFit="1" customWidth="1"/>
    <col min="9731" max="9731" width="16.44140625" style="90" bestFit="1" customWidth="1"/>
    <col min="9732" max="9732" width="19.88671875" style="90" bestFit="1" customWidth="1"/>
    <col min="9733" max="9733" width="13.44140625" style="90" customWidth="1"/>
    <col min="9734" max="9734" width="16.44140625" style="90" bestFit="1" customWidth="1"/>
    <col min="9735" max="9735" width="19.88671875" style="90" bestFit="1" customWidth="1"/>
    <col min="9736" max="9736" width="12.44140625" style="90" customWidth="1"/>
    <col min="9737" max="9984" width="9.109375" style="90"/>
    <col min="9985" max="9985" width="3.44140625" style="90" customWidth="1"/>
    <col min="9986" max="9986" width="37.33203125" style="90" bestFit="1" customWidth="1"/>
    <col min="9987" max="9987" width="16.44140625" style="90" bestFit="1" customWidth="1"/>
    <col min="9988" max="9988" width="19.88671875" style="90" bestFit="1" customWidth="1"/>
    <col min="9989" max="9989" width="13.44140625" style="90" customWidth="1"/>
    <col min="9990" max="9990" width="16.44140625" style="90" bestFit="1" customWidth="1"/>
    <col min="9991" max="9991" width="19.88671875" style="90" bestFit="1" customWidth="1"/>
    <col min="9992" max="9992" width="12.44140625" style="90" customWidth="1"/>
    <col min="9993" max="10240" width="9.109375" style="90"/>
    <col min="10241" max="10241" width="3.44140625" style="90" customWidth="1"/>
    <col min="10242" max="10242" width="37.33203125" style="90" bestFit="1" customWidth="1"/>
    <col min="10243" max="10243" width="16.44140625" style="90" bestFit="1" customWidth="1"/>
    <col min="10244" max="10244" width="19.88671875" style="90" bestFit="1" customWidth="1"/>
    <col min="10245" max="10245" width="13.44140625" style="90" customWidth="1"/>
    <col min="10246" max="10246" width="16.44140625" style="90" bestFit="1" customWidth="1"/>
    <col min="10247" max="10247" width="19.88671875" style="90" bestFit="1" customWidth="1"/>
    <col min="10248" max="10248" width="12.44140625" style="90" customWidth="1"/>
    <col min="10249" max="10496" width="9.109375" style="90"/>
    <col min="10497" max="10497" width="3.44140625" style="90" customWidth="1"/>
    <col min="10498" max="10498" width="37.33203125" style="90" bestFit="1" customWidth="1"/>
    <col min="10499" max="10499" width="16.44140625" style="90" bestFit="1" customWidth="1"/>
    <col min="10500" max="10500" width="19.88671875" style="90" bestFit="1" customWidth="1"/>
    <col min="10501" max="10501" width="13.44140625" style="90" customWidth="1"/>
    <col min="10502" max="10502" width="16.44140625" style="90" bestFit="1" customWidth="1"/>
    <col min="10503" max="10503" width="19.88671875" style="90" bestFit="1" customWidth="1"/>
    <col min="10504" max="10504" width="12.44140625" style="90" customWidth="1"/>
    <col min="10505" max="10752" width="9.109375" style="90"/>
    <col min="10753" max="10753" width="3.44140625" style="90" customWidth="1"/>
    <col min="10754" max="10754" width="37.33203125" style="90" bestFit="1" customWidth="1"/>
    <col min="10755" max="10755" width="16.44140625" style="90" bestFit="1" customWidth="1"/>
    <col min="10756" max="10756" width="19.88671875" style="90" bestFit="1" customWidth="1"/>
    <col min="10757" max="10757" width="13.44140625" style="90" customWidth="1"/>
    <col min="10758" max="10758" width="16.44140625" style="90" bestFit="1" customWidth="1"/>
    <col min="10759" max="10759" width="19.88671875" style="90" bestFit="1" customWidth="1"/>
    <col min="10760" max="10760" width="12.44140625" style="90" customWidth="1"/>
    <col min="10761" max="11008" width="9.109375" style="90"/>
    <col min="11009" max="11009" width="3.44140625" style="90" customWidth="1"/>
    <col min="11010" max="11010" width="37.33203125" style="90" bestFit="1" customWidth="1"/>
    <col min="11011" max="11011" width="16.44140625" style="90" bestFit="1" customWidth="1"/>
    <col min="11012" max="11012" width="19.88671875" style="90" bestFit="1" customWidth="1"/>
    <col min="11013" max="11013" width="13.44140625" style="90" customWidth="1"/>
    <col min="11014" max="11014" width="16.44140625" style="90" bestFit="1" customWidth="1"/>
    <col min="11015" max="11015" width="19.88671875" style="90" bestFit="1" customWidth="1"/>
    <col min="11016" max="11016" width="12.44140625" style="90" customWidth="1"/>
    <col min="11017" max="11264" width="9.109375" style="90"/>
    <col min="11265" max="11265" width="3.44140625" style="90" customWidth="1"/>
    <col min="11266" max="11266" width="37.33203125" style="90" bestFit="1" customWidth="1"/>
    <col min="11267" max="11267" width="16.44140625" style="90" bestFit="1" customWidth="1"/>
    <col min="11268" max="11268" width="19.88671875" style="90" bestFit="1" customWidth="1"/>
    <col min="11269" max="11269" width="13.44140625" style="90" customWidth="1"/>
    <col min="11270" max="11270" width="16.44140625" style="90" bestFit="1" customWidth="1"/>
    <col min="11271" max="11271" width="19.88671875" style="90" bestFit="1" customWidth="1"/>
    <col min="11272" max="11272" width="12.44140625" style="90" customWidth="1"/>
    <col min="11273" max="11520" width="9.109375" style="90"/>
    <col min="11521" max="11521" width="3.44140625" style="90" customWidth="1"/>
    <col min="11522" max="11522" width="37.33203125" style="90" bestFit="1" customWidth="1"/>
    <col min="11523" max="11523" width="16.44140625" style="90" bestFit="1" customWidth="1"/>
    <col min="11524" max="11524" width="19.88671875" style="90" bestFit="1" customWidth="1"/>
    <col min="11525" max="11525" width="13.44140625" style="90" customWidth="1"/>
    <col min="11526" max="11526" width="16.44140625" style="90" bestFit="1" customWidth="1"/>
    <col min="11527" max="11527" width="19.88671875" style="90" bestFit="1" customWidth="1"/>
    <col min="11528" max="11528" width="12.44140625" style="90" customWidth="1"/>
    <col min="11529" max="11776" width="9.109375" style="90"/>
    <col min="11777" max="11777" width="3.44140625" style="90" customWidth="1"/>
    <col min="11778" max="11778" width="37.33203125" style="90" bestFit="1" customWidth="1"/>
    <col min="11779" max="11779" width="16.44140625" style="90" bestFit="1" customWidth="1"/>
    <col min="11780" max="11780" width="19.88671875" style="90" bestFit="1" customWidth="1"/>
    <col min="11781" max="11781" width="13.44140625" style="90" customWidth="1"/>
    <col min="11782" max="11782" width="16.44140625" style="90" bestFit="1" customWidth="1"/>
    <col min="11783" max="11783" width="19.88671875" style="90" bestFit="1" customWidth="1"/>
    <col min="11784" max="11784" width="12.44140625" style="90" customWidth="1"/>
    <col min="11785" max="12032" width="9.109375" style="90"/>
    <col min="12033" max="12033" width="3.44140625" style="90" customWidth="1"/>
    <col min="12034" max="12034" width="37.33203125" style="90" bestFit="1" customWidth="1"/>
    <col min="12035" max="12035" width="16.44140625" style="90" bestFit="1" customWidth="1"/>
    <col min="12036" max="12036" width="19.88671875" style="90" bestFit="1" customWidth="1"/>
    <col min="12037" max="12037" width="13.44140625" style="90" customWidth="1"/>
    <col min="12038" max="12038" width="16.44140625" style="90" bestFit="1" customWidth="1"/>
    <col min="12039" max="12039" width="19.88671875" style="90" bestFit="1" customWidth="1"/>
    <col min="12040" max="12040" width="12.44140625" style="90" customWidth="1"/>
    <col min="12041" max="12288" width="9.109375" style="90"/>
    <col min="12289" max="12289" width="3.44140625" style="90" customWidth="1"/>
    <col min="12290" max="12290" width="37.33203125" style="90" bestFit="1" customWidth="1"/>
    <col min="12291" max="12291" width="16.44140625" style="90" bestFit="1" customWidth="1"/>
    <col min="12292" max="12292" width="19.88671875" style="90" bestFit="1" customWidth="1"/>
    <col min="12293" max="12293" width="13.44140625" style="90" customWidth="1"/>
    <col min="12294" max="12294" width="16.44140625" style="90" bestFit="1" customWidth="1"/>
    <col min="12295" max="12295" width="19.88671875" style="90" bestFit="1" customWidth="1"/>
    <col min="12296" max="12296" width="12.44140625" style="90" customWidth="1"/>
    <col min="12297" max="12544" width="9.109375" style="90"/>
    <col min="12545" max="12545" width="3.44140625" style="90" customWidth="1"/>
    <col min="12546" max="12546" width="37.33203125" style="90" bestFit="1" customWidth="1"/>
    <col min="12547" max="12547" width="16.44140625" style="90" bestFit="1" customWidth="1"/>
    <col min="12548" max="12548" width="19.88671875" style="90" bestFit="1" customWidth="1"/>
    <col min="12549" max="12549" width="13.44140625" style="90" customWidth="1"/>
    <col min="12550" max="12550" width="16.44140625" style="90" bestFit="1" customWidth="1"/>
    <col min="12551" max="12551" width="19.88671875" style="90" bestFit="1" customWidth="1"/>
    <col min="12552" max="12552" width="12.44140625" style="90" customWidth="1"/>
    <col min="12553" max="12800" width="9.109375" style="90"/>
    <col min="12801" max="12801" width="3.44140625" style="90" customWidth="1"/>
    <col min="12802" max="12802" width="37.33203125" style="90" bestFit="1" customWidth="1"/>
    <col min="12803" max="12803" width="16.44140625" style="90" bestFit="1" customWidth="1"/>
    <col min="12804" max="12804" width="19.88671875" style="90" bestFit="1" customWidth="1"/>
    <col min="12805" max="12805" width="13.44140625" style="90" customWidth="1"/>
    <col min="12806" max="12806" width="16.44140625" style="90" bestFit="1" customWidth="1"/>
    <col min="12807" max="12807" width="19.88671875" style="90" bestFit="1" customWidth="1"/>
    <col min="12808" max="12808" width="12.44140625" style="90" customWidth="1"/>
    <col min="12809" max="13056" width="9.109375" style="90"/>
    <col min="13057" max="13057" width="3.44140625" style="90" customWidth="1"/>
    <col min="13058" max="13058" width="37.33203125" style="90" bestFit="1" customWidth="1"/>
    <col min="13059" max="13059" width="16.44140625" style="90" bestFit="1" customWidth="1"/>
    <col min="13060" max="13060" width="19.88671875" style="90" bestFit="1" customWidth="1"/>
    <col min="13061" max="13061" width="13.44140625" style="90" customWidth="1"/>
    <col min="13062" max="13062" width="16.44140625" style="90" bestFit="1" customWidth="1"/>
    <col min="13063" max="13063" width="19.88671875" style="90" bestFit="1" customWidth="1"/>
    <col min="13064" max="13064" width="12.44140625" style="90" customWidth="1"/>
    <col min="13065" max="13312" width="9.109375" style="90"/>
    <col min="13313" max="13313" width="3.44140625" style="90" customWidth="1"/>
    <col min="13314" max="13314" width="37.33203125" style="90" bestFit="1" customWidth="1"/>
    <col min="13315" max="13315" width="16.44140625" style="90" bestFit="1" customWidth="1"/>
    <col min="13316" max="13316" width="19.88671875" style="90" bestFit="1" customWidth="1"/>
    <col min="13317" max="13317" width="13.44140625" style="90" customWidth="1"/>
    <col min="13318" max="13318" width="16.44140625" style="90" bestFit="1" customWidth="1"/>
    <col min="13319" max="13319" width="19.88671875" style="90" bestFit="1" customWidth="1"/>
    <col min="13320" max="13320" width="12.44140625" style="90" customWidth="1"/>
    <col min="13321" max="13568" width="9.109375" style="90"/>
    <col min="13569" max="13569" width="3.44140625" style="90" customWidth="1"/>
    <col min="13570" max="13570" width="37.33203125" style="90" bestFit="1" customWidth="1"/>
    <col min="13571" max="13571" width="16.44140625" style="90" bestFit="1" customWidth="1"/>
    <col min="13572" max="13572" width="19.88671875" style="90" bestFit="1" customWidth="1"/>
    <col min="13573" max="13573" width="13.44140625" style="90" customWidth="1"/>
    <col min="13574" max="13574" width="16.44140625" style="90" bestFit="1" customWidth="1"/>
    <col min="13575" max="13575" width="19.88671875" style="90" bestFit="1" customWidth="1"/>
    <col min="13576" max="13576" width="12.44140625" style="90" customWidth="1"/>
    <col min="13577" max="13824" width="9.109375" style="90"/>
    <col min="13825" max="13825" width="3.44140625" style="90" customWidth="1"/>
    <col min="13826" max="13826" width="37.33203125" style="90" bestFit="1" customWidth="1"/>
    <col min="13827" max="13827" width="16.44140625" style="90" bestFit="1" customWidth="1"/>
    <col min="13828" max="13828" width="19.88671875" style="90" bestFit="1" customWidth="1"/>
    <col min="13829" max="13829" width="13.44140625" style="90" customWidth="1"/>
    <col min="13830" max="13830" width="16.44140625" style="90" bestFit="1" customWidth="1"/>
    <col min="13831" max="13831" width="19.88671875" style="90" bestFit="1" customWidth="1"/>
    <col min="13832" max="13832" width="12.44140625" style="90" customWidth="1"/>
    <col min="13833" max="14080" width="9.109375" style="90"/>
    <col min="14081" max="14081" width="3.44140625" style="90" customWidth="1"/>
    <col min="14082" max="14082" width="37.33203125" style="90" bestFit="1" customWidth="1"/>
    <col min="14083" max="14083" width="16.44140625" style="90" bestFit="1" customWidth="1"/>
    <col min="14084" max="14084" width="19.88671875" style="90" bestFit="1" customWidth="1"/>
    <col min="14085" max="14085" width="13.44140625" style="90" customWidth="1"/>
    <col min="14086" max="14086" width="16.44140625" style="90" bestFit="1" customWidth="1"/>
    <col min="14087" max="14087" width="19.88671875" style="90" bestFit="1" customWidth="1"/>
    <col min="14088" max="14088" width="12.44140625" style="90" customWidth="1"/>
    <col min="14089" max="14336" width="9.109375" style="90"/>
    <col min="14337" max="14337" width="3.44140625" style="90" customWidth="1"/>
    <col min="14338" max="14338" width="37.33203125" style="90" bestFit="1" customWidth="1"/>
    <col min="14339" max="14339" width="16.44140625" style="90" bestFit="1" customWidth="1"/>
    <col min="14340" max="14340" width="19.88671875" style="90" bestFit="1" customWidth="1"/>
    <col min="14341" max="14341" width="13.44140625" style="90" customWidth="1"/>
    <col min="14342" max="14342" width="16.44140625" style="90" bestFit="1" customWidth="1"/>
    <col min="14343" max="14343" width="19.88671875" style="90" bestFit="1" customWidth="1"/>
    <col min="14344" max="14344" width="12.44140625" style="90" customWidth="1"/>
    <col min="14345" max="14592" width="9.109375" style="90"/>
    <col min="14593" max="14593" width="3.44140625" style="90" customWidth="1"/>
    <col min="14594" max="14594" width="37.33203125" style="90" bestFit="1" customWidth="1"/>
    <col min="14595" max="14595" width="16.44140625" style="90" bestFit="1" customWidth="1"/>
    <col min="14596" max="14596" width="19.88671875" style="90" bestFit="1" customWidth="1"/>
    <col min="14597" max="14597" width="13.44140625" style="90" customWidth="1"/>
    <col min="14598" max="14598" width="16.44140625" style="90" bestFit="1" customWidth="1"/>
    <col min="14599" max="14599" width="19.88671875" style="90" bestFit="1" customWidth="1"/>
    <col min="14600" max="14600" width="12.44140625" style="90" customWidth="1"/>
    <col min="14601" max="14848" width="9.109375" style="90"/>
    <col min="14849" max="14849" width="3.44140625" style="90" customWidth="1"/>
    <col min="14850" max="14850" width="37.33203125" style="90" bestFit="1" customWidth="1"/>
    <col min="14851" max="14851" width="16.44140625" style="90" bestFit="1" customWidth="1"/>
    <col min="14852" max="14852" width="19.88671875" style="90" bestFit="1" customWidth="1"/>
    <col min="14853" max="14853" width="13.44140625" style="90" customWidth="1"/>
    <col min="14854" max="14854" width="16.44140625" style="90" bestFit="1" customWidth="1"/>
    <col min="14855" max="14855" width="19.88671875" style="90" bestFit="1" customWidth="1"/>
    <col min="14856" max="14856" width="12.44140625" style="90" customWidth="1"/>
    <col min="14857" max="15104" width="9.109375" style="90"/>
    <col min="15105" max="15105" width="3.44140625" style="90" customWidth="1"/>
    <col min="15106" max="15106" width="37.33203125" style="90" bestFit="1" customWidth="1"/>
    <col min="15107" max="15107" width="16.44140625" style="90" bestFit="1" customWidth="1"/>
    <col min="15108" max="15108" width="19.88671875" style="90" bestFit="1" customWidth="1"/>
    <col min="15109" max="15109" width="13.44140625" style="90" customWidth="1"/>
    <col min="15110" max="15110" width="16.44140625" style="90" bestFit="1" customWidth="1"/>
    <col min="15111" max="15111" width="19.88671875" style="90" bestFit="1" customWidth="1"/>
    <col min="15112" max="15112" width="12.44140625" style="90" customWidth="1"/>
    <col min="15113" max="15360" width="9.109375" style="90"/>
    <col min="15361" max="15361" width="3.44140625" style="90" customWidth="1"/>
    <col min="15362" max="15362" width="37.33203125" style="90" bestFit="1" customWidth="1"/>
    <col min="15363" max="15363" width="16.44140625" style="90" bestFit="1" customWidth="1"/>
    <col min="15364" max="15364" width="19.88671875" style="90" bestFit="1" customWidth="1"/>
    <col min="15365" max="15365" width="13.44140625" style="90" customWidth="1"/>
    <col min="15366" max="15366" width="16.44140625" style="90" bestFit="1" customWidth="1"/>
    <col min="15367" max="15367" width="19.88671875" style="90" bestFit="1" customWidth="1"/>
    <col min="15368" max="15368" width="12.44140625" style="90" customWidth="1"/>
    <col min="15369" max="15616" width="9.109375" style="90"/>
    <col min="15617" max="15617" width="3.44140625" style="90" customWidth="1"/>
    <col min="15618" max="15618" width="37.33203125" style="90" bestFit="1" customWidth="1"/>
    <col min="15619" max="15619" width="16.44140625" style="90" bestFit="1" customWidth="1"/>
    <col min="15620" max="15620" width="19.88671875" style="90" bestFit="1" customWidth="1"/>
    <col min="15621" max="15621" width="13.44140625" style="90" customWidth="1"/>
    <col min="15622" max="15622" width="16.44140625" style="90" bestFit="1" customWidth="1"/>
    <col min="15623" max="15623" width="19.88671875" style="90" bestFit="1" customWidth="1"/>
    <col min="15624" max="15624" width="12.44140625" style="90" customWidth="1"/>
    <col min="15625" max="15872" width="9.109375" style="90"/>
    <col min="15873" max="15873" width="3.44140625" style="90" customWidth="1"/>
    <col min="15874" max="15874" width="37.33203125" style="90" bestFit="1" customWidth="1"/>
    <col min="15875" max="15875" width="16.44140625" style="90" bestFit="1" customWidth="1"/>
    <col min="15876" max="15876" width="19.88671875" style="90" bestFit="1" customWidth="1"/>
    <col min="15877" max="15877" width="13.44140625" style="90" customWidth="1"/>
    <col min="15878" max="15878" width="16.44140625" style="90" bestFit="1" customWidth="1"/>
    <col min="15879" max="15879" width="19.88671875" style="90" bestFit="1" customWidth="1"/>
    <col min="15880" max="15880" width="12.44140625" style="90" customWidth="1"/>
    <col min="15881" max="16128" width="9.109375" style="90"/>
    <col min="16129" max="16129" width="3.44140625" style="90" customWidth="1"/>
    <col min="16130" max="16130" width="37.33203125" style="90" bestFit="1" customWidth="1"/>
    <col min="16131" max="16131" width="16.44140625" style="90" bestFit="1" customWidth="1"/>
    <col min="16132" max="16132" width="19.88671875" style="90" bestFit="1" customWidth="1"/>
    <col min="16133" max="16133" width="13.44140625" style="90" customWidth="1"/>
    <col min="16134" max="16134" width="16.44140625" style="90" bestFit="1" customWidth="1"/>
    <col min="16135" max="16135" width="19.88671875" style="90" bestFit="1" customWidth="1"/>
    <col min="16136" max="16136" width="12.44140625" style="90" customWidth="1"/>
    <col min="16137" max="16384" width="9.109375" style="90"/>
  </cols>
  <sheetData>
    <row r="1" spans="1:11" ht="21">
      <c r="B1" s="803"/>
      <c r="C1" s="803"/>
      <c r="D1" s="803"/>
      <c r="E1" s="803"/>
      <c r="F1" s="803"/>
      <c r="G1" s="803"/>
      <c r="H1" s="803"/>
    </row>
    <row r="2" spans="1:11" ht="21">
      <c r="B2" s="803"/>
      <c r="C2" s="803"/>
      <c r="D2" s="803"/>
      <c r="E2" s="803"/>
      <c r="F2" s="803"/>
      <c r="G2" s="803"/>
      <c r="H2" s="803"/>
    </row>
    <row r="3" spans="1:11" ht="21">
      <c r="A3" s="91" t="s">
        <v>239</v>
      </c>
      <c r="B3" s="248" t="s">
        <v>240</v>
      </c>
      <c r="C3" s="314"/>
      <c r="D3" s="314"/>
      <c r="E3" s="314"/>
      <c r="F3" s="314"/>
      <c r="G3" s="314"/>
      <c r="H3" s="314"/>
      <c r="J3" s="90">
        <f>56-41</f>
        <v>15</v>
      </c>
    </row>
    <row r="5" spans="1:11" ht="16.2" thickBot="1"/>
    <row r="6" spans="1:11">
      <c r="B6" s="93"/>
      <c r="C6" s="804" t="s">
        <v>916</v>
      </c>
      <c r="D6" s="805"/>
      <c r="E6" s="806"/>
      <c r="F6" s="804" t="s">
        <v>574</v>
      </c>
      <c r="G6" s="805"/>
      <c r="H6" s="806"/>
    </row>
    <row r="7" spans="1:11">
      <c r="B7" s="94" t="s">
        <v>241</v>
      </c>
      <c r="C7" s="95" t="s">
        <v>13</v>
      </c>
      <c r="D7" s="96" t="s">
        <v>14</v>
      </c>
      <c r="E7" s="97" t="s">
        <v>120</v>
      </c>
      <c r="F7" s="95" t="s">
        <v>13</v>
      </c>
      <c r="G7" s="96" t="s">
        <v>14</v>
      </c>
      <c r="H7" s="97" t="s">
        <v>120</v>
      </c>
    </row>
    <row r="8" spans="1:11">
      <c r="B8" s="98" t="s">
        <v>242</v>
      </c>
      <c r="C8" s="95"/>
      <c r="D8" s="96"/>
      <c r="E8" s="97"/>
      <c r="F8" s="95"/>
      <c r="G8" s="96"/>
      <c r="H8" s="97"/>
    </row>
    <row r="9" spans="1:11">
      <c r="B9" s="94" t="s">
        <v>243</v>
      </c>
      <c r="C9" s="99">
        <f>56000-16000+11700</f>
        <v>51700</v>
      </c>
      <c r="D9" s="96">
        <f>4700-700</f>
        <v>4000</v>
      </c>
      <c r="E9" s="97">
        <f t="shared" ref="E9:E17" si="0">SUM(C9:D9)</f>
        <v>55700</v>
      </c>
      <c r="F9" s="99">
        <v>96000</v>
      </c>
      <c r="G9" s="96">
        <v>4000</v>
      </c>
      <c r="H9" s="97">
        <f t="shared" ref="H9:H21" si="1">SUM(F9:G9)</f>
        <v>100000</v>
      </c>
    </row>
    <row r="10" spans="1:11">
      <c r="B10" s="94" t="s">
        <v>244</v>
      </c>
      <c r="C10" s="99">
        <f>140000+20000+10000</f>
        <v>170000</v>
      </c>
      <c r="D10" s="96" t="s">
        <v>1227</v>
      </c>
      <c r="E10" s="97">
        <f t="shared" si="0"/>
        <v>170000</v>
      </c>
      <c r="F10" s="99">
        <v>210000</v>
      </c>
      <c r="G10" s="96"/>
      <c r="H10" s="97">
        <f t="shared" si="1"/>
        <v>210000</v>
      </c>
    </row>
    <row r="11" spans="1:11">
      <c r="B11" s="94"/>
      <c r="C11" s="99"/>
      <c r="D11" s="96"/>
      <c r="E11" s="97">
        <f t="shared" si="0"/>
        <v>0</v>
      </c>
      <c r="F11" s="99"/>
      <c r="G11" s="96"/>
      <c r="H11" s="97">
        <f t="shared" si="1"/>
        <v>0</v>
      </c>
    </row>
    <row r="12" spans="1:11">
      <c r="B12" s="94" t="s">
        <v>827</v>
      </c>
      <c r="C12" s="99"/>
      <c r="D12" s="106"/>
      <c r="E12" s="97"/>
      <c r="F12" s="99"/>
      <c r="G12" s="96">
        <v>25000</v>
      </c>
      <c r="H12" s="97">
        <f>SUM(F12:G12)</f>
        <v>25000</v>
      </c>
    </row>
    <row r="13" spans="1:11">
      <c r="B13" s="94" t="s">
        <v>917</v>
      </c>
      <c r="C13" s="461"/>
      <c r="D13" s="96">
        <f>25000+5000</f>
        <v>30000</v>
      </c>
      <c r="E13" s="97">
        <f>SUM(C13:D13)</f>
        <v>30000</v>
      </c>
      <c r="F13" s="99"/>
      <c r="G13" s="96"/>
      <c r="H13" s="97">
        <f>SUM(F13:G13)</f>
        <v>0</v>
      </c>
      <c r="K13" s="90">
        <f>140000+31553</f>
        <v>171553</v>
      </c>
    </row>
    <row r="14" spans="1:11">
      <c r="B14" s="94" t="s">
        <v>387</v>
      </c>
      <c r="C14" s="461"/>
      <c r="D14" s="96">
        <f>15000+10000</f>
        <v>25000</v>
      </c>
      <c r="E14" s="97">
        <f>SUM(C14:D14)</f>
        <v>25000</v>
      </c>
      <c r="F14" s="99"/>
      <c r="G14" s="96">
        <v>15000</v>
      </c>
      <c r="H14" s="97">
        <f>SUM(F14:G14)</f>
        <v>15000</v>
      </c>
    </row>
    <row r="15" spans="1:11">
      <c r="B15" s="94"/>
      <c r="C15" s="100"/>
      <c r="D15" s="96"/>
      <c r="E15" s="97">
        <f t="shared" si="0"/>
        <v>0</v>
      </c>
      <c r="F15" s="99"/>
      <c r="G15" s="96"/>
      <c r="H15" s="97">
        <f t="shared" si="1"/>
        <v>0</v>
      </c>
    </row>
    <row r="16" spans="1:11">
      <c r="B16" s="94" t="s">
        <v>245</v>
      </c>
      <c r="C16" s="99">
        <v>10000</v>
      </c>
      <c r="D16" s="96"/>
      <c r="E16" s="97">
        <f t="shared" si="0"/>
        <v>10000</v>
      </c>
      <c r="F16" s="99">
        <v>10000</v>
      </c>
      <c r="G16" s="96"/>
      <c r="H16" s="97">
        <f t="shared" si="1"/>
        <v>10000</v>
      </c>
    </row>
    <row r="17" spans="2:12" s="101" customFormat="1">
      <c r="B17" s="98" t="s">
        <v>246</v>
      </c>
      <c r="C17" s="102">
        <f>SUM(C9:C16)</f>
        <v>231700</v>
      </c>
      <c r="D17" s="103">
        <f>SUM(D9:D16)</f>
        <v>59000</v>
      </c>
      <c r="E17" s="104">
        <f t="shared" si="0"/>
        <v>290700</v>
      </c>
      <c r="F17" s="102">
        <f>SUM(F9:F16)</f>
        <v>316000</v>
      </c>
      <c r="G17" s="103">
        <f>SUM(G9:G16)</f>
        <v>44000</v>
      </c>
      <c r="H17" s="104">
        <f>SUM(H9:H16)</f>
        <v>360000</v>
      </c>
    </row>
    <row r="18" spans="2:12">
      <c r="B18" s="98" t="s">
        <v>247</v>
      </c>
      <c r="C18" s="99"/>
      <c r="D18" s="96"/>
      <c r="E18" s="97"/>
      <c r="F18" s="99"/>
      <c r="G18" s="96"/>
      <c r="H18" s="105">
        <f t="shared" si="1"/>
        <v>0</v>
      </c>
    </row>
    <row r="19" spans="2:12">
      <c r="B19" s="94" t="s">
        <v>248</v>
      </c>
      <c r="C19" s="99">
        <f>5300+2350+3250</f>
        <v>10900</v>
      </c>
      <c r="D19" s="96"/>
      <c r="E19" s="97">
        <f>SUM(C19:D19)</f>
        <v>10900</v>
      </c>
      <c r="F19" s="99">
        <v>14700</v>
      </c>
      <c r="G19" s="96"/>
      <c r="H19" s="97">
        <f t="shared" si="1"/>
        <v>14700</v>
      </c>
      <c r="K19" s="96">
        <f>C20</f>
        <v>14530</v>
      </c>
    </row>
    <row r="20" spans="2:12">
      <c r="B20" s="94" t="s">
        <v>249</v>
      </c>
      <c r="C20" s="99">
        <f>9030+3500+2000</f>
        <v>14530</v>
      </c>
      <c r="D20" s="96"/>
      <c r="E20" s="97">
        <f>SUM(C20:D20)</f>
        <v>14530</v>
      </c>
      <c r="F20" s="99">
        <v>11260</v>
      </c>
      <c r="G20" s="96"/>
      <c r="H20" s="97">
        <f t="shared" si="1"/>
        <v>11260</v>
      </c>
      <c r="K20" s="90" t="s">
        <v>250</v>
      </c>
    </row>
    <row r="21" spans="2:12">
      <c r="B21" s="94" t="s">
        <v>251</v>
      </c>
      <c r="C21" s="99">
        <f>C17-C19-C20</f>
        <v>206270</v>
      </c>
      <c r="D21" s="106">
        <f>D17-D19-D20</f>
        <v>59000</v>
      </c>
      <c r="E21" s="97">
        <f>SUM(C21:D21)</f>
        <v>265270</v>
      </c>
      <c r="F21" s="99">
        <f>F17-F19-F20</f>
        <v>290040</v>
      </c>
      <c r="G21" s="106">
        <f>G17-G19-G20</f>
        <v>44000</v>
      </c>
      <c r="H21" s="97">
        <f t="shared" si="1"/>
        <v>334040</v>
      </c>
    </row>
    <row r="22" spans="2:12" s="101" customFormat="1" ht="16.2" thickBot="1">
      <c r="B22" s="107" t="s">
        <v>252</v>
      </c>
      <c r="C22" s="108">
        <f>C17</f>
        <v>231700</v>
      </c>
      <c r="D22" s="109">
        <f>D17</f>
        <v>59000</v>
      </c>
      <c r="E22" s="110">
        <f>SUM(C22:D22)</f>
        <v>290700</v>
      </c>
      <c r="F22" s="108">
        <f>SUM(F19:F21)</f>
        <v>316000</v>
      </c>
      <c r="G22" s="109">
        <f>SUM(G19:G21)</f>
        <v>44000</v>
      </c>
      <c r="H22" s="110">
        <f>SUM(H19:H21)</f>
        <v>360000</v>
      </c>
    </row>
    <row r="23" spans="2:12">
      <c r="K23" s="90" t="s">
        <v>253</v>
      </c>
      <c r="L23" s="90" t="s">
        <v>254</v>
      </c>
    </row>
    <row r="24" spans="2:12">
      <c r="K24" s="92"/>
    </row>
    <row r="25" spans="2:12">
      <c r="K25" s="92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tabSelected="1" topLeftCell="A10" workbookViewId="0">
      <selection activeCell="Q24" sqref="Q24"/>
    </sheetView>
  </sheetViews>
  <sheetFormatPr defaultColWidth="9.109375" defaultRowHeight="13.8"/>
  <cols>
    <col min="1" max="3" width="4.109375" style="111" customWidth="1"/>
    <col min="4" max="4" width="33" style="111" customWidth="1"/>
    <col min="5" max="9" width="12.109375" style="111" customWidth="1"/>
    <col min="10" max="10" width="7.88671875" style="111" customWidth="1"/>
    <col min="11" max="16384" width="9.109375" style="111"/>
  </cols>
  <sheetData>
    <row r="3" spans="1:17" ht="21">
      <c r="E3" s="112"/>
    </row>
    <row r="4" spans="1:17" ht="15.6">
      <c r="A4" s="113">
        <v>3.7</v>
      </c>
      <c r="C4" s="113" t="s">
        <v>292</v>
      </c>
      <c r="D4" s="113"/>
      <c r="E4" s="113"/>
      <c r="F4" s="113"/>
      <c r="G4" s="113"/>
      <c r="H4" s="113"/>
      <c r="I4" s="113"/>
      <c r="J4" s="113"/>
      <c r="K4" s="113"/>
      <c r="L4" s="113"/>
    </row>
    <row r="5" spans="1:17" ht="16.2" thickBot="1"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7" ht="20.100000000000001" customHeight="1">
      <c r="A6" s="113"/>
      <c r="C6" s="134" t="s">
        <v>241</v>
      </c>
      <c r="D6" s="135"/>
      <c r="E6" s="136"/>
      <c r="F6" s="137" t="s">
        <v>914</v>
      </c>
      <c r="G6" s="159" t="s">
        <v>573</v>
      </c>
      <c r="M6" s="113"/>
      <c r="N6" s="113"/>
      <c r="O6" s="113"/>
    </row>
    <row r="7" spans="1:17" ht="20.100000000000001" customHeight="1">
      <c r="A7" s="113"/>
      <c r="C7" s="139" t="s">
        <v>293</v>
      </c>
      <c r="D7" s="140"/>
      <c r="E7" s="141"/>
      <c r="F7" s="142">
        <f>'פרוט מקורות אחרים'!M16/1000</f>
        <v>3067.511</v>
      </c>
      <c r="G7" s="143">
        <v>5968</v>
      </c>
      <c r="M7" s="113"/>
      <c r="N7" s="113"/>
      <c r="O7" s="113"/>
    </row>
    <row r="8" spans="1:17" ht="20.100000000000001" customHeight="1">
      <c r="A8" s="113"/>
      <c r="C8" s="139" t="s">
        <v>294</v>
      </c>
      <c r="D8" s="145"/>
      <c r="E8" s="141"/>
      <c r="F8" s="142">
        <f>'פרוט מקורות אחרים'!D16/1000</f>
        <v>40189.300000000003</v>
      </c>
      <c r="G8" s="143">
        <v>9299</v>
      </c>
      <c r="M8" s="113"/>
      <c r="N8" s="113"/>
      <c r="O8" s="113"/>
    </row>
    <row r="9" spans="1:17" ht="20.100000000000001" hidden="1" customHeight="1">
      <c r="A9" s="113"/>
      <c r="C9" s="139" t="s">
        <v>295</v>
      </c>
      <c r="D9" s="140"/>
      <c r="E9" s="141"/>
      <c r="F9" s="142"/>
      <c r="G9" s="143"/>
      <c r="M9" s="113"/>
      <c r="N9" s="113"/>
      <c r="O9" s="113"/>
    </row>
    <row r="10" spans="1:17" ht="20.100000000000001" customHeight="1">
      <c r="A10" s="113"/>
      <c r="C10" s="139" t="s">
        <v>296</v>
      </c>
      <c r="D10" s="140"/>
      <c r="E10" s="141"/>
      <c r="F10" s="142">
        <f>'פרוט מקורות אחרים'!B16/1000</f>
        <v>47874.675999999999</v>
      </c>
      <c r="G10" s="143">
        <v>66237.5</v>
      </c>
      <c r="M10" s="113"/>
      <c r="N10" s="113"/>
      <c r="O10" s="113"/>
    </row>
    <row r="11" spans="1:17" ht="20.100000000000001" customHeight="1">
      <c r="A11" s="113"/>
      <c r="C11" s="139" t="s">
        <v>274</v>
      </c>
      <c r="D11" s="160"/>
      <c r="E11" s="161"/>
      <c r="F11" s="142">
        <f>('פרוט מקורות אחרים'!C16+'פרוט מקורות אחרים'!E16+'פרוט מקורות אחרים'!F16+'פרוט מקורות אחרים'!I16+'פרוט מקורות אחרים'!J16+'פרוט מקורות אחרים'!K16+'פרוט מקורות אחרים'!L16)/1000+'פרוט מקורות אחרים'!G16/1000</f>
        <v>25911.281999999999</v>
      </c>
      <c r="G11" s="143">
        <v>19790.5</v>
      </c>
      <c r="L11" s="150"/>
      <c r="M11" s="113"/>
      <c r="N11" s="113"/>
      <c r="O11" s="113"/>
    </row>
    <row r="12" spans="1:17" ht="20.100000000000001" customHeight="1">
      <c r="A12" s="113"/>
      <c r="C12" s="139" t="s">
        <v>297</v>
      </c>
      <c r="D12" s="140"/>
      <c r="E12" s="141"/>
      <c r="F12" s="142">
        <f>'פרוט מקורות אחרים'!H16/1000</f>
        <v>2580</v>
      </c>
      <c r="G12" s="143">
        <v>3000</v>
      </c>
      <c r="M12" s="113"/>
      <c r="N12" s="113"/>
      <c r="O12" s="113"/>
    </row>
    <row r="13" spans="1:17" ht="20.100000000000001" customHeight="1">
      <c r="A13" s="113"/>
      <c r="C13" s="139" t="s">
        <v>298</v>
      </c>
      <c r="D13" s="145"/>
      <c r="E13" s="141"/>
      <c r="F13" s="142">
        <f>'פרוט מקורות אחרים'!N16/1000</f>
        <v>17500</v>
      </c>
      <c r="G13" s="143">
        <v>16350</v>
      </c>
      <c r="M13" s="113"/>
      <c r="N13" s="113"/>
      <c r="O13" s="113"/>
    </row>
    <row r="14" spans="1:17" ht="20.100000000000001" customHeight="1" thickBot="1">
      <c r="A14" s="113"/>
      <c r="C14" s="151" t="s">
        <v>120</v>
      </c>
      <c r="D14" s="152"/>
      <c r="E14" s="153"/>
      <c r="F14" s="154">
        <f>SUM(F7:F13)</f>
        <v>137122.769</v>
      </c>
      <c r="G14" s="162">
        <f>SUM(G7:G13)</f>
        <v>120645</v>
      </c>
      <c r="M14" s="113"/>
      <c r="N14" s="113"/>
      <c r="O14" s="113"/>
    </row>
    <row r="15" spans="1:17" ht="15.6">
      <c r="C15" s="113"/>
      <c r="D15" s="113"/>
      <c r="E15" s="113"/>
      <c r="F15" s="113"/>
      <c r="G15" s="113"/>
      <c r="H15" s="113"/>
      <c r="I15" s="113"/>
      <c r="J15" s="113"/>
      <c r="K15" s="113"/>
      <c r="L15" s="402"/>
    </row>
    <row r="16" spans="1:17" ht="15.6">
      <c r="B16" s="111" t="s">
        <v>299</v>
      </c>
      <c r="C16" s="113" t="s">
        <v>300</v>
      </c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</row>
    <row r="17" spans="1:17" ht="15.6">
      <c r="C17" s="113" t="s">
        <v>301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</row>
    <row r="18" spans="1:17" ht="15.6"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</row>
    <row r="19" spans="1:17" ht="15.6" hidden="1">
      <c r="A19" s="120" t="s">
        <v>302</v>
      </c>
      <c r="B19" s="114" t="s">
        <v>303</v>
      </c>
    </row>
    <row r="20" spans="1:17" ht="15.6" hidden="1"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</row>
    <row r="21" spans="1:17" ht="22.8" hidden="1">
      <c r="A21" s="113">
        <v>4.0999999999999996</v>
      </c>
      <c r="B21" s="113" t="s">
        <v>304</v>
      </c>
      <c r="C21" s="113"/>
      <c r="D21" s="113"/>
      <c r="E21" s="113"/>
      <c r="F21" s="113"/>
      <c r="G21" s="113"/>
      <c r="H21" s="113"/>
      <c r="I21" s="164"/>
      <c r="J21" s="113"/>
      <c r="K21" s="113"/>
      <c r="L21" s="113"/>
      <c r="M21" s="113"/>
      <c r="N21" s="113"/>
      <c r="O21" s="113"/>
      <c r="P21" s="113"/>
      <c r="Q21" s="113"/>
    </row>
    <row r="22" spans="1:17" ht="15.6" hidden="1">
      <c r="B22" s="113" t="s">
        <v>305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</row>
    <row r="23" spans="1:17" ht="15.6" hidden="1">
      <c r="B23" s="113" t="s">
        <v>306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</row>
    <row r="24" spans="1:17" ht="15.6" hidden="1">
      <c r="B24" s="113" t="s">
        <v>307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</row>
    <row r="25" spans="1:17" ht="15.6" hidden="1">
      <c r="B25" s="113" t="s">
        <v>308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</row>
    <row r="26" spans="1:17" ht="15.6" hidden="1"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</row>
    <row r="27" spans="1:17" ht="15.6" hidden="1">
      <c r="A27" s="113">
        <v>4.2</v>
      </c>
      <c r="B27" s="113" t="s">
        <v>309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</row>
    <row r="28" spans="1:17" ht="15.6" hidden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</row>
    <row r="29" spans="1:17" ht="15.6" hidden="1">
      <c r="A29" s="113"/>
      <c r="B29" s="113" t="s">
        <v>310</v>
      </c>
      <c r="C29" s="113"/>
      <c r="D29" s="113"/>
      <c r="E29" s="113"/>
      <c r="F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</row>
    <row r="30" spans="1:17" ht="15.6">
      <c r="A30" s="113"/>
      <c r="B30" s="113"/>
      <c r="C30" s="253" t="s">
        <v>837</v>
      </c>
      <c r="D30" s="253"/>
      <c r="E30" s="113"/>
      <c r="F30" s="113"/>
      <c r="G30" s="118"/>
      <c r="H30" s="113"/>
      <c r="I30" s="113"/>
      <c r="J30" s="113"/>
      <c r="K30" s="113"/>
      <c r="L30" s="113"/>
      <c r="M30" s="113"/>
      <c r="N30" s="113"/>
      <c r="O30" s="113"/>
      <c r="P30" s="113"/>
      <c r="Q30" s="113"/>
    </row>
    <row r="31" spans="1:17" ht="20.100000000000001" customHeight="1"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</row>
    <row r="32" spans="1:17" ht="15.6">
      <c r="A32" s="120" t="s">
        <v>302</v>
      </c>
      <c r="B32" s="114" t="s">
        <v>311</v>
      </c>
    </row>
    <row r="33" spans="1:17" ht="20.100000000000001" customHeight="1"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</row>
    <row r="34" spans="1:17" ht="20.100000000000001" customHeight="1">
      <c r="B34" s="113" t="s">
        <v>312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</row>
    <row r="35" spans="1:17" ht="20.100000000000001" customHeight="1">
      <c r="B35" s="113" t="s">
        <v>313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</row>
    <row r="36" spans="1:17" ht="20.100000000000001" customHeight="1">
      <c r="B36" s="113" t="s">
        <v>1422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</row>
    <row r="37" spans="1:17" ht="20.100000000000001" customHeight="1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</row>
    <row r="38" spans="1:17" ht="20.100000000000001" customHeight="1">
      <c r="B38" s="251" t="s">
        <v>1444</v>
      </c>
      <c r="C38" s="251"/>
      <c r="D38" s="251"/>
      <c r="E38" s="25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</row>
    <row r="39" spans="1:17" ht="15.6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</row>
    <row r="40" spans="1:17" ht="15.6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</row>
    <row r="41" spans="1:17" ht="15.6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</row>
    <row r="42" spans="1:17" ht="15.6">
      <c r="A42" s="120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</row>
    <row r="43" spans="1:17" ht="15.6"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</row>
    <row r="44" spans="1:17" ht="15.6"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tabSelected="1" topLeftCell="A2" workbookViewId="0">
      <selection activeCell="Q24" sqref="Q24"/>
    </sheetView>
  </sheetViews>
  <sheetFormatPr defaultColWidth="9.109375" defaultRowHeight="13.8"/>
  <cols>
    <col min="1" max="3" width="4.109375" style="261" customWidth="1"/>
    <col min="4" max="4" width="33" style="261" customWidth="1"/>
    <col min="5" max="9" width="12.109375" style="261" customWidth="1"/>
    <col min="10" max="10" width="7.88671875" style="261" customWidth="1"/>
    <col min="11" max="16384" width="9.109375" style="261"/>
  </cols>
  <sheetData>
    <row r="3" spans="1:17" ht="21">
      <c r="E3" s="262"/>
    </row>
    <row r="4" spans="1:17" ht="15.6">
      <c r="A4" s="263"/>
      <c r="C4" s="263"/>
      <c r="D4" s="263"/>
      <c r="E4" s="263"/>
      <c r="F4" s="263"/>
      <c r="G4" s="263"/>
      <c r="H4" s="263"/>
      <c r="I4" s="263"/>
      <c r="J4" s="263"/>
      <c r="K4" s="263"/>
      <c r="L4" s="263"/>
    </row>
    <row r="5" spans="1:17" ht="15.6">
      <c r="C5" s="263"/>
      <c r="D5" s="263"/>
      <c r="E5" s="263"/>
      <c r="F5" s="263"/>
      <c r="G5" s="263"/>
      <c r="H5" s="263"/>
      <c r="I5" s="263"/>
      <c r="J5" s="263"/>
      <c r="K5" s="263"/>
      <c r="L5" s="263"/>
    </row>
    <row r="6" spans="1:17" ht="20.100000000000001" customHeight="1">
      <c r="A6" s="263"/>
      <c r="C6" s="264"/>
      <c r="D6" s="265"/>
      <c r="F6" s="266"/>
      <c r="G6" s="266"/>
      <c r="M6" s="263"/>
      <c r="N6" s="263"/>
      <c r="O6" s="263"/>
    </row>
    <row r="7" spans="1:17" ht="20.100000000000001" customHeight="1">
      <c r="A7" s="263"/>
      <c r="C7" s="263"/>
      <c r="D7" s="263"/>
      <c r="F7" s="267"/>
      <c r="G7" s="267"/>
      <c r="M7" s="263"/>
      <c r="N7" s="263"/>
      <c r="O7" s="263"/>
    </row>
    <row r="8" spans="1:17" ht="20.100000000000001" customHeight="1">
      <c r="A8" s="263"/>
      <c r="C8" s="263"/>
      <c r="D8" s="263"/>
      <c r="F8" s="267"/>
      <c r="G8" s="267"/>
      <c r="M8" s="263"/>
      <c r="N8" s="263"/>
      <c r="O8" s="263"/>
    </row>
    <row r="9" spans="1:17" ht="20.100000000000001" customHeight="1">
      <c r="A9" s="263"/>
      <c r="C9" s="263"/>
      <c r="D9" s="263"/>
      <c r="F9" s="267"/>
      <c r="G9" s="267"/>
      <c r="M9" s="263"/>
      <c r="N9" s="263"/>
      <c r="O9" s="263"/>
    </row>
    <row r="10" spans="1:17" ht="20.100000000000001" customHeight="1">
      <c r="A10" s="263"/>
      <c r="C10" s="263"/>
      <c r="D10" s="263"/>
      <c r="F10" s="267"/>
      <c r="G10" s="267"/>
      <c r="M10" s="263"/>
      <c r="N10" s="263"/>
      <c r="O10" s="263"/>
    </row>
    <row r="11" spans="1:17" ht="20.100000000000001" customHeight="1">
      <c r="A11" s="263"/>
      <c r="C11" s="263"/>
      <c r="D11" s="264"/>
      <c r="E11" s="268"/>
      <c r="F11" s="267"/>
      <c r="G11" s="267"/>
      <c r="L11" s="267"/>
      <c r="M11" s="263"/>
      <c r="N11" s="263"/>
      <c r="O11" s="263"/>
    </row>
    <row r="12" spans="1:17" ht="20.100000000000001" customHeight="1">
      <c r="A12" s="263"/>
      <c r="C12" s="263"/>
      <c r="D12" s="263"/>
      <c r="F12" s="267"/>
      <c r="G12" s="267"/>
      <c r="M12" s="263"/>
      <c r="N12" s="263"/>
      <c r="O12" s="263"/>
    </row>
    <row r="13" spans="1:17" ht="20.100000000000001" customHeight="1">
      <c r="A13" s="263"/>
      <c r="C13" s="263"/>
      <c r="D13" s="263"/>
      <c r="F13" s="267"/>
      <c r="G13" s="267"/>
      <c r="M13" s="263"/>
      <c r="N13" s="263"/>
      <c r="O13" s="263"/>
    </row>
    <row r="14" spans="1:17" ht="20.100000000000001" customHeight="1">
      <c r="A14" s="263"/>
      <c r="C14" s="264"/>
      <c r="D14" s="263"/>
      <c r="F14" s="269"/>
      <c r="G14" s="266"/>
      <c r="M14" s="263"/>
      <c r="N14" s="263"/>
      <c r="O14" s="263"/>
    </row>
    <row r="15" spans="1:17" ht="15.6">
      <c r="C15" s="263"/>
      <c r="D15" s="263"/>
      <c r="E15" s="263"/>
      <c r="F15" s="263"/>
      <c r="G15" s="263"/>
      <c r="H15" s="263"/>
      <c r="I15" s="263"/>
      <c r="J15" s="263"/>
      <c r="K15" s="263"/>
      <c r="L15" s="263"/>
    </row>
    <row r="16" spans="1:17" ht="15.6"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</row>
    <row r="17" spans="1:17" ht="15.6"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</row>
    <row r="18" spans="1:17" ht="15.6"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7" ht="15.6" hidden="1">
      <c r="A19" s="270"/>
      <c r="B19" s="271"/>
    </row>
    <row r="20" spans="1:17" ht="15.6" hidden="1"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  <c r="Q20" s="263"/>
    </row>
    <row r="21" spans="1:17" ht="22.8" hidden="1">
      <c r="A21" s="263"/>
      <c r="B21" s="263"/>
      <c r="C21" s="263"/>
      <c r="D21" s="263"/>
      <c r="E21" s="263"/>
      <c r="F21" s="263"/>
      <c r="G21" s="263"/>
      <c r="H21" s="263"/>
      <c r="I21" s="272"/>
      <c r="J21" s="263"/>
      <c r="K21" s="263"/>
      <c r="L21" s="263"/>
      <c r="M21" s="263"/>
      <c r="N21" s="263"/>
      <c r="O21" s="263"/>
      <c r="P21" s="263"/>
      <c r="Q21" s="263"/>
    </row>
    <row r="22" spans="1:17" ht="15.6" hidden="1"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63"/>
      <c r="O22" s="263"/>
      <c r="P22" s="263"/>
      <c r="Q22" s="263"/>
    </row>
    <row r="23" spans="1:17" ht="15.6" hidden="1"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</row>
    <row r="24" spans="1:17" ht="15.6" hidden="1">
      <c r="B24" s="263"/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263"/>
      <c r="O24" s="263"/>
      <c r="P24" s="263"/>
      <c r="Q24" s="263"/>
    </row>
    <row r="25" spans="1:17" ht="15.6" hidden="1"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</row>
    <row r="26" spans="1:17" ht="15.6" hidden="1"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</row>
    <row r="27" spans="1:17" ht="15.6" hidden="1">
      <c r="A27" s="263"/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</row>
    <row r="28" spans="1:17" ht="15.6" hidden="1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</row>
    <row r="29" spans="1:17" ht="15.6" hidden="1">
      <c r="A29" s="263"/>
      <c r="B29" s="263"/>
      <c r="C29" s="263"/>
      <c r="D29" s="263"/>
      <c r="E29" s="263"/>
      <c r="F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</row>
    <row r="30" spans="1:17" ht="15.6">
      <c r="A30" s="263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</row>
    <row r="31" spans="1:17" ht="20.100000000000001" customHeight="1">
      <c r="B31" s="263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</row>
    <row r="32" spans="1:17" ht="15.6">
      <c r="A32" s="270"/>
      <c r="B32" s="271"/>
    </row>
    <row r="33" spans="1:17" ht="20.100000000000001" customHeight="1">
      <c r="B33" s="263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</row>
    <row r="34" spans="1:17" ht="20.100000000000001" customHeight="1">
      <c r="B34" s="263"/>
      <c r="C34" s="263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</row>
    <row r="35" spans="1:17" ht="20.100000000000001" customHeight="1"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</row>
    <row r="36" spans="1:17" ht="20.100000000000001" customHeight="1"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</row>
    <row r="37" spans="1:17" ht="20.100000000000001" customHeight="1"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</row>
    <row r="38" spans="1:17" ht="20.100000000000001" customHeight="1"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</row>
    <row r="39" spans="1:17" ht="15.6">
      <c r="A39" s="263"/>
      <c r="B39" s="26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</row>
    <row r="40" spans="1:17" ht="15.6">
      <c r="A40" s="263"/>
      <c r="B40" s="263"/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</row>
    <row r="41" spans="1:17" ht="15.6">
      <c r="A41" s="263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</row>
    <row r="42" spans="1:17" ht="15.6">
      <c r="A42" s="270"/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</row>
    <row r="43" spans="1:17" ht="15.6"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</row>
    <row r="44" spans="1:17" ht="15.6"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63"/>
      <c r="Q44" s="26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1"/>
  <sheetViews>
    <sheetView showZeros="0" rightToLeft="1" tabSelected="1" zoomScaleNormal="100" workbookViewId="0">
      <pane xSplit="1" ySplit="5" topLeftCell="B1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5.6"/>
  <cols>
    <col min="1" max="1" width="14.88671875" style="71" customWidth="1"/>
    <col min="2" max="3" width="12.6640625" style="72" customWidth="1"/>
    <col min="4" max="4" width="11.109375" style="72" customWidth="1"/>
    <col min="5" max="5" width="14.109375" style="72" hidden="1" customWidth="1"/>
    <col min="6" max="8" width="12.6640625" style="72" hidden="1" customWidth="1"/>
    <col min="9" max="9" width="11.109375" style="72" hidden="1" customWidth="1"/>
    <col min="10" max="10" width="12.6640625" style="67" customWidth="1"/>
    <col min="11" max="11" width="10.88671875" style="72" customWidth="1"/>
    <col min="12" max="12" width="11.109375" style="72" customWidth="1"/>
    <col min="13" max="13" width="12.5546875" style="72" customWidth="1"/>
    <col min="14" max="14" width="12.6640625" style="67" hidden="1" customWidth="1"/>
    <col min="15" max="17" width="12.109375" style="72" hidden="1" customWidth="1"/>
    <col min="18" max="18" width="10.33203125" style="72" customWidth="1"/>
    <col min="19" max="19" width="13.109375" style="72" customWidth="1"/>
    <col min="20" max="20" width="12.109375" style="72" bestFit="1" customWidth="1"/>
    <col min="21" max="21" width="13.21875" style="72" bestFit="1" customWidth="1"/>
    <col min="22" max="22" width="9.109375" style="72" hidden="1" customWidth="1"/>
    <col min="23" max="23" width="12.33203125" style="72" bestFit="1" customWidth="1"/>
    <col min="24" max="24" width="11.109375" style="72" customWidth="1"/>
    <col min="25" max="25" width="14.109375" style="69" hidden="1" customWidth="1"/>
    <col min="26" max="26" width="11.88671875" style="67" customWidth="1"/>
    <col min="27" max="27" width="10" style="67" customWidth="1"/>
    <col min="28" max="28" width="9.109375" style="69"/>
    <col min="29" max="29" width="10.109375" style="69" customWidth="1"/>
    <col min="30" max="16384" width="9.109375" style="69"/>
  </cols>
  <sheetData>
    <row r="2" spans="1:27" s="57" customFormat="1" ht="22.8">
      <c r="A2" s="315" t="s">
        <v>109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Z2" s="67"/>
      <c r="AA2" s="67"/>
    </row>
    <row r="3" spans="1:27" s="395" customFormat="1" ht="20.100000000000001" customHeight="1">
      <c r="A3" s="393"/>
      <c r="B3" s="304"/>
      <c r="C3" s="394"/>
      <c r="D3" s="394"/>
      <c r="E3" s="394"/>
      <c r="F3" s="394"/>
      <c r="G3" s="394"/>
      <c r="H3" s="394"/>
      <c r="I3" s="39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Z3" s="67"/>
      <c r="AA3" s="67"/>
    </row>
    <row r="4" spans="1:27" s="63" customFormat="1">
      <c r="A4" s="61"/>
      <c r="B4" s="807" t="s">
        <v>110</v>
      </c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62"/>
      <c r="Q4" s="62"/>
      <c r="R4" s="807" t="s">
        <v>111</v>
      </c>
      <c r="S4" s="807"/>
      <c r="T4" s="807"/>
      <c r="U4" s="808"/>
      <c r="V4" s="808"/>
      <c r="W4" s="807"/>
      <c r="X4" s="807"/>
      <c r="Y4" s="63" t="s">
        <v>611</v>
      </c>
      <c r="Z4" s="67"/>
      <c r="AA4" s="67"/>
    </row>
    <row r="5" spans="1:27" s="54" customFormat="1" ht="62.4">
      <c r="A5" s="61" t="s">
        <v>112</v>
      </c>
      <c r="B5" s="61" t="s">
        <v>113</v>
      </c>
      <c r="C5" s="61" t="s">
        <v>4</v>
      </c>
      <c r="D5" s="61" t="s">
        <v>114</v>
      </c>
      <c r="E5" s="61" t="s">
        <v>124</v>
      </c>
      <c r="F5" s="24" t="s">
        <v>7</v>
      </c>
      <c r="G5" s="24" t="s">
        <v>8</v>
      </c>
      <c r="H5" s="24" t="s">
        <v>9</v>
      </c>
      <c r="I5" s="24" t="s">
        <v>10</v>
      </c>
      <c r="J5" s="44" t="s">
        <v>11</v>
      </c>
      <c r="K5" s="10" t="s">
        <v>918</v>
      </c>
      <c r="L5" s="61" t="s">
        <v>919</v>
      </c>
      <c r="M5" s="61" t="s">
        <v>920</v>
      </c>
      <c r="N5" s="44" t="s">
        <v>115</v>
      </c>
      <c r="O5" s="24" t="s">
        <v>925</v>
      </c>
      <c r="P5" s="24" t="s">
        <v>929</v>
      </c>
      <c r="Q5" s="24" t="s">
        <v>927</v>
      </c>
      <c r="R5" s="24" t="s">
        <v>921</v>
      </c>
      <c r="S5" s="24" t="s">
        <v>922</v>
      </c>
      <c r="T5" s="64" t="s">
        <v>13</v>
      </c>
      <c r="U5" s="61" t="s">
        <v>14</v>
      </c>
      <c r="V5" s="48" t="s">
        <v>15</v>
      </c>
      <c r="W5" s="48" t="s">
        <v>354</v>
      </c>
      <c r="X5" s="61" t="s">
        <v>105</v>
      </c>
      <c r="Y5" s="31"/>
      <c r="Z5" s="67"/>
      <c r="AA5" s="67"/>
    </row>
    <row r="6" spans="1:27" s="54" customFormat="1">
      <c r="A6" s="61"/>
      <c r="B6" s="61"/>
      <c r="C6" s="61"/>
      <c r="D6" s="61"/>
      <c r="E6" s="61"/>
      <c r="F6" s="24"/>
      <c r="G6" s="24"/>
      <c r="H6" s="24"/>
      <c r="I6" s="24"/>
      <c r="J6" s="44"/>
      <c r="K6" s="10"/>
      <c r="L6" s="61"/>
      <c r="M6" s="61"/>
      <c r="N6" s="44"/>
      <c r="O6" s="24"/>
      <c r="P6" s="24"/>
      <c r="Q6" s="24"/>
      <c r="R6" s="24"/>
      <c r="S6" s="61"/>
      <c r="T6" s="64"/>
      <c r="U6" s="61"/>
      <c r="V6" s="48"/>
      <c r="W6" s="48"/>
      <c r="X6" s="61"/>
      <c r="Y6" s="31"/>
      <c r="Z6" s="67"/>
      <c r="AA6" s="67"/>
    </row>
    <row r="7" spans="1:27" s="54" customFormat="1" ht="27" customHeight="1">
      <c r="A7" s="310" t="s">
        <v>667</v>
      </c>
      <c r="B7" s="13">
        <f>'תקציב הנדסה 2020 '!D$87</f>
        <v>622652129</v>
      </c>
      <c r="C7" s="13">
        <f>'תקציב הנדסה 2020 '!E$87</f>
        <v>607401879</v>
      </c>
      <c r="D7" s="13">
        <f>'תקציב הנדסה 2020 '!F$87</f>
        <v>15250250</v>
      </c>
      <c r="E7" s="13">
        <f>'תקציב הנדסה 2020 '!G$87</f>
        <v>282994229</v>
      </c>
      <c r="F7" s="13">
        <f>'תקציב הנדסה 2020 '!H$87</f>
        <v>231832205.63999996</v>
      </c>
      <c r="G7" s="13">
        <f>'תקציב הנדסה 2020 '!I$87</f>
        <v>10898105.370000001</v>
      </c>
      <c r="H7" s="13">
        <f>'תקציב הנדסה 2020 '!J$87</f>
        <v>11954790.389999997</v>
      </c>
      <c r="I7" s="13">
        <f>'תקציב הנדסה 2020 '!K$87</f>
        <v>22852895.760000002</v>
      </c>
      <c r="J7" s="13">
        <f>'תקציב הנדסה 2020 '!L$87</f>
        <v>254685101.39999998</v>
      </c>
      <c r="K7" s="13">
        <f>'תקציב הנדסה 2020 '!M$87</f>
        <v>26266450.599999994</v>
      </c>
      <c r="L7" s="13">
        <f>'תקציב הנדסה 2020 '!N$87</f>
        <v>37708338</v>
      </c>
      <c r="M7" s="13">
        <f>'תקציב הנדסה 2020 '!O$87</f>
        <v>303992239</v>
      </c>
      <c r="N7" s="13">
        <f>'תקציב הנדסה 2020 '!P$87</f>
        <v>28309127.599999994</v>
      </c>
      <c r="O7" s="13">
        <f>'תקציב הנדסה 2020 '!Q$87</f>
        <v>3107323</v>
      </c>
      <c r="P7" s="13">
        <f>'תקציב הנדסה 2020 '!R$87</f>
        <v>0</v>
      </c>
      <c r="Q7" s="13">
        <f>'תקציב הנדסה 2020 '!S$87</f>
        <v>3107323</v>
      </c>
      <c r="R7" s="13">
        <f>'תקציב הנדסה 2020 '!T$87</f>
        <v>5150000</v>
      </c>
      <c r="S7" s="13">
        <f>'תקציב הנדסה 2020 '!U$87</f>
        <v>32558338</v>
      </c>
      <c r="T7" s="13">
        <f>'תקציב הנדסה 2020 '!V$87</f>
        <v>31303894</v>
      </c>
      <c r="U7" s="13">
        <f>'תקציב הנדסה 2020 '!W$87</f>
        <v>0</v>
      </c>
      <c r="V7" s="13">
        <f>'תקציב הנדסה 2020 '!X$87</f>
        <v>0</v>
      </c>
      <c r="W7" s="13">
        <f>'תקציב הנדסה 2020 '!Y$87</f>
        <v>0</v>
      </c>
      <c r="X7" s="13">
        <f>'תקציב הנדסה 2020 '!Z$87</f>
        <v>1254444</v>
      </c>
      <c r="Y7" s="34">
        <f>'תקציב הנדסה 2020 '!A87</f>
        <v>81</v>
      </c>
      <c r="Z7" s="66"/>
      <c r="AA7" s="67"/>
    </row>
    <row r="8" spans="1:27" s="67" customFormat="1" ht="27" customHeight="1">
      <c r="A8" s="10" t="s">
        <v>286</v>
      </c>
      <c r="B8" s="65">
        <f>'תקציב החברה לפיתוח 2020'!D$126</f>
        <v>2883587813</v>
      </c>
      <c r="C8" s="65">
        <f>'תקציב החברה לפיתוח 2020'!E$126</f>
        <v>2584196125</v>
      </c>
      <c r="D8" s="65">
        <f>'תקציב החברה לפיתוח 2020'!F$126</f>
        <v>299391688</v>
      </c>
      <c r="E8" s="65">
        <f>'תקציב החברה לפיתוח 2020'!G$126</f>
        <v>1117399039</v>
      </c>
      <c r="F8" s="65">
        <f>'תקציב החברה לפיתוח 2020'!H$126</f>
        <v>883164396.77999985</v>
      </c>
      <c r="G8" s="65">
        <f>'תקציב החברה לפיתוח 2020'!I$126</f>
        <v>2075146.81</v>
      </c>
      <c r="H8" s="65">
        <f>'תקציב החברה לפיתוח 2020'!J$126</f>
        <v>53985715.510000005</v>
      </c>
      <c r="I8" s="65">
        <f>'תקציב החברה לפיתוח 2020'!K$126</f>
        <v>56060862.320000008</v>
      </c>
      <c r="J8" s="65">
        <f>'תקציב החברה לפיתוח 2020'!L$126</f>
        <v>939225259.1000005</v>
      </c>
      <c r="K8" s="65">
        <f>'תקציב החברה לפיתוח 2020'!M$126</f>
        <v>324021030.89999998</v>
      </c>
      <c r="L8" s="65">
        <f>'תקציב החברה לפיתוח 2020'!N$126</f>
        <v>386960033</v>
      </c>
      <c r="M8" s="65">
        <f>'תקציב החברה לפיתוח 2020'!O$126</f>
        <v>1233381490</v>
      </c>
      <c r="N8" s="65">
        <f>'תקציב החברה לפיתוח 2020'!P$126</f>
        <v>178173779.90000004</v>
      </c>
      <c r="O8" s="65">
        <f>'תקציב החברה לפיתוח 2020'!Q$126</f>
        <v>191897251</v>
      </c>
      <c r="P8" s="65">
        <f>'תקציב החברה לפיתוח 2020'!R$126</f>
        <v>3060000</v>
      </c>
      <c r="Q8" s="65">
        <f>'תקציב החברה לפיתוח 2020'!S$126</f>
        <v>194957251</v>
      </c>
      <c r="R8" s="65">
        <f>'תקציב החברה לפיתוח 2020'!T$126</f>
        <v>49110000</v>
      </c>
      <c r="S8" s="65">
        <f>'תקציב החברה לפיתוח 2020'!U$126</f>
        <v>337850033</v>
      </c>
      <c r="T8" s="65">
        <f>'תקציב החברה לפיתוח 2020'!V$126</f>
        <v>135490880</v>
      </c>
      <c r="U8" s="65">
        <f>'תקציב החברה לפיתוח 2020'!W$126</f>
        <v>500000</v>
      </c>
      <c r="V8" s="65">
        <f>'תקציב החברה לפיתוח 2020'!X$126</f>
        <v>0</v>
      </c>
      <c r="W8" s="65">
        <f>'תקציב החברה לפיתוח 2020'!Y$126</f>
        <v>100433357</v>
      </c>
      <c r="X8" s="65">
        <f>'תקציב החברה לפיתוח 2020'!Z$126</f>
        <v>101425796</v>
      </c>
      <c r="Y8" s="66">
        <f>'תקציב החברה לפיתוח 2020'!A126</f>
        <v>115</v>
      </c>
      <c r="Z8" s="66"/>
    </row>
    <row r="9" spans="1:27" s="67" customFormat="1" ht="27" customHeight="1">
      <c r="A9" s="311" t="s">
        <v>665</v>
      </c>
      <c r="B9" s="65">
        <f>'תקציב אגף ת.ב.ל 2020 '!D$65</f>
        <v>430333105</v>
      </c>
      <c r="C9" s="65">
        <f>'תקציב אגף ת.ב.ל 2020 '!E$65</f>
        <v>391554105</v>
      </c>
      <c r="D9" s="65">
        <f>'תקציב אגף ת.ב.ל 2020 '!F$65</f>
        <v>38779000</v>
      </c>
      <c r="E9" s="65">
        <f>'תקציב אגף ת.ב.ל 2020 '!G$65</f>
        <v>271565901</v>
      </c>
      <c r="F9" s="65">
        <f>'תקציב אגף ת.ב.ל 2020 '!H$65</f>
        <v>189651291.88</v>
      </c>
      <c r="G9" s="65">
        <f>'תקציב אגף ת.ב.ל 2020 '!I$65</f>
        <v>10892094.979999999</v>
      </c>
      <c r="H9" s="65">
        <f>'תקציב אגף ת.ב.ל 2020 '!J$65</f>
        <v>33107561.339999996</v>
      </c>
      <c r="I9" s="65">
        <f>'תקציב אגף ת.ב.ל 2020 '!K$65</f>
        <v>43999656.320000008</v>
      </c>
      <c r="J9" s="65">
        <f>'תקציב אגף ת.ב.ל 2020 '!L$65</f>
        <v>233650948.19999993</v>
      </c>
      <c r="K9" s="65">
        <f>'תקציב אגף ת.ב.ל 2020 '!M$65</f>
        <v>36944952.800000004</v>
      </c>
      <c r="L9" s="65">
        <f>'תקציב אגף ת.ב.ל 2020 '!N$65</f>
        <v>59026300</v>
      </c>
      <c r="M9" s="65">
        <f>'תקציב אגף ת.ב.ל 2020 '!O$65</f>
        <v>100710904</v>
      </c>
      <c r="N9" s="65">
        <f>'תקציב אגף ת.ב.ל 2020 '!P$65</f>
        <v>37914952.799999997</v>
      </c>
      <c r="O9" s="65">
        <f>'תקציב אגף ת.ב.ל 2020 '!Q$65</f>
        <v>2135000</v>
      </c>
      <c r="P9" s="65">
        <f>'תקציב אגף ת.ב.ל 2020 '!R$65</f>
        <v>1860000</v>
      </c>
      <c r="Q9" s="65">
        <f>'תקציב אגף ת.ב.ל 2020 '!S$65</f>
        <v>3995000</v>
      </c>
      <c r="R9" s="65">
        <f>'תקציב אגף ת.ב.ל 2020 '!T$65</f>
        <v>4965000</v>
      </c>
      <c r="S9" s="65">
        <f>'תקציב אגף ת.ב.ל 2020 '!U$65</f>
        <v>54061300</v>
      </c>
      <c r="T9" s="65">
        <f>'תקציב אגף ת.ב.ל 2020 '!V$65</f>
        <v>18950000</v>
      </c>
      <c r="U9" s="65">
        <f>'תקציב אגף ת.ב.ל 2020 '!W$65</f>
        <v>23900000</v>
      </c>
      <c r="V9" s="65">
        <f>'תקציב אגף ת.ב.ל 2020 '!X$65</f>
        <v>0</v>
      </c>
      <c r="W9" s="65">
        <f>'תקציב אגף ת.ב.ל 2020 '!Y$65</f>
        <v>0</v>
      </c>
      <c r="X9" s="65">
        <f>'תקציב אגף ת.ב.ל 2020 '!Z$65</f>
        <v>11211300</v>
      </c>
      <c r="Y9" s="67">
        <f>'תקציב אגף ת.ב.ל 2020 '!A65</f>
        <v>59</v>
      </c>
      <c r="Z9" s="66"/>
    </row>
    <row r="10" spans="1:27" s="67" customFormat="1" ht="27" customHeight="1">
      <c r="A10" s="10" t="s">
        <v>183</v>
      </c>
      <c r="B10" s="65">
        <f>'תקציב אגף בטחון פיקוח סד"צ 2020'!D$9</f>
        <v>4720000</v>
      </c>
      <c r="C10" s="65">
        <f>'תקציב אגף בטחון פיקוח סד"צ 2020'!E$9</f>
        <v>4100000</v>
      </c>
      <c r="D10" s="65">
        <f>'תקציב אגף בטחון פיקוח סד"צ 2020'!F$9</f>
        <v>620000</v>
      </c>
      <c r="E10" s="65">
        <f>'תקציב אגף בטחון פיקוח סד"צ 2020'!G$9</f>
        <v>2700000</v>
      </c>
      <c r="F10" s="65">
        <f>'תקציב אגף בטחון פיקוח סד"צ 2020'!H$9</f>
        <v>2051244.51</v>
      </c>
      <c r="G10" s="65">
        <f>'תקציב אגף בטחון פיקוח סד"צ 2020'!I$9</f>
        <v>0</v>
      </c>
      <c r="H10" s="65">
        <f>'תקציב אגף בטחון פיקוח סד"צ 2020'!J$9</f>
        <v>55906.46</v>
      </c>
      <c r="I10" s="65">
        <f>'תקציב אגף בטחון פיקוח סד"צ 2020'!K$9</f>
        <v>55906.46</v>
      </c>
      <c r="J10" s="65">
        <f>'תקציב אגף בטחון פיקוח סד"צ 2020'!L$9</f>
        <v>2107150.9699999997</v>
      </c>
      <c r="K10" s="65">
        <f>'תקציב אגף בטחון פיקוח סד"צ 2020'!M$9</f>
        <v>1612849.03</v>
      </c>
      <c r="L10" s="65">
        <f>'תקציב אגף בטחון פיקוח סד"צ 2020'!N$9</f>
        <v>1000000</v>
      </c>
      <c r="M10" s="65">
        <f>'תקציב אגף בטחון פיקוח סד"צ 2020'!O$9</f>
        <v>0</v>
      </c>
      <c r="N10" s="65">
        <f>'תקציב אגף בטחון פיקוח סד"צ 2020'!P$9</f>
        <v>592849.03</v>
      </c>
      <c r="O10" s="65">
        <f>'תקציב אגף בטחון פיקוח סד"צ 2020'!Q$9</f>
        <v>900000</v>
      </c>
      <c r="P10" s="65">
        <f>'תקציב אגף בטחון פיקוח סד"צ 2020'!R$9</f>
        <v>620000</v>
      </c>
      <c r="Q10" s="65">
        <f>'תקציב אגף בטחון פיקוח סד"צ 2020'!S$9</f>
        <v>1520000</v>
      </c>
      <c r="R10" s="65">
        <f>'תקציב אגף בטחון פיקוח סד"צ 2020'!T$9</f>
        <v>500000</v>
      </c>
      <c r="S10" s="65">
        <f>'תקציב אגף בטחון פיקוח סד"צ 2020'!U$9</f>
        <v>500000</v>
      </c>
      <c r="T10" s="65">
        <f>'תקציב אגף בטחון פיקוח סד"צ 2020'!V$9</f>
        <v>0</v>
      </c>
      <c r="U10" s="65">
        <f>'תקציב אגף בטחון פיקוח סד"צ 2020'!W$9</f>
        <v>500000</v>
      </c>
      <c r="V10" s="65">
        <f>'תקציב אגף בטחון פיקוח סד"צ 2020'!X$9</f>
        <v>0</v>
      </c>
      <c r="W10" s="65">
        <f>'תקציב אגף בטחון פיקוח סד"צ 2020'!Y$9</f>
        <v>0</v>
      </c>
      <c r="X10" s="65">
        <f>'תקציב אגף בטחון פיקוח סד"צ 2020'!Z$9</f>
        <v>0</v>
      </c>
      <c r="Y10" s="67">
        <f>'תקציב אגף בטחון פיקוח סד"צ 2020'!A9</f>
        <v>3</v>
      </c>
    </row>
    <row r="11" spans="1:27" s="67" customFormat="1" ht="27" customHeight="1">
      <c r="A11" s="311" t="s">
        <v>238</v>
      </c>
      <c r="B11" s="65">
        <f>'תקציב אגף חינוך 2020'!D$28</f>
        <v>41534363</v>
      </c>
      <c r="C11" s="65">
        <f>'תקציב אגף חינוך 2020'!E$28</f>
        <v>17115363</v>
      </c>
      <c r="D11" s="65">
        <f>'תקציב אגף חינוך 2020'!F$28</f>
        <v>24419000</v>
      </c>
      <c r="E11" s="65">
        <f>'תקציב אגף חינוך 2020'!G$28</f>
        <v>15055363</v>
      </c>
      <c r="F11" s="65">
        <f>'תקציב אגף חינוך 2020'!H$28</f>
        <v>5399054.3100000005</v>
      </c>
      <c r="G11" s="65">
        <f>'תקציב אגף חינוך 2020'!I$28</f>
        <v>1200000</v>
      </c>
      <c r="H11" s="65">
        <f>'תקציב אגף חינוך 2020'!J$28</f>
        <v>990427.74</v>
      </c>
      <c r="I11" s="65">
        <f>'תקציב אגף חינוך 2020'!K$28</f>
        <v>2190427.7400000002</v>
      </c>
      <c r="J11" s="65">
        <f>'תקציב אגף חינוך 2020'!L$28</f>
        <v>7589482.0499999989</v>
      </c>
      <c r="K11" s="65">
        <f>'תקציב אגף חינוך 2020'!M$28</f>
        <v>7235880.9499999993</v>
      </c>
      <c r="L11" s="65">
        <f>'תקציב אגף חינוך 2020'!N$28</f>
        <v>5685000</v>
      </c>
      <c r="M11" s="65">
        <f>'תקציב אגף חינוך 2020'!O$28</f>
        <v>21024000</v>
      </c>
      <c r="N11" s="65">
        <f>'תקציב אגף חינוך 2020'!P$28</f>
        <v>7465880.9499999993</v>
      </c>
      <c r="O11" s="65">
        <f>'תקציב אגף חינוך 2020'!Q$28</f>
        <v>0</v>
      </c>
      <c r="P11" s="65">
        <f>'תקציב אגף חינוך 2020'!R$28</f>
        <v>460000</v>
      </c>
      <c r="Q11" s="65">
        <f>'תקציב אגף חינוך 2020'!S$28</f>
        <v>460000</v>
      </c>
      <c r="R11" s="65">
        <f>'תקציב אגף חינוך 2020'!T$28</f>
        <v>690000</v>
      </c>
      <c r="S11" s="65">
        <f>'תקציב אגף חינוך 2020'!U$28</f>
        <v>4995000</v>
      </c>
      <c r="T11" s="65">
        <f>'תקציב אגף חינוך 2020'!V$28</f>
        <v>0</v>
      </c>
      <c r="U11" s="65">
        <f>'תקציב אגף חינוך 2020'!W$28</f>
        <v>4917000</v>
      </c>
      <c r="V11" s="65">
        <f>'תקציב אגף חינוך 2020'!X$28</f>
        <v>0</v>
      </c>
      <c r="W11" s="65">
        <f>'תקציב אגף חינוך 2020'!Y$28</f>
        <v>0</v>
      </c>
      <c r="X11" s="65">
        <f>'תקציב אגף חינוך 2020'!Z$28</f>
        <v>78000</v>
      </c>
      <c r="Y11" s="67">
        <f>'תקציב אגף חינוך 2020'!A28</f>
        <v>22</v>
      </c>
    </row>
    <row r="12" spans="1:27" s="67" customFormat="1" ht="27" customHeight="1">
      <c r="A12" s="311" t="s">
        <v>585</v>
      </c>
      <c r="B12" s="65">
        <f>'תקציב אגף תנוס 2020 '!D$17</f>
        <v>21059594</v>
      </c>
      <c r="C12" s="65">
        <f>'תקציב אגף תנוס 2020 '!E$17</f>
        <v>14989365</v>
      </c>
      <c r="D12" s="65">
        <f>'תקציב אגף תנוס 2020 '!F$17</f>
        <v>6070229</v>
      </c>
      <c r="E12" s="65">
        <f>'תקציב אגף תנוס 2020 '!G$17</f>
        <v>13819365</v>
      </c>
      <c r="F12" s="65">
        <f>'תקציב אגף תנוס 2020 '!H$17</f>
        <v>8280194</v>
      </c>
      <c r="G12" s="65">
        <f>'תקציב אגף תנוס 2020 '!I$17</f>
        <v>0</v>
      </c>
      <c r="H12" s="65">
        <f>'תקציב אגף תנוס 2020 '!J$17</f>
        <v>2133646.02</v>
      </c>
      <c r="I12" s="65">
        <f>'תקציב אגף תנוס 2020 '!K$17</f>
        <v>2133646.02</v>
      </c>
      <c r="J12" s="65">
        <f>'תקציב אגף תנוס 2020 '!L$17</f>
        <v>10413840.02</v>
      </c>
      <c r="K12" s="65">
        <f>'תקציב אגף תנוס 2020 '!M$17</f>
        <v>3955524.9800000004</v>
      </c>
      <c r="L12" s="65">
        <f>'תקציב אגף תנוס 2020 '!N$17</f>
        <v>4320229</v>
      </c>
      <c r="M12" s="65">
        <f>'תקציב אגף תנוס 2020 '!O$17</f>
        <v>2370000</v>
      </c>
      <c r="N12" s="65">
        <f>'תקציב אגף תנוס 2020 '!P$17</f>
        <v>3405524.9800000004</v>
      </c>
      <c r="O12" s="65">
        <f>'תקציב אגף תנוס 2020 '!Q$17</f>
        <v>930000</v>
      </c>
      <c r="P12" s="65">
        <f>'תקציב אגף תנוס 2020 '!R$17</f>
        <v>0</v>
      </c>
      <c r="Q12" s="65">
        <f>'תקציב אגף תנוס 2020 '!S$17</f>
        <v>930000</v>
      </c>
      <c r="R12" s="65">
        <f>'תקציב אגף תנוס 2020 '!T$17</f>
        <v>380000</v>
      </c>
      <c r="S12" s="65">
        <f>'תקציב אגף תנוס 2020 '!U$17</f>
        <v>3940229</v>
      </c>
      <c r="T12" s="65">
        <f>'תקציב אגף תנוס 2020 '!V$17</f>
        <v>0</v>
      </c>
      <c r="U12" s="65">
        <f>'תקציב אגף תנוס 2020 '!W$17</f>
        <v>3435000</v>
      </c>
      <c r="V12" s="65">
        <f>'תקציב אגף תנוס 2020 '!X$17</f>
        <v>0</v>
      </c>
      <c r="W12" s="65">
        <f>'תקציב אגף תנוס 2020 '!Y$17</f>
        <v>0</v>
      </c>
      <c r="X12" s="65">
        <f>'תקציב אגף תנוס 2020 '!Z$17</f>
        <v>505229</v>
      </c>
      <c r="Y12" s="67">
        <f>'תקציב אגף תנוס 2020 '!A17</f>
        <v>11</v>
      </c>
    </row>
    <row r="13" spans="1:27" s="67" customFormat="1" ht="27" customHeight="1">
      <c r="A13" s="10" t="s">
        <v>117</v>
      </c>
      <c r="B13" s="65">
        <f>'תקציב אגף שאיפה  2020 '!D$48</f>
        <v>243509379</v>
      </c>
      <c r="C13" s="65">
        <f>'תקציב אגף שאיפה  2020 '!E$48</f>
        <v>223205059</v>
      </c>
      <c r="D13" s="65">
        <f>'תקציב אגף שאיפה  2020 '!F$48</f>
        <v>20304320</v>
      </c>
      <c r="E13" s="65">
        <f>'תקציב אגף שאיפה  2020 '!G$48</f>
        <v>194120579</v>
      </c>
      <c r="F13" s="65">
        <f>'תקציב אגף שאיפה  2020 '!H$48</f>
        <v>174731647.29000002</v>
      </c>
      <c r="G13" s="65">
        <f>'תקציב אגף שאיפה  2020 '!I$48</f>
        <v>0</v>
      </c>
      <c r="H13" s="65">
        <f>'תקציב אגף שאיפה  2020 '!J$48</f>
        <v>12537649.739999998</v>
      </c>
      <c r="I13" s="65">
        <f>'תקציב אגף שאיפה  2020 '!K$48</f>
        <v>12537649.739999998</v>
      </c>
      <c r="J13" s="65">
        <f>'תקציב אגף שאיפה  2020 '!L$48</f>
        <v>187269297.03000006</v>
      </c>
      <c r="K13" s="65">
        <f>'תקציב אגף שאיפה  2020 '!M$48</f>
        <v>8121281.9699999988</v>
      </c>
      <c r="L13" s="65">
        <f>'תקציב אגף שאיפה  2020 '!N$48</f>
        <v>35117000</v>
      </c>
      <c r="M13" s="65">
        <f>'תקציב אגף שאיפה  2020 '!O$48</f>
        <v>13001800</v>
      </c>
      <c r="N13" s="65">
        <f>'תקציב אגף שאיפה  2020 '!P$48</f>
        <v>6851281.9700000007</v>
      </c>
      <c r="O13" s="65">
        <f>'תקציב אגף שאיפה  2020 '!Q$48</f>
        <v>3195000</v>
      </c>
      <c r="P13" s="65">
        <f>'תקציב אגף שאיפה  2020 '!R$48</f>
        <v>0</v>
      </c>
      <c r="Q13" s="65">
        <f>'תקציב אגף שאיפה  2020 '!S$48</f>
        <v>3195000</v>
      </c>
      <c r="R13" s="65">
        <f>'תקציב אגף שאיפה  2020 '!T$48</f>
        <v>1925000</v>
      </c>
      <c r="S13" s="65">
        <f>'תקציב אגף שאיפה  2020 '!U$48</f>
        <v>33192000</v>
      </c>
      <c r="T13" s="65">
        <f>'תקציב אגף שאיפה  2020 '!V$48</f>
        <v>2930000</v>
      </c>
      <c r="U13" s="65">
        <f>'תקציב אגף שאיפה  2020 '!W$48</f>
        <v>12522000</v>
      </c>
      <c r="V13" s="65">
        <f>'תקציב אגף שאיפה  2020 '!X$48</f>
        <v>0</v>
      </c>
      <c r="W13" s="65">
        <f>'תקציב אגף שאיפה  2020 '!Y$48</f>
        <v>0</v>
      </c>
      <c r="X13" s="65">
        <f>'תקציב אגף שאיפה  2020 '!Z$48</f>
        <v>17740000</v>
      </c>
      <c r="Y13" s="67">
        <f>'תקציב אגף שאיפה  2020 '!A48</f>
        <v>41</v>
      </c>
    </row>
    <row r="14" spans="1:27" s="67" customFormat="1" ht="27" customHeight="1">
      <c r="A14" s="10" t="s">
        <v>233</v>
      </c>
      <c r="B14" s="65">
        <f>'תקציב רשות החופים 2020 '!D$24</f>
        <v>6935620</v>
      </c>
      <c r="C14" s="65">
        <f>'תקציב רשות החופים 2020 '!E$24</f>
        <v>5250649</v>
      </c>
      <c r="D14" s="65">
        <f>'תקציב רשות החופים 2020 '!F$24</f>
        <v>1684971</v>
      </c>
      <c r="E14" s="65">
        <f>'תקציב רשות החופים 2020 '!G$24</f>
        <v>4665423</v>
      </c>
      <c r="F14" s="65">
        <f>'תקציב רשות החופים 2020 '!H$24</f>
        <v>3829954.9200000004</v>
      </c>
      <c r="G14" s="65">
        <f>'תקציב רשות החופים 2020 '!I$24</f>
        <v>364325.79</v>
      </c>
      <c r="H14" s="65">
        <f>'תקציב רשות החופים 2020 '!J$24</f>
        <v>191143.78</v>
      </c>
      <c r="I14" s="65">
        <f>'תקציב רשות החופים 2020 '!K$24</f>
        <v>555469.57000000007</v>
      </c>
      <c r="J14" s="65">
        <f>'תקציב רשות החופים 2020 '!L$24</f>
        <v>4385424.49</v>
      </c>
      <c r="K14" s="65">
        <f>'תקציב רשות החופים 2020 '!M$24</f>
        <v>450195.50999999978</v>
      </c>
      <c r="L14" s="65">
        <f>'תקציב רשות החופים 2020 '!N$24</f>
        <v>1950000</v>
      </c>
      <c r="M14" s="65">
        <f>'תקציב רשות החופים 2020 '!O$24</f>
        <v>150000</v>
      </c>
      <c r="N14" s="65">
        <f>'תקציב רשות החופים 2020 '!P$24</f>
        <v>279998.50999999978</v>
      </c>
      <c r="O14" s="65">
        <f>'תקציב רשות החופים 2020 '!Q$24</f>
        <v>0</v>
      </c>
      <c r="P14" s="65">
        <f>'תקציב רשות החופים 2020 '!R$24</f>
        <v>185226</v>
      </c>
      <c r="Q14" s="65">
        <f>'תקציב רשות החופים 2020 '!S$24</f>
        <v>185226</v>
      </c>
      <c r="R14" s="65">
        <f>'תקציב רשות החופים 2020 '!T$24</f>
        <v>15029</v>
      </c>
      <c r="S14" s="65">
        <f>'תקציב רשות החופים 2020 '!U$24</f>
        <v>1934971</v>
      </c>
      <c r="T14" s="65">
        <f>'תקציב רשות החופים 2020 '!V$24</f>
        <v>0</v>
      </c>
      <c r="U14" s="65">
        <f>'תקציב רשות החופים 2020 '!W$24</f>
        <v>1906971</v>
      </c>
      <c r="V14" s="65">
        <f>'תקציב רשות החופים 2020 '!X$24</f>
        <v>0</v>
      </c>
      <c r="W14" s="65">
        <f>'תקציב רשות החופים 2020 '!Y$24</f>
        <v>0</v>
      </c>
      <c r="X14" s="65">
        <f>'תקציב רשות החופים 2020 '!Z$24</f>
        <v>28000</v>
      </c>
      <c r="Y14" s="67">
        <f>'תקציב רשות החופים 2020 '!A24</f>
        <v>18</v>
      </c>
    </row>
    <row r="15" spans="1:27" s="67" customFormat="1" ht="27" customHeight="1">
      <c r="A15" s="10" t="s">
        <v>119</v>
      </c>
      <c r="B15" s="65">
        <f>'תקציב החברה לתירות 2020 '!D$15</f>
        <v>44050000</v>
      </c>
      <c r="C15" s="65">
        <f>'תקציב החברה לתירות 2020 '!E$15</f>
        <v>33243000</v>
      </c>
      <c r="D15" s="65">
        <f>'תקציב החברה לתירות 2020 '!F$15</f>
        <v>10807000</v>
      </c>
      <c r="E15" s="65">
        <f>'תקציב החברה לתירות 2020 '!G$15</f>
        <v>15060000</v>
      </c>
      <c r="F15" s="65">
        <f>'תקציב החברה לתירות 2020 '!H$15</f>
        <v>14222827.52</v>
      </c>
      <c r="G15" s="65">
        <f>'תקציב החברה לתירות 2020 '!I$15</f>
        <v>0</v>
      </c>
      <c r="H15" s="65">
        <f>'תקציב החברה לתירות 2020 '!J$15</f>
        <v>0</v>
      </c>
      <c r="I15" s="65">
        <f>'תקציב החברה לתירות 2020 '!K$15</f>
        <v>0</v>
      </c>
      <c r="J15" s="65">
        <f>'תקציב החברה לתירות 2020 '!L$15</f>
        <v>14222827.52</v>
      </c>
      <c r="K15" s="65">
        <f>'תקציב החברה לתירות 2020 '!M$15</f>
        <v>1062172.4799999995</v>
      </c>
      <c r="L15" s="65">
        <f>'תקציב החברה לתירות 2020 '!N$15</f>
        <v>2045000</v>
      </c>
      <c r="M15" s="65">
        <f>'תקציב החברה לתירות 2020 '!O$15</f>
        <v>26720000</v>
      </c>
      <c r="N15" s="65">
        <f>'תקציב החברה לתירות 2020 '!P$15</f>
        <v>837172.47999999952</v>
      </c>
      <c r="O15" s="65">
        <f>'תקציב החברה לתירות 2020 '!Q$15</f>
        <v>255000</v>
      </c>
      <c r="P15" s="65">
        <f>'תקציב החברה לתירות 2020 '!R$15</f>
        <v>0</v>
      </c>
      <c r="Q15" s="65">
        <f>'תקציב החברה לתירות 2020 '!S$15</f>
        <v>255000</v>
      </c>
      <c r="R15" s="65">
        <f>'תקציב החברה לתירות 2020 '!T$15</f>
        <v>30000</v>
      </c>
      <c r="S15" s="65">
        <f>'תקציב החברה לתירות 2020 '!U$15</f>
        <v>2015000</v>
      </c>
      <c r="T15" s="65">
        <f>'תקציב החברה לתירות 2020 '!V$15</f>
        <v>1215000</v>
      </c>
      <c r="U15" s="65">
        <f>'תקציב החברה לתירות 2020 '!W$15</f>
        <v>0</v>
      </c>
      <c r="V15" s="65">
        <f>'תקציב החברה לתירות 2020 '!X$15</f>
        <v>0</v>
      </c>
      <c r="W15" s="65">
        <f>'תקציב החברה לתירות 2020 '!Y$15</f>
        <v>0</v>
      </c>
      <c r="X15" s="65">
        <f>'תקציב החברה לתירות 2020 '!Z$15</f>
        <v>800000</v>
      </c>
      <c r="Y15" s="67">
        <f>'תקציב החברה לתירות 2020 '!A15</f>
        <v>9</v>
      </c>
    </row>
    <row r="16" spans="1:27" s="67" customFormat="1" ht="27" customHeight="1">
      <c r="A16" s="10" t="s">
        <v>839</v>
      </c>
      <c r="B16" s="65">
        <f>'תקציב אגף תקשוב 2020 '!D$15</f>
        <v>49790000</v>
      </c>
      <c r="C16" s="65">
        <f>'תקציב אגף תקשוב 2020 '!E$15</f>
        <v>49590000</v>
      </c>
      <c r="D16" s="65">
        <f>'תקציב אגף תקשוב 2020 '!F$15</f>
        <v>200000</v>
      </c>
      <c r="E16" s="65">
        <f>'תקציב אגף תקשוב 2020 '!G$15</f>
        <v>24973000</v>
      </c>
      <c r="F16" s="65">
        <f>'תקציב אגף תקשוב 2020 '!H$15</f>
        <v>12137738.620000001</v>
      </c>
      <c r="G16" s="65">
        <f>'תקציב אגף תקשוב 2020 '!I$15</f>
        <v>1455427.98</v>
      </c>
      <c r="H16" s="65">
        <f>'תקציב אגף תקשוב 2020 '!J$15</f>
        <v>5607273.6800000006</v>
      </c>
      <c r="I16" s="65">
        <f>'תקציב אגף תקשוב 2020 '!K$15</f>
        <v>7062701.6600000011</v>
      </c>
      <c r="J16" s="65">
        <f>'תקציב אגף תקשוב 2020 '!L$15</f>
        <v>19200440.280000005</v>
      </c>
      <c r="K16" s="65">
        <f>'תקציב אגף תקשוב 2020 '!M$15</f>
        <v>5232559.7199999988</v>
      </c>
      <c r="L16" s="65">
        <f>'תקציב אגף תקשוב 2020 '!N$15</f>
        <v>14470000</v>
      </c>
      <c r="M16" s="65">
        <f>'תקציב אגף תקשוב 2020 '!O$15</f>
        <v>10887000</v>
      </c>
      <c r="N16" s="65">
        <f>'תקציב אגף תקשוב 2020 '!P$15</f>
        <v>5772559.7199999988</v>
      </c>
      <c r="O16" s="65">
        <f>'תקציב אגף תקשוב 2020 '!Q$15</f>
        <v>0</v>
      </c>
      <c r="P16" s="65">
        <f>'תקציב אגף תקשוב 2020 '!R$15</f>
        <v>0</v>
      </c>
      <c r="Q16" s="65">
        <f>'תקציב אגף תקשוב 2020 '!S$15</f>
        <v>0</v>
      </c>
      <c r="R16" s="65">
        <f>'תקציב אגף תקשוב 2020 '!T$15</f>
        <v>540000</v>
      </c>
      <c r="S16" s="65">
        <f>'תקציב אגף תקשוב 2020 '!U$15</f>
        <v>13930000</v>
      </c>
      <c r="T16" s="65">
        <f>'תקציב אגף תקשוב 2020 '!V$15</f>
        <v>5000000</v>
      </c>
      <c r="U16" s="65">
        <f>'תקציב אגף תקשוב 2020 '!W$15</f>
        <v>4850000</v>
      </c>
      <c r="V16" s="65">
        <f>'תקציב אגף תקשוב 2020 '!X$15</f>
        <v>0</v>
      </c>
      <c r="W16" s="65">
        <f>'תקציב אגף תקשוב 2020 '!Y$15</f>
        <v>0</v>
      </c>
      <c r="X16" s="65">
        <f>'תקציב אגף תקשוב 2020 '!Z$15</f>
        <v>4080000</v>
      </c>
      <c r="Y16" s="67">
        <f>'תקציב אגף תקשוב 2020 '!A15</f>
        <v>9</v>
      </c>
    </row>
    <row r="17" spans="1:26" s="67" customFormat="1" ht="27" customHeight="1">
      <c r="A17" s="10" t="s">
        <v>838</v>
      </c>
      <c r="B17" s="65">
        <f>'תקציב אגף נכסים וביטוח 2020 '!D$23</f>
        <v>162104000</v>
      </c>
      <c r="C17" s="65">
        <f>'תקציב אגף נכסים וביטוח 2020 '!E$23</f>
        <v>161399000</v>
      </c>
      <c r="D17" s="65">
        <f>'תקציב אגף נכסים וביטוח 2020 '!F$23</f>
        <v>705000</v>
      </c>
      <c r="E17" s="65">
        <f>'תקציב אגף נכסים וביטוח 2020 '!G$23</f>
        <v>90422525</v>
      </c>
      <c r="F17" s="65">
        <f>'תקציב אגף נכסים וביטוח 2020 '!H$23</f>
        <v>69642075.710000008</v>
      </c>
      <c r="G17" s="65">
        <f>'תקציב אגף נכסים וביטוח 2020 '!I$23</f>
        <v>0</v>
      </c>
      <c r="H17" s="65">
        <f>'תקציב אגף נכסים וביטוח 2020 '!J$23</f>
        <v>7195</v>
      </c>
      <c r="I17" s="65">
        <f>'תקציב אגף נכסים וביטוח 2020 '!K$23</f>
        <v>7195</v>
      </c>
      <c r="J17" s="65">
        <f>'תקציב אגף נכסים וביטוח 2020 '!L$23</f>
        <v>69649270.710000008</v>
      </c>
      <c r="K17" s="65">
        <f>'תקציב אגף נכסים וביטוח 2020 '!M$23</f>
        <v>20823254.290000003</v>
      </c>
      <c r="L17" s="65">
        <f>'תקציב אגף נכסים וביטוח 2020 '!N$23</f>
        <v>8924300</v>
      </c>
      <c r="M17" s="65">
        <f>'תקציב אגף נכסים וביטוח 2020 '!O$23</f>
        <v>62707175</v>
      </c>
      <c r="N17" s="65">
        <f>'תקציב אגף נכסים וביטוח 2020 '!P$23</f>
        <v>20773254.290000003</v>
      </c>
      <c r="O17" s="65">
        <f>'תקציב אגף נכסים וביטוח 2020 '!Q$23</f>
        <v>50000</v>
      </c>
      <c r="P17" s="65">
        <f>'תקציב אגף נכסים וביטוח 2020 '!R$23</f>
        <v>0</v>
      </c>
      <c r="Q17" s="65">
        <f>'תקציב אגף נכסים וביטוח 2020 '!S$23</f>
        <v>50000</v>
      </c>
      <c r="R17" s="65">
        <f>'תקציב אגף נכסים וביטוח 2020 '!T$23</f>
        <v>0</v>
      </c>
      <c r="S17" s="65">
        <f>'תקציב אגף נכסים וביטוח 2020 '!U$23</f>
        <v>8924300</v>
      </c>
      <c r="T17" s="65">
        <f>'תקציב אגף נכסים וביטוח 2020 '!V$23</f>
        <v>8924300</v>
      </c>
      <c r="U17" s="65">
        <f>'תקציב אגף נכסים וביטוח 2020 '!W$23</f>
        <v>0</v>
      </c>
      <c r="V17" s="65">
        <f>'תקציב אגף נכסים וביטוח 2020 '!X$23</f>
        <v>0</v>
      </c>
      <c r="W17" s="65">
        <f>'תקציב אגף נכסים וביטוח 2020 '!Y$23</f>
        <v>0</v>
      </c>
      <c r="X17" s="65">
        <f>'תקציב אגף נכסים וביטוח 2020 '!Z$23</f>
        <v>0</v>
      </c>
      <c r="Y17" s="67">
        <f>'תקציב אגף נכסים וביטוח 2020 '!A23</f>
        <v>17</v>
      </c>
    </row>
    <row r="18" spans="1:26" s="67" customFormat="1" ht="27" customHeight="1">
      <c r="A18" s="10" t="s">
        <v>341</v>
      </c>
      <c r="B18" s="65">
        <f>'תקציב מינהל כללי 2020 '!D$15</f>
        <v>128901682</v>
      </c>
      <c r="C18" s="65">
        <f>'תקציב מינהל כללי 2020 '!E$15</f>
        <v>129976727</v>
      </c>
      <c r="D18" s="65">
        <f>'תקציב מינהל כללי 2020 '!F$15</f>
        <v>-1075045</v>
      </c>
      <c r="E18" s="65">
        <f>'תקציב מינהל כללי 2020 '!G$15</f>
        <v>92393621</v>
      </c>
      <c r="F18" s="65">
        <f>'תקציב מינהל כללי 2020 '!H$15</f>
        <v>74996292.029999986</v>
      </c>
      <c r="G18" s="65">
        <f>'תקציב מינהל כללי 2020 '!I$15</f>
        <v>68955.83</v>
      </c>
      <c r="H18" s="65">
        <f>'תקציב מינהל כללי 2020 '!J$15</f>
        <v>3600662.8999999994</v>
      </c>
      <c r="I18" s="65">
        <f>'תקציב מינהל כללי 2020 '!K$15</f>
        <v>3669618.7299999995</v>
      </c>
      <c r="J18" s="65">
        <f>'תקציב מינהל כללי 2020 '!L$15</f>
        <v>78665910.760000005</v>
      </c>
      <c r="K18" s="65">
        <f>'תקציב מינהל כללי 2020 '!M$15</f>
        <v>14152665.239999998</v>
      </c>
      <c r="L18" s="65">
        <f>'תקציב מינהל כללי 2020 '!N$15</f>
        <v>9050000</v>
      </c>
      <c r="M18" s="65">
        <f>'תקציב מינהל כללי 2020 '!O$15</f>
        <v>27033106</v>
      </c>
      <c r="N18" s="65">
        <f>'תקציב מינהל כללי 2020 '!P$15</f>
        <v>13727710.239999998</v>
      </c>
      <c r="O18" s="65">
        <f>'תקציב מינהל כללי 2020 '!Q$15</f>
        <v>550000</v>
      </c>
      <c r="P18" s="65">
        <f>'תקציב מינהל כללי 2020 '!R$15</f>
        <v>0</v>
      </c>
      <c r="Q18" s="65">
        <f>'תקציב מינהל כללי 2020 '!S$15</f>
        <v>550000</v>
      </c>
      <c r="R18" s="65">
        <f>'תקציב מינהל כללי 2020 '!T$15</f>
        <v>125045</v>
      </c>
      <c r="S18" s="65">
        <f>'תקציב מינהל כללי 2020 '!U$15</f>
        <v>8924955</v>
      </c>
      <c r="T18" s="65">
        <f>'תקציב מינהל כללי 2020 '!V$15</f>
        <v>2455926</v>
      </c>
      <c r="U18" s="65">
        <f>'תקציב מינהל כללי 2020 '!W$15</f>
        <v>6469029</v>
      </c>
      <c r="V18" s="65">
        <f>'תקציב מינהל כללי 2020 '!X$15</f>
        <v>0</v>
      </c>
      <c r="W18" s="65">
        <f>'תקציב מינהל כללי 2020 '!Y$15</f>
        <v>0</v>
      </c>
      <c r="X18" s="65">
        <f>'תקציב מינהל כללי 2020 '!Z$15</f>
        <v>0</v>
      </c>
      <c r="Y18" s="67">
        <f>'תקציב מינהל כללי 2020 '!A15</f>
        <v>9</v>
      </c>
    </row>
    <row r="19" spans="1:26" s="67" customFormat="1" ht="27" customHeight="1">
      <c r="A19" s="310" t="s">
        <v>279</v>
      </c>
      <c r="B19" s="65">
        <f>SUM(B7:B18)</f>
        <v>4639177685</v>
      </c>
      <c r="C19" s="65">
        <f t="shared" ref="C19:X19" si="0">SUM(C7:C18)</f>
        <v>4222021272</v>
      </c>
      <c r="D19" s="65">
        <f t="shared" si="0"/>
        <v>417156413</v>
      </c>
      <c r="E19" s="65">
        <f t="shared" si="0"/>
        <v>2125169045</v>
      </c>
      <c r="F19" s="65">
        <f t="shared" si="0"/>
        <v>1669938923.2099996</v>
      </c>
      <c r="G19" s="65">
        <f t="shared" si="0"/>
        <v>26954056.759999998</v>
      </c>
      <c r="H19" s="65">
        <f t="shared" si="0"/>
        <v>124171972.56</v>
      </c>
      <c r="I19" s="65">
        <f t="shared" si="0"/>
        <v>151126029.31999999</v>
      </c>
      <c r="J19" s="65">
        <f t="shared" si="0"/>
        <v>1821064952.5300002</v>
      </c>
      <c r="K19" s="65">
        <f t="shared" si="0"/>
        <v>449878818.47000009</v>
      </c>
      <c r="L19" s="65">
        <f t="shared" si="0"/>
        <v>566256200</v>
      </c>
      <c r="M19" s="65">
        <f t="shared" si="0"/>
        <v>1801977714</v>
      </c>
      <c r="N19" s="65">
        <f t="shared" si="0"/>
        <v>304104092.46999997</v>
      </c>
      <c r="O19" s="65">
        <f t="shared" si="0"/>
        <v>203019574</v>
      </c>
      <c r="P19" s="65">
        <f t="shared" si="0"/>
        <v>6185226</v>
      </c>
      <c r="Q19" s="65">
        <f t="shared" si="0"/>
        <v>209204800</v>
      </c>
      <c r="R19" s="65">
        <f t="shared" si="0"/>
        <v>63430074</v>
      </c>
      <c r="S19" s="65">
        <f t="shared" si="0"/>
        <v>502826126</v>
      </c>
      <c r="T19" s="65">
        <f t="shared" si="0"/>
        <v>206270000</v>
      </c>
      <c r="U19" s="65">
        <f t="shared" si="0"/>
        <v>59000000</v>
      </c>
      <c r="V19" s="65">
        <f t="shared" si="0"/>
        <v>0</v>
      </c>
      <c r="W19" s="65">
        <f t="shared" si="0"/>
        <v>100433357</v>
      </c>
      <c r="X19" s="65">
        <f t="shared" si="0"/>
        <v>137122769</v>
      </c>
      <c r="Y19" s="65">
        <f t="shared" ref="Y19" si="1">SUM(Y7:Y18)</f>
        <v>394</v>
      </c>
    </row>
    <row r="20" spans="1:26" s="67" customFormat="1" hidden="1">
      <c r="A20" s="387"/>
      <c r="B20" s="66"/>
      <c r="C20" s="66"/>
      <c r="D20" s="66"/>
      <c r="E20" s="66"/>
      <c r="F20" s="66"/>
      <c r="G20" s="66"/>
      <c r="H20" s="66"/>
      <c r="I20" s="66"/>
      <c r="J20" s="65">
        <f>I19+F19</f>
        <v>1821064952.5299995</v>
      </c>
      <c r="K20" s="65">
        <f>N19+Q19-R19</f>
        <v>449878818.46999997</v>
      </c>
      <c r="L20" s="66"/>
      <c r="M20" s="66"/>
      <c r="N20" s="65">
        <f>E19-J19</f>
        <v>304104092.46999979</v>
      </c>
      <c r="O20" s="66"/>
      <c r="P20" s="66"/>
      <c r="Q20" s="66"/>
      <c r="R20" s="65">
        <f>N19+Q19-K19</f>
        <v>63430073.999999881</v>
      </c>
      <c r="S20" s="65">
        <f>L19-R19</f>
        <v>502826126</v>
      </c>
      <c r="T20" s="66"/>
      <c r="U20" s="66"/>
      <c r="V20" s="66"/>
      <c r="W20" s="66"/>
      <c r="X20" s="66"/>
    </row>
    <row r="21" spans="1:26" s="67" customFormat="1" hidden="1">
      <c r="A21" s="387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6" hidden="1">
      <c r="J22" s="66"/>
      <c r="K22" s="66"/>
      <c r="M22" s="73"/>
      <c r="N22" s="74"/>
      <c r="O22" s="73"/>
      <c r="P22" s="75"/>
      <c r="Q22" s="75"/>
      <c r="R22" s="74"/>
      <c r="S22" s="76" t="s">
        <v>120</v>
      </c>
      <c r="T22" s="76" t="s">
        <v>104</v>
      </c>
      <c r="U22" s="76" t="s">
        <v>121</v>
      </c>
      <c r="V22" s="76" t="s">
        <v>15</v>
      </c>
      <c r="W22" s="76" t="s">
        <v>354</v>
      </c>
      <c r="X22" s="76" t="s">
        <v>105</v>
      </c>
    </row>
    <row r="23" spans="1:26" hidden="1">
      <c r="M23" s="76" t="s">
        <v>122</v>
      </c>
      <c r="N23" s="77"/>
      <c r="O23" s="76" t="s">
        <v>122</v>
      </c>
      <c r="P23" s="78"/>
      <c r="Q23" s="78"/>
      <c r="R23" s="68"/>
      <c r="S23" s="79">
        <f>SUM(T23:X23)</f>
        <v>502826126</v>
      </c>
      <c r="T23" s="79">
        <f>'תקציב 2020 קרנות הרשות'!C21*1000</f>
        <v>206270000</v>
      </c>
      <c r="U23" s="79">
        <f>'תקציב 2020 קרנות הרשות'!D21*1000</f>
        <v>59000000</v>
      </c>
      <c r="V23" s="79">
        <f>'תקציב 2020  מקורות '!F10*1000</f>
        <v>0</v>
      </c>
      <c r="W23" s="79">
        <f>'תקציב 2020  מקורות '!F11*1000</f>
        <v>100433357</v>
      </c>
      <c r="X23" s="79">
        <f>'פרוט מקורות אחרים'!O16</f>
        <v>137122769</v>
      </c>
    </row>
    <row r="24" spans="1:26" hidden="1">
      <c r="M24" s="76" t="s">
        <v>123</v>
      </c>
      <c r="N24" s="77"/>
      <c r="O24" s="76" t="s">
        <v>123</v>
      </c>
      <c r="P24" s="78"/>
      <c r="Q24" s="78"/>
      <c r="R24" s="68"/>
      <c r="S24" s="79">
        <f t="shared" ref="S24:X24" si="2">S23-S19</f>
        <v>0</v>
      </c>
      <c r="T24" s="79">
        <f t="shared" si="2"/>
        <v>0</v>
      </c>
      <c r="U24" s="79">
        <f t="shared" si="2"/>
        <v>0</v>
      </c>
      <c r="V24" s="79">
        <f t="shared" si="2"/>
        <v>0</v>
      </c>
      <c r="W24" s="79">
        <f t="shared" si="2"/>
        <v>0</v>
      </c>
      <c r="X24" s="79">
        <f t="shared" si="2"/>
        <v>0</v>
      </c>
    </row>
    <row r="25" spans="1:26">
      <c r="M25" s="82"/>
      <c r="O25" s="82"/>
      <c r="P25" s="82"/>
      <c r="Q25" s="82"/>
      <c r="R25" s="67"/>
      <c r="S25" s="80"/>
      <c r="T25" s="80"/>
      <c r="U25" s="80"/>
      <c r="V25" s="80"/>
      <c r="W25" s="80"/>
      <c r="X25" s="80"/>
    </row>
    <row r="26" spans="1:26">
      <c r="L26" s="686"/>
      <c r="N26" s="685"/>
      <c r="O26" s="82"/>
      <c r="P26" s="82"/>
      <c r="Q26" s="82"/>
      <c r="R26" s="80"/>
      <c r="S26" s="80"/>
      <c r="T26" s="67"/>
      <c r="U26" s="67"/>
      <c r="V26" s="67"/>
      <c r="W26" s="67"/>
      <c r="X26" s="80"/>
    </row>
    <row r="27" spans="1:26">
      <c r="M27" s="82"/>
      <c r="O27" s="82"/>
      <c r="P27" s="82"/>
      <c r="Q27" s="82"/>
      <c r="R27" s="67"/>
      <c r="S27" s="80"/>
      <c r="T27" s="67"/>
      <c r="U27" s="67"/>
      <c r="V27" s="67"/>
      <c r="W27" s="67"/>
      <c r="X27" s="80"/>
    </row>
    <row r="28" spans="1:26">
      <c r="N28" s="72"/>
      <c r="T28" s="67"/>
      <c r="U28" s="67"/>
      <c r="V28" s="67"/>
      <c r="W28" s="67"/>
      <c r="X28" s="80"/>
    </row>
    <row r="29" spans="1:26">
      <c r="N29" s="72"/>
      <c r="S29" s="83"/>
      <c r="T29" s="67"/>
      <c r="U29" s="67"/>
      <c r="V29" s="67"/>
      <c r="W29" s="67"/>
    </row>
    <row r="30" spans="1:26">
      <c r="T30" s="67"/>
      <c r="U30" s="67"/>
      <c r="V30" s="67"/>
      <c r="W30" s="67"/>
    </row>
    <row r="31" spans="1:26">
      <c r="B31" s="83"/>
      <c r="N31" s="685"/>
      <c r="S31" s="81"/>
      <c r="T31" s="67"/>
      <c r="U31" s="67"/>
      <c r="V31" s="67"/>
      <c r="W31" s="67"/>
    </row>
    <row r="32" spans="1:26">
      <c r="N32" s="685"/>
      <c r="S32" s="81"/>
      <c r="T32" s="67"/>
      <c r="U32" s="67"/>
      <c r="V32" s="67"/>
      <c r="W32" s="67"/>
      <c r="Z32" s="66"/>
    </row>
    <row r="33" spans="14:23">
      <c r="N33" s="685"/>
      <c r="S33" s="81"/>
      <c r="T33" s="67"/>
      <c r="U33" s="67"/>
      <c r="V33" s="67"/>
      <c r="W33" s="67"/>
    </row>
    <row r="34" spans="14:23">
      <c r="N34" s="685"/>
      <c r="S34" s="81"/>
      <c r="T34" s="67"/>
      <c r="U34" s="67"/>
      <c r="V34" s="67"/>
      <c r="W34" s="67"/>
    </row>
    <row r="35" spans="14:23">
      <c r="N35" s="685"/>
      <c r="S35" s="81"/>
      <c r="T35" s="67"/>
      <c r="U35" s="67"/>
      <c r="V35" s="67"/>
      <c r="W35" s="67"/>
    </row>
    <row r="36" spans="14:23">
      <c r="N36" s="685"/>
      <c r="S36" s="450"/>
      <c r="T36" s="67"/>
      <c r="U36" s="67"/>
      <c r="V36" s="67"/>
      <c r="W36" s="67"/>
    </row>
    <row r="37" spans="14:23">
      <c r="N37" s="685"/>
      <c r="S37" s="81"/>
      <c r="T37" s="67"/>
      <c r="U37" s="67"/>
      <c r="V37" s="67"/>
      <c r="W37" s="67"/>
    </row>
    <row r="38" spans="14:23">
      <c r="S38" s="450"/>
      <c r="T38" s="67"/>
      <c r="U38" s="67"/>
      <c r="V38" s="67"/>
      <c r="W38" s="67"/>
    </row>
    <row r="39" spans="14:23">
      <c r="S39" s="450"/>
      <c r="T39" s="67"/>
      <c r="U39" s="67"/>
      <c r="V39" s="67"/>
      <c r="W39" s="67"/>
    </row>
    <row r="40" spans="14:23">
      <c r="S40" s="81"/>
      <c r="T40" s="67"/>
      <c r="U40" s="67"/>
      <c r="V40" s="67"/>
      <c r="W40" s="67"/>
    </row>
    <row r="41" spans="14:23">
      <c r="S41" s="450"/>
      <c r="T41" s="67"/>
      <c r="U41" s="67"/>
      <c r="V41" s="67"/>
      <c r="W41" s="67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X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Q24" sqref="Q24"/>
    </sheetView>
  </sheetViews>
  <sheetFormatPr defaultRowHeight="13.2"/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showZeros="0" rightToLeft="1" tabSelected="1" zoomScaleNormal="100" workbookViewId="0">
      <pane xSplit="1" ySplit="5" topLeftCell="B18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5.6"/>
  <cols>
    <col min="1" max="1" width="17" style="71" customWidth="1"/>
    <col min="2" max="2" width="14" style="72" bestFit="1" customWidth="1"/>
    <col min="3" max="3" width="14.6640625" style="72" customWidth="1"/>
    <col min="4" max="4" width="11.33203125" style="72" customWidth="1"/>
    <col min="5" max="8" width="12.6640625" style="72" hidden="1" customWidth="1"/>
    <col min="9" max="9" width="11.109375" style="72" hidden="1" customWidth="1"/>
    <col min="10" max="10" width="12.6640625" style="67" customWidth="1"/>
    <col min="11" max="11" width="11.5546875" style="72" customWidth="1"/>
    <col min="12" max="12" width="11.109375" style="72" customWidth="1"/>
    <col min="13" max="13" width="12.5546875" style="72" customWidth="1"/>
    <col min="14" max="14" width="12.6640625" style="67" hidden="1" customWidth="1"/>
    <col min="15" max="17" width="12.109375" style="72" hidden="1" customWidth="1"/>
    <col min="18" max="18" width="9.88671875" style="72" customWidth="1"/>
    <col min="19" max="19" width="12.6640625" style="72" bestFit="1" customWidth="1"/>
    <col min="20" max="20" width="11.33203125" style="72" bestFit="1" customWidth="1"/>
    <col min="21" max="21" width="10.6640625" style="72" customWidth="1"/>
    <col min="22" max="22" width="9.109375" style="72" hidden="1" customWidth="1"/>
    <col min="23" max="23" width="11.33203125" style="72" bestFit="1" customWidth="1"/>
    <col min="24" max="24" width="11.109375" style="72" customWidth="1"/>
    <col min="25" max="25" width="13.44140625" style="69" customWidth="1"/>
    <col min="26" max="26" width="11.88671875" style="69" customWidth="1"/>
    <col min="27" max="27" width="10" style="69" customWidth="1"/>
    <col min="28" max="28" width="9.109375" style="69"/>
    <col min="29" max="29" width="10.109375" style="69" customWidth="1"/>
    <col min="30" max="16384" width="9.109375" style="69"/>
  </cols>
  <sheetData>
    <row r="2" spans="1:25" s="57" customFormat="1" ht="22.8">
      <c r="A2" s="315" t="s">
        <v>386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5" s="57" customFormat="1" ht="22.8">
      <c r="A3" s="58"/>
      <c r="B3" s="59"/>
      <c r="C3" s="59"/>
      <c r="D3" s="59"/>
      <c r="E3" s="59"/>
      <c r="F3" s="59"/>
      <c r="G3" s="59"/>
      <c r="H3" s="59"/>
      <c r="I3" s="59"/>
      <c r="J3" s="60"/>
      <c r="K3" s="59"/>
      <c r="L3" s="59"/>
      <c r="M3" s="59"/>
      <c r="N3" s="60"/>
      <c r="O3" s="59"/>
      <c r="P3" s="59"/>
      <c r="Q3" s="59"/>
      <c r="R3" s="59"/>
      <c r="S3" s="59"/>
      <c r="T3" s="59"/>
      <c r="U3" s="59"/>
      <c r="V3" s="59"/>
      <c r="W3" s="59"/>
      <c r="X3" s="59"/>
    </row>
    <row r="4" spans="1:25" s="63" customFormat="1">
      <c r="A4" s="61"/>
      <c r="B4" s="807" t="s">
        <v>110</v>
      </c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306"/>
      <c r="Q4" s="306"/>
      <c r="R4" s="807" t="s">
        <v>111</v>
      </c>
      <c r="S4" s="807"/>
      <c r="T4" s="807"/>
      <c r="U4" s="808"/>
      <c r="V4" s="808"/>
      <c r="W4" s="807"/>
      <c r="X4" s="807"/>
    </row>
    <row r="5" spans="1:25" s="54" customFormat="1" ht="62.4">
      <c r="A5" s="61" t="s">
        <v>390</v>
      </c>
      <c r="B5" s="61" t="s">
        <v>113</v>
      </c>
      <c r="C5" s="61" t="s">
        <v>4</v>
      </c>
      <c r="D5" s="61" t="s">
        <v>114</v>
      </c>
      <c r="E5" s="61" t="s">
        <v>124</v>
      </c>
      <c r="F5" s="24" t="s">
        <v>7</v>
      </c>
      <c r="G5" s="24" t="s">
        <v>8</v>
      </c>
      <c r="H5" s="24" t="s">
        <v>9</v>
      </c>
      <c r="I5" s="24" t="s">
        <v>10</v>
      </c>
      <c r="J5" s="44" t="s">
        <v>11</v>
      </c>
      <c r="K5" s="10" t="s">
        <v>918</v>
      </c>
      <c r="L5" s="61" t="s">
        <v>919</v>
      </c>
      <c r="M5" s="61" t="s">
        <v>920</v>
      </c>
      <c r="N5" s="44" t="s">
        <v>115</v>
      </c>
      <c r="O5" s="24" t="s">
        <v>928</v>
      </c>
      <c r="P5" s="24" t="s">
        <v>929</v>
      </c>
      <c r="Q5" s="24" t="s">
        <v>927</v>
      </c>
      <c r="R5" s="24" t="s">
        <v>921</v>
      </c>
      <c r="S5" s="61" t="s">
        <v>922</v>
      </c>
      <c r="T5" s="64" t="s">
        <v>13</v>
      </c>
      <c r="U5" s="61" t="s">
        <v>14</v>
      </c>
      <c r="V5" s="48" t="s">
        <v>15</v>
      </c>
      <c r="W5" s="48" t="s">
        <v>354</v>
      </c>
      <c r="X5" s="61" t="s">
        <v>105</v>
      </c>
      <c r="Y5" s="31"/>
    </row>
    <row r="6" spans="1:25" s="54" customFormat="1" ht="27" customHeight="1">
      <c r="A6" s="310" t="s">
        <v>818</v>
      </c>
      <c r="B6" s="13">
        <f>'אגף ת.ב.ל 2020 פרקים'!D$7+' תקשוב 2020 פרקים'!D$7</f>
        <v>8980000</v>
      </c>
      <c r="C6" s="13">
        <f>'אגף ת.ב.ל 2020 פרקים'!E$7+' תקשוב 2020 פרקים'!E$7</f>
        <v>8980000</v>
      </c>
      <c r="D6" s="13">
        <f>'אגף ת.ב.ל 2020 פרקים'!F$7+' תקשוב 2020 פרקים'!F$7</f>
        <v>0</v>
      </c>
      <c r="E6" s="13">
        <f>'אגף ת.ב.ל 2020 פרקים'!G$7+' תקשוב 2020 פרקים'!G$7</f>
        <v>3083000</v>
      </c>
      <c r="F6" s="13">
        <f>'אגף ת.ב.ל 2020 פרקים'!H$7+' תקשוב 2020 פרקים'!H$7</f>
        <v>2615479.54</v>
      </c>
      <c r="G6" s="13">
        <f>'אגף ת.ב.ל 2020 פרקים'!I$7+' תקשוב 2020 פרקים'!I$7</f>
        <v>136200</v>
      </c>
      <c r="H6" s="13">
        <f>'אגף ת.ב.ל 2020 פרקים'!J$7+' תקשוב 2020 פרקים'!J$7</f>
        <v>79693.94</v>
      </c>
      <c r="I6" s="13">
        <f>'אגף ת.ב.ל 2020 פרקים'!K$7+' תקשוב 2020 פרקים'!K$7</f>
        <v>215893.94</v>
      </c>
      <c r="J6" s="13">
        <f>'אגף ת.ב.ל 2020 פרקים'!L$7+' תקשוב 2020 פרקים'!L$7</f>
        <v>2831373.48</v>
      </c>
      <c r="K6" s="13">
        <f>'אגף ת.ב.ל 2020 פרקים'!M$7+' תקשוב 2020 פרקים'!M$7</f>
        <v>211626.52000000002</v>
      </c>
      <c r="L6" s="13">
        <f>'אגף ת.ב.ל 2020 פרקים'!N$7+' תקשוב 2020 פרקים'!N$7</f>
        <v>140000</v>
      </c>
      <c r="M6" s="13">
        <f>'אגף ת.ב.ל 2020 פרקים'!O$7+' תקשוב 2020 פרקים'!O$7</f>
        <v>5797000</v>
      </c>
      <c r="N6" s="13">
        <f>'אגף ת.ב.ל 2020 פרקים'!P$7+' תקשוב 2020 פרקים'!P$7</f>
        <v>251626.52000000002</v>
      </c>
      <c r="O6" s="13">
        <f>'אגף ת.ב.ל 2020 פרקים'!Q$7+' תקשוב 2020 פרקים'!Q$7</f>
        <v>0</v>
      </c>
      <c r="P6" s="13">
        <f>'אגף ת.ב.ל 2020 פרקים'!R$7+' תקשוב 2020 פרקים'!R$7</f>
        <v>0</v>
      </c>
      <c r="Q6" s="13">
        <f>'אגף ת.ב.ל 2020 פרקים'!S$7+' תקשוב 2020 פרקים'!S$7</f>
        <v>0</v>
      </c>
      <c r="R6" s="13">
        <f>'אגף ת.ב.ל 2020 פרקים'!T$7+' תקשוב 2020 פרקים'!T$7</f>
        <v>40000</v>
      </c>
      <c r="S6" s="13">
        <f>'אגף ת.ב.ל 2020 פרקים'!U$7+' תקשוב 2020 פרקים'!U$7</f>
        <v>100000</v>
      </c>
      <c r="T6" s="13">
        <f>'אגף ת.ב.ל 2020 פרקים'!V$7+' תקשוב 2020 פרקים'!V$7</f>
        <v>0</v>
      </c>
      <c r="U6" s="13">
        <f>'אגף ת.ב.ל 2020 פרקים'!W$7+' תקשוב 2020 פרקים'!W$7</f>
        <v>100000</v>
      </c>
      <c r="V6" s="13">
        <f>'אגף ת.ב.ל 2020 פרקים'!X$7+' תקשוב 2020 פרקים'!X$7</f>
        <v>0</v>
      </c>
      <c r="W6" s="13">
        <f>'אגף ת.ב.ל 2020 פרקים'!Y$7+' תקשוב 2020 פרקים'!Y$7</f>
        <v>0</v>
      </c>
      <c r="X6" s="13">
        <f>'אגף ת.ב.ל 2020 פרקים'!Z$7+' תקשוב 2020 פרקים'!Z$7</f>
        <v>0</v>
      </c>
      <c r="Y6" s="34"/>
    </row>
    <row r="7" spans="1:25" s="67" customFormat="1" ht="27" customHeight="1">
      <c r="A7" s="310" t="s">
        <v>819</v>
      </c>
      <c r="B7" s="65">
        <f>'הנדסה 2020 פרקים'!D$49+'החברה לפיתוח 2020 פרקים'!D$14+'אגף ת.ב.ל 2020 פרקים'!D$13+' שאיפה  2020 פרקים'!D$8+'החברה לתירות 2020 פרקים'!D$12+' מינהל כללי 2020 פרקים'!D$7</f>
        <v>245816123</v>
      </c>
      <c r="C7" s="65">
        <f>'הנדסה 2020 פרקים'!E$49+'החברה לפיתוח 2020 פרקים'!E$14+'אגף ת.ב.ל 2020 פרקים'!E$13+' שאיפה  2020 פרקים'!E$8+'החברה לתירות 2020 פרקים'!E$12+' מינהל כללי 2020 פרקים'!E$7</f>
        <v>235008873</v>
      </c>
      <c r="D7" s="65">
        <f>'הנדסה 2020 פרקים'!F$49+'החברה לפיתוח 2020 פרקים'!F$14+'אגף ת.ב.ל 2020 פרקים'!F$13+' שאיפה  2020 פרקים'!F$8+'החברה לתירות 2020 פרקים'!F$12+' מינהל כללי 2020 פרקים'!F$7</f>
        <v>10807250</v>
      </c>
      <c r="E7" s="65">
        <f>'הנדסה 2020 פרקים'!G$49+'החברה לפיתוח 2020 פרקים'!G$14+'אגף ת.ב.ל 2020 פרקים'!G$13+' שאיפה  2020 פרקים'!G$8+'החברה לתירות 2020 פרקים'!G$12+' מינהל כללי 2020 פרקים'!G$7</f>
        <v>155013117</v>
      </c>
      <c r="F7" s="65">
        <f>'הנדסה 2020 פרקים'!H$49+'החברה לפיתוח 2020 פרקים'!H$14+'אגף ת.ב.ל 2020 פרקים'!H$13+' שאיפה  2020 פרקים'!H$8+'החברה לתירות 2020 פרקים'!H$12+' מינהל כללי 2020 פרקים'!H$7</f>
        <v>113589904.11000001</v>
      </c>
      <c r="G7" s="65">
        <f>'הנדסה 2020 פרקים'!I$49+'החברה לפיתוח 2020 פרקים'!I$14+'אגף ת.ב.ל 2020 פרקים'!I$13+' שאיפה  2020 פרקים'!I$8+'החברה לתירות 2020 פרקים'!I$12+' מינהל כללי 2020 פרקים'!I$7</f>
        <v>5634568.3099999996</v>
      </c>
      <c r="H7" s="65">
        <f>'הנדסה 2020 פרקים'!J$49+'החברה לפיתוח 2020 פרקים'!J$14+'אגף ת.ב.ל 2020 פרקים'!J$13+' שאיפה  2020 פרקים'!J$8+'החברה לתירות 2020 פרקים'!J$12+' מינהל כללי 2020 פרקים'!J$7</f>
        <v>3121167.7300000004</v>
      </c>
      <c r="I7" s="65">
        <f>'הנדסה 2020 פרקים'!K$49+'החברה לפיתוח 2020 פרקים'!K$14+'אגף ת.ב.ל 2020 פרקים'!K$13+' שאיפה  2020 פרקים'!K$8+'החברה לתירות 2020 פרקים'!K$12+' מינהל כללי 2020 פרקים'!K$7</f>
        <v>8755736.040000001</v>
      </c>
      <c r="J7" s="65">
        <f>'הנדסה 2020 פרקים'!L$49+'החברה לפיתוח 2020 פרקים'!L$14+'אגף ת.ב.ל 2020 פרקים'!L$13+' שאיפה  2020 פרקים'!L$8+'החברה לתירות 2020 פרקים'!L$12+' מינהל כללי 2020 פרקים'!L$7</f>
        <v>122345640.15000004</v>
      </c>
      <c r="K7" s="65">
        <f>'הנדסה 2020 פרקים'!M$49+'החברה לפיתוח 2020 פרקים'!M$14+'אגף ת.ב.ל 2020 פרקים'!M$13+' שאיפה  2020 פרקים'!M$8+'החברה לתירות 2020 פרקים'!M$12+' מינהל כללי 2020 פרקים'!M$7</f>
        <v>32649799.850000001</v>
      </c>
      <c r="L7" s="65">
        <f>'הנדסה 2020 פרקים'!N$49+'החברה לפיתוח 2020 פרקים'!N$14+'אגף ת.ב.ל 2020 פרקים'!N$13+' שאיפה  2020 פרקים'!N$8+'החברה לתירות 2020 פרקים'!N$12+' מינהל כללי 2020 פרקים'!N$7</f>
        <v>18223338</v>
      </c>
      <c r="M7" s="65">
        <f>'הנדסה 2020 פרקים'!O$49+'החברה לפיתוח 2020 פרקים'!O$14+'אגף ת.ב.ל 2020 פרקים'!O$13+' שאיפה  2020 פרקים'!O$8+'החברה לתירות 2020 פרקים'!O$12+' מינהל כללי 2020 פרקים'!O$7</f>
        <v>72597345</v>
      </c>
      <c r="N7" s="65">
        <f>'הנדסה 2020 פרקים'!P$49+'החברה לפיתוח 2020 פרקים'!P$14+'אגף ת.ב.ל 2020 פרקים'!P$13+' שאיפה  2020 פרקים'!P$8+'החברה לתירות 2020 פרקים'!P$12+' מינהל כללי 2020 פרקים'!P$7</f>
        <v>32667476.850000001</v>
      </c>
      <c r="O7" s="65">
        <f>'הנדסה 2020 פרקים'!Q$49+'החברה לפיתוח 2020 פרקים'!Q$14+'אגף ת.ב.ל 2020 פרקים'!Q$13+' שאיפה  2020 פרקים'!Q$8+'החברה לתירות 2020 פרקים'!Q$12+' מינהל כללי 2020 פרקים'!Q$7</f>
        <v>712323</v>
      </c>
      <c r="P7" s="65">
        <f>'הנדסה 2020 פרקים'!R$49+'החברה לפיתוח 2020 פרקים'!R$14+'אגף ת.ב.ל 2020 פרקים'!R$13+' שאיפה  2020 פרקים'!R$8+'החברה לתירות 2020 פרקים'!R$12+' מינהל כללי 2020 פרקים'!R$7</f>
        <v>1250000</v>
      </c>
      <c r="Q7" s="65">
        <f>'הנדסה 2020 פרקים'!S$49+'החברה לפיתוח 2020 פרקים'!S$14+'אגף ת.ב.ל 2020 פרקים'!S$13+' שאיפה  2020 פרקים'!S$8+'החברה לתירות 2020 פרקים'!S$12+' מינהל כללי 2020 פרקים'!S$7</f>
        <v>1962323</v>
      </c>
      <c r="R7" s="65">
        <f>'הנדסה 2020 פרקים'!T$49+'החברה לפיתוח 2020 פרקים'!T$14+'אגף ת.ב.ל 2020 פרקים'!T$13+' שאיפה  2020 פרקים'!T$8+'החברה לתירות 2020 פרקים'!T$12+' מינהל כללי 2020 פרקים'!T$7</f>
        <v>1980000</v>
      </c>
      <c r="S7" s="65">
        <f>'הנדסה 2020 פרקים'!U$49+'החברה לפיתוח 2020 פרקים'!U$14+'אגף ת.ב.ל 2020 פרקים'!U$13+' שאיפה  2020 פרקים'!U$8+'החברה לתירות 2020 פרקים'!U$12+' מינהל כללי 2020 פרקים'!U$7</f>
        <v>16243338</v>
      </c>
      <c r="T7" s="65">
        <f>'הנדסה 2020 פרקים'!V$49+'החברה לפיתוח 2020 פרקים'!V$14+'אגף ת.ב.ל 2020 פרקים'!V$13+' שאיפה  2020 פרקים'!V$8+'החברה לתירות 2020 פרקים'!V$12+' מינהל כללי 2020 פרקים'!V$7</f>
        <v>14788894</v>
      </c>
      <c r="U7" s="65">
        <f>'הנדסה 2020 פרקים'!W$49+'החברה לפיתוח 2020 פרקים'!W$14+'אגף ת.ב.ל 2020 פרקים'!W$13+' שאיפה  2020 פרקים'!W$8+'החברה לתירות 2020 פרקים'!W$12+' מינהל כללי 2020 פרקים'!W$7</f>
        <v>200000</v>
      </c>
      <c r="V7" s="65">
        <f>'הנדסה 2020 פרקים'!X$49+'החברה לפיתוח 2020 פרקים'!X$14+'אגף ת.ב.ל 2020 פרקים'!X$13+' שאיפה  2020 פרקים'!X$8+'החברה לתירות 2020 פרקים'!X$12+' מינהל כללי 2020 פרקים'!X$7</f>
        <v>0</v>
      </c>
      <c r="W7" s="65">
        <f>'הנדסה 2020 פרקים'!Y$49+'החברה לפיתוח 2020 פרקים'!Y$14+'אגף ת.ב.ל 2020 פרקים'!Y$13+' שאיפה  2020 פרקים'!Y$8+'החברה לתירות 2020 פרקים'!Y$12+' מינהל כללי 2020 פרקים'!Y$7</f>
        <v>0</v>
      </c>
      <c r="X7" s="65">
        <f>'הנדסה 2020 פרקים'!Z$49+'החברה לפיתוח 2020 פרקים'!Z$14+'אגף ת.ב.ל 2020 פרקים'!Z$13+' שאיפה  2020 פרקים'!Z$8+'החברה לתירות 2020 פרקים'!Z$12+' מינהל כללי 2020 פרקים'!Z$7</f>
        <v>1254444</v>
      </c>
      <c r="Y7" s="66"/>
    </row>
    <row r="8" spans="1:25" s="67" customFormat="1" ht="27" customHeight="1">
      <c r="A8" s="311" t="s">
        <v>820</v>
      </c>
      <c r="B8" s="65">
        <f>'הנדסה 2020 פרקים'!D$87+'החברה לפיתוח 2020 פרקים'!D$67+'החברה לפיתוח 2020 פרקים'!D$72+'אגף ת.ב.ל 2020 פרקים'!D$23+' שאיפה  2020 פרקים'!D$32+'החברה לתירות 2020 פרקים'!D$16+' מינהל כללי 2020 פרקים'!D$12</f>
        <v>2156362313</v>
      </c>
      <c r="C8" s="65">
        <f>'הנדסה 2020 פרקים'!E$87+'החברה לפיתוח 2020 פרקים'!E$67+'החברה לפיתוח 2020 פרקים'!E$72+'אגף ת.ב.ל 2020 פרקים'!E$23+' שאיפה  2020 פרקים'!E$32+'החברה לתירות 2020 פרקים'!E$16+' מינהל כללי 2020 פרקים'!E$12</f>
        <v>2004862358</v>
      </c>
      <c r="D8" s="65">
        <f>'הנדסה 2020 פרקים'!F$87+'החברה לפיתוח 2020 פרקים'!F$67+'החברה לפיתוח 2020 פרקים'!F$72+'אגף ת.ב.ל 2020 פרקים'!F$23+' שאיפה  2020 פרקים'!F$32+'החברה לתירות 2020 פרקים'!F$16+' מינהל כללי 2020 פרקים'!F$12</f>
        <v>151499955</v>
      </c>
      <c r="E8" s="65">
        <f>'הנדסה 2020 פרקים'!G$87+'החברה לפיתוח 2020 פרקים'!G$67+'החברה לפיתוח 2020 פרקים'!G$72+'אגף ת.ב.ל 2020 פרקים'!G$23+' שאיפה  2020 פרקים'!G$32+'החברה לתירות 2020 פרקים'!G$16+' מינהל כללי 2020 פרקים'!G$12</f>
        <v>1080044388</v>
      </c>
      <c r="F8" s="65">
        <f>'הנדסה 2020 פרקים'!H$87+'החברה לפיתוח 2020 פרקים'!H$67+'החברה לפיתוח 2020 פרקים'!H$72+'אגף ת.ב.ל 2020 פרקים'!H$23+' שאיפה  2020 פרקים'!H$32+'החברה לתירות 2020 פרקים'!H$16+' מינהל כללי 2020 פרקים'!H$12</f>
        <v>875208831.34000003</v>
      </c>
      <c r="G8" s="65">
        <f>'הנדסה 2020 פרקים'!I$87+'החברה לפיתוח 2020 פרקים'!I$67+'החברה לפיתוח 2020 פרקים'!I$72+'אגף ת.ב.ל 2020 פרקים'!I$23+' שאיפה  2020 פרקים'!I$32+'החברה לתירות 2020 פרקים'!I$16+' מינהל כללי 2020 פרקים'!I$12</f>
        <v>7465640.3800000008</v>
      </c>
      <c r="H8" s="65">
        <f>'הנדסה 2020 פרקים'!J$87+'החברה לפיתוח 2020 פרקים'!J$67+'החברה לפיתוח 2020 פרקים'!J$72+'אגף ת.ב.ל 2020 פרקים'!J$23+' שאיפה  2020 פרקים'!J$32+'החברה לתירות 2020 פרקים'!J$16+' מינהל כללי 2020 פרקים'!J$12</f>
        <v>65534730.869999982</v>
      </c>
      <c r="I8" s="65">
        <f>'הנדסה 2020 פרקים'!K$87+'החברה לפיתוח 2020 פרקים'!K$67+'החברה לפיתוח 2020 פרקים'!K$72+'אגף ת.ב.ל 2020 פרקים'!K$23+' שאיפה  2020 פרקים'!K$32+'החברה לתירות 2020 פרקים'!K$16+' מינהל כללי 2020 פרקים'!K$12</f>
        <v>73000371.25</v>
      </c>
      <c r="J8" s="65">
        <f>'הנדסה 2020 פרקים'!L$87+'החברה לפיתוח 2020 פרקים'!L$67+'החברה לפיתוח 2020 פרקים'!L$72+'אגף ת.ב.ל 2020 פרקים'!L$23+' שאיפה  2020 פרקים'!L$32+'החברה לתירות 2020 פרקים'!L$16+' מינהל כללי 2020 פרקים'!L$12</f>
        <v>948209202.58999979</v>
      </c>
      <c r="K8" s="65">
        <f>'הנדסה 2020 פרקים'!M$87+'החברה לפיתוח 2020 פרקים'!M$67+'החברה לפיתוח 2020 פרקים'!M$72+'אגף ת.ב.ל 2020 פרקים'!M$23+' שאיפה  2020 פרקים'!M$32+'החברה לתירות 2020 פרקים'!M$16+' מינהל כללי 2020 פרקים'!M$12</f>
        <v>213441391.41000006</v>
      </c>
      <c r="L8" s="65">
        <f>'הנדסה 2020 פרקים'!N$87+'החברה לפיתוח 2020 פרקים'!N$67+'החברה לפיתוח 2020 פרקים'!N$72+'אגף ת.ב.ל 2020 פרקים'!N$23+' שאיפה  2020 פרקים'!N$32+'החברה לתירות 2020 פרקים'!N$16+' מינהל כללי 2020 פרקים'!N$12</f>
        <v>163581362</v>
      </c>
      <c r="M8" s="65">
        <f>'הנדסה 2020 פרקים'!O$87+'החברה לפיתוח 2020 פרקים'!O$67+'החברה לפיתוח 2020 פרקים'!O$72+'אגף ת.ב.ל 2020 פרקים'!O$23+' שאיפה  2020 פרקים'!O$32+'החברה לתירות 2020 פרקים'!O$16+' מינהל כללי 2020 פרקים'!O$12</f>
        <v>831130357</v>
      </c>
      <c r="N8" s="65">
        <f>'הנדסה 2020 פרקים'!P$87+'החברה לפיתוח 2020 פרקים'!P$67+'החברה לפיתוח 2020 פרקים'!P$72+'אגף ת.ב.ל 2020 פרקים'!P$23+' שאיפה  2020 פרקים'!P$32+'החברה לתירות 2020 פרקים'!P$16+' מינהל כללי 2020 פרקים'!P$12</f>
        <v>131835185.41000001</v>
      </c>
      <c r="O8" s="65">
        <f>'הנדסה 2020 פרקים'!Q$87+'החברה לפיתוח 2020 פרקים'!Q$67+'החברה לפיתוח 2020 פרקים'!Q$72+'אגף ת.ב.ל 2020 פרקים'!Q$23+' שאיפה  2020 פרקים'!Q$32+'החברה לתירות 2020 פרקים'!Q$16+' מינהל כללי 2020 פרקים'!Q$12</f>
        <v>89746251</v>
      </c>
      <c r="P8" s="65">
        <f>'הנדסה 2020 פרקים'!R$87+'החברה לפיתוח 2020 פרקים'!R$67+'החברה לפיתוח 2020 פרקים'!R$72+'אגף ת.ב.ל 2020 פרקים'!R$23+' שאיפה  2020 פרקים'!R$32+'החברה לתירות 2020 פרקים'!R$16+' מינהל כללי 2020 פרקים'!R$12</f>
        <v>1810000</v>
      </c>
      <c r="Q8" s="65">
        <f>'הנדסה 2020 פרקים'!S$87+'החברה לפיתוח 2020 פרקים'!S$67+'החברה לפיתוח 2020 פרקים'!S$72+'אגף ת.ב.ל 2020 פרקים'!S$23+' שאיפה  2020 פרקים'!S$32+'החברה לתירות 2020 פרקים'!S$16+' מינהל כללי 2020 פרקים'!S$12</f>
        <v>91556251</v>
      </c>
      <c r="R8" s="65">
        <f>'הנדסה 2020 פרקים'!T$87+'החברה לפיתוח 2020 פרקים'!T$67+'החברה לפיתוח 2020 פרקים'!T$72+'אגף ת.ב.ל 2020 פרקים'!T$23+' שאיפה  2020 פרקים'!T$32+'החברה לתירות 2020 פרקים'!T$16+' מינהל כללי 2020 פרקים'!T$12</f>
        <v>9950045</v>
      </c>
      <c r="S8" s="65">
        <f>'הנדסה 2020 פרקים'!U$87+'החברה לפיתוח 2020 פרקים'!U$67+'החברה לפיתוח 2020 פרקים'!U$72+'אגף ת.ב.ל 2020 פרקים'!U$23+' שאיפה  2020 פרקים'!U$32+'החברה לתירות 2020 פרקים'!U$16+' מינהל כללי 2020 פרקים'!U$12</f>
        <v>153631317</v>
      </c>
      <c r="T8" s="65">
        <f>'הנדסה 2020 פרקים'!V$87+'החברה לפיתוח 2020 פרקים'!V$67+'החברה לפיתוח 2020 פרקים'!V$72+'אגף ת.ב.ל 2020 פרקים'!V$23+' שאיפה  2020 פרקים'!V$32+'החברה לתירות 2020 פרקים'!V$16+' מינהל כללי 2020 פרקים'!V$12</f>
        <v>79223415</v>
      </c>
      <c r="U8" s="65">
        <f>'הנדסה 2020 פרקים'!W$87+'החברה לפיתוח 2020 פרקים'!W$67+'החברה לפיתוח 2020 פרקים'!W$72+'אגף ת.ב.ל 2020 פרקים'!W$23+' שאיפה  2020 פרקים'!W$32+'החברה לתירות 2020 פרקים'!W$16+' מינהל כללי 2020 פרקים'!W$12</f>
        <v>20309029</v>
      </c>
      <c r="V8" s="65">
        <f>'הנדסה 2020 פרקים'!X$87+'החברה לפיתוח 2020 פרקים'!X$67+'החברה לפיתוח 2020 פרקים'!X$72+'אגף ת.ב.ל 2020 פרקים'!X$23+' שאיפה  2020 פרקים'!X$32+'החברה לתירות 2020 פרקים'!X$16+' מינהל כללי 2020 פרקים'!X$12</f>
        <v>0</v>
      </c>
      <c r="W8" s="65">
        <f>'הנדסה 2020 פרקים'!Y$87+'החברה לפיתוח 2020 פרקים'!Y$67+'החברה לפיתוח 2020 פרקים'!Y$72+'אגף ת.ב.ל 2020 פרקים'!Y$23+' שאיפה  2020 פרקים'!Y$32+'החברה לתירות 2020 פרקים'!Y$16+' מינהל כללי 2020 פרקים'!Y$12</f>
        <v>2356686</v>
      </c>
      <c r="X8" s="65">
        <f>'הנדסה 2020 פרקים'!Z$87+'החברה לפיתוח 2020 פרקים'!Z$67+'החברה לפיתוח 2020 פרקים'!Z$72+'אגף ת.ב.ל 2020 פרקים'!Z$23+' שאיפה  2020 פרקים'!Z$32+'החברה לתירות 2020 פרקים'!Z$16+' מינהל כללי 2020 פרקים'!Z$12</f>
        <v>51742187</v>
      </c>
    </row>
    <row r="9" spans="1:25" s="67" customFormat="1" ht="27" customHeight="1">
      <c r="A9" s="311" t="s">
        <v>821</v>
      </c>
      <c r="B9" s="65">
        <f>'החברה לפיתוח 2020 פרקים'!D$70+' שאיפה  2020 פרקים'!D$34+'רשות החופים 2020 פרקים'!D$24</f>
        <v>50718620</v>
      </c>
      <c r="C9" s="65">
        <f>'החברה לפיתוח 2020 פרקים'!E$70+' שאיפה  2020 פרקים'!E$34+'רשות החופים 2020 פרקים'!E$24</f>
        <v>48683649</v>
      </c>
      <c r="D9" s="65">
        <f>'החברה לפיתוח 2020 פרקים'!F$70+' שאיפה  2020 פרקים'!F$34+'רשות החופים 2020 פרקים'!F$24</f>
        <v>2034971</v>
      </c>
      <c r="E9" s="65">
        <f>'החברה לפיתוח 2020 פרקים'!G$70+' שאיפה  2020 פרקים'!G$34+'רשות החופים 2020 פרקים'!G$24</f>
        <v>37448423</v>
      </c>
      <c r="F9" s="65">
        <f>'החברה לפיתוח 2020 פרקים'!H$70+' שאיפה  2020 פרקים'!H$34+'רשות החופים 2020 פרקים'!H$24</f>
        <v>33901295.759999998</v>
      </c>
      <c r="G9" s="65">
        <f>'החברה לפיתוח 2020 פרקים'!I$70+' שאיפה  2020 פרקים'!I$34+'רשות החופים 2020 פרקים'!I$24</f>
        <v>364325.79</v>
      </c>
      <c r="H9" s="65">
        <f>'החברה לפיתוח 2020 פרקים'!J$70+' שאיפה  2020 פרקים'!J$34+'רשות החופים 2020 פרקים'!J$24</f>
        <v>834456.33000000007</v>
      </c>
      <c r="I9" s="65">
        <f>'החברה לפיתוח 2020 פרקים'!K$70+' שאיפה  2020 פרקים'!K$34+'רשות החופים 2020 פרקים'!K$24</f>
        <v>1198782.1200000001</v>
      </c>
      <c r="J9" s="65">
        <f>'החברה לפיתוח 2020 פרקים'!L$70+' שאיפה  2020 פרקים'!L$34+'רשות החופים 2020 פרקים'!L$24</f>
        <v>35100077.880000003</v>
      </c>
      <c r="K9" s="65">
        <f>'החברה לפיתוח 2020 פרקים'!M$70+' שאיפה  2020 פרקים'!M$34+'רשות החופים 2020 פרקים'!M$24</f>
        <v>3118542.1199999992</v>
      </c>
      <c r="L9" s="65">
        <f>'החברה לפיתוח 2020 פרקים'!N$70+' שאיפה  2020 פרקים'!N$34+'רשות החופים 2020 פרקים'!N$24</f>
        <v>2300000</v>
      </c>
      <c r="M9" s="65">
        <f>'החברה לפיתוח 2020 פרקים'!O$70+' שאיפה  2020 פרקים'!O$34+'רשות החופים 2020 פרקים'!O$24</f>
        <v>10200000</v>
      </c>
      <c r="N9" s="65">
        <f>'החברה לפיתוח 2020 פרקים'!P$70+' שאיפה  2020 פרקים'!P$34+'רשות החופים 2020 פרקים'!P$24</f>
        <v>2348345.1199999992</v>
      </c>
      <c r="O9" s="65">
        <f>'החברה לפיתוח 2020 פרקים'!Q$70+' שאיפה  2020 פרקים'!Q$34+'רשות החופים 2020 פרקים'!Q$24</f>
        <v>650000</v>
      </c>
      <c r="P9" s="65">
        <f>'החברה לפיתוח 2020 פרקים'!R$70+' שאיפה  2020 פרקים'!R$34+'רשות החופים 2020 פרקים'!R$24</f>
        <v>185226</v>
      </c>
      <c r="Q9" s="65">
        <f>'החברה לפיתוח 2020 פרקים'!S$70+' שאיפה  2020 פרקים'!S$34+'רשות החופים 2020 פרקים'!S$24</f>
        <v>835226</v>
      </c>
      <c r="R9" s="65">
        <f>'החברה לפיתוח 2020 פרקים'!T$70+' שאיפה  2020 פרקים'!T$34+'רשות החופים 2020 פרקים'!T$24</f>
        <v>65029</v>
      </c>
      <c r="S9" s="65">
        <f>'החברה לפיתוח 2020 פרקים'!U$70+' שאיפה  2020 פרקים'!U$34+'רשות החופים 2020 פרקים'!U$24</f>
        <v>2234971</v>
      </c>
      <c r="T9" s="65">
        <f>'החברה לפיתוח 2020 פרקים'!V$70+' שאיפה  2020 פרקים'!V$34+'רשות החופים 2020 פרקים'!V$24</f>
        <v>300000</v>
      </c>
      <c r="U9" s="65">
        <f>'החברה לפיתוח 2020 פרקים'!W$70+' שאיפה  2020 פרקים'!W$34+'רשות החופים 2020 פרקים'!W$24</f>
        <v>1906971</v>
      </c>
      <c r="V9" s="65">
        <f>'החברה לפיתוח 2020 פרקים'!X$70+' שאיפה  2020 פרקים'!X$34+'רשות החופים 2020 פרקים'!X$24</f>
        <v>0</v>
      </c>
      <c r="W9" s="65">
        <f>'החברה לפיתוח 2020 פרקים'!Y$70+' שאיפה  2020 פרקים'!Y$34+'רשות החופים 2020 פרקים'!Y$24</f>
        <v>0</v>
      </c>
      <c r="X9" s="65">
        <f>'החברה לפיתוח 2020 פרקים'!Z$70+' שאיפה  2020 פרקים'!Z$34+'רשות החופים 2020 פרקים'!Z$24</f>
        <v>28000</v>
      </c>
    </row>
    <row r="10" spans="1:25" s="67" customFormat="1" ht="27" customHeight="1">
      <c r="A10" s="10" t="s">
        <v>822</v>
      </c>
      <c r="B10" s="65">
        <f>'הנדסה 2020 פרקים'!D$89+'החברה לפיתוח 2020 פרקים'!D$74+' שאיפה  2020 פרקים'!D$36+' תקשוב 2020 פרקים'!D$15+' מינהל כללי 2020 פרקים'!D$15+'אגף ת.ב.ל 2020 פרקים'!D$11+'בטחון פיקוח סד"צ 2020 פרקים'!D$9+' תקשוב 2020 פרקים'!D$9</f>
        <v>111398000</v>
      </c>
      <c r="C10" s="65">
        <f>'הנדסה 2020 פרקים'!E$89+'החברה לפיתוח 2020 פרקים'!E$74+' שאיפה  2020 פרקים'!E$36+' תקשוב 2020 פרקים'!E$15+' מינהל כללי 2020 פרקים'!E$15+'אגף ת.ב.ל 2020 פרקים'!E$11+'בטחון פיקוח סד"צ 2020 פרקים'!E$9+' תקשוב 2020 פרקים'!E$9</f>
        <v>105878000</v>
      </c>
      <c r="D10" s="65">
        <f>'הנדסה 2020 פרקים'!F$89+'החברה לפיתוח 2020 פרקים'!F$74+' שאיפה  2020 פרקים'!F$36+' תקשוב 2020 פרקים'!F$15+' מינהל כללי 2020 פרקים'!F$15+'אגף ת.ב.ל 2020 פרקים'!F$11+'בטחון פיקוח סד"צ 2020 פרקים'!F$9+' תקשוב 2020 פרקים'!F$9</f>
        <v>5520000</v>
      </c>
      <c r="E10" s="65">
        <f>'הנדסה 2020 פרקים'!G$89+'החברה לפיתוח 2020 פרקים'!G$74+' שאיפה  2020 פרקים'!G$36+' תקשוב 2020 פרקים'!G$15+' מינהל כללי 2020 פרקים'!G$15+'אגף ת.ב.ל 2020 פרקים'!G$11+'בטחון פיקוח סד"צ 2020 פרקים'!G$9+' תקשוב 2020 פרקים'!G$9</f>
        <v>86538000</v>
      </c>
      <c r="F10" s="65">
        <f>'הנדסה 2020 פרקים'!H$89+'החברה לפיתוח 2020 פרקים'!H$74+' שאיפה  2020 פרקים'!H$36+' תקשוב 2020 פרקים'!H$15+' מינהל כללי 2020 פרקים'!H$15+'אגף ת.ב.ל 2020 פרקים'!H$11+'בטחון פיקוח סד"צ 2020 פרקים'!H$9+' תקשוב 2020 פרקים'!H$9</f>
        <v>66850289.280000001</v>
      </c>
      <c r="G10" s="65">
        <f>'הנדסה 2020 פרקים'!I$89+'החברה לפיתוח 2020 פרקים'!I$74+' שאיפה  2020 פרקים'!I$36+' תקשוב 2020 פרקים'!I$15+' מינהל כללי 2020 פרקים'!I$15+'אגף ת.ב.ל 2020 פרקים'!I$11+'בטחון פיקוח סד"צ 2020 פרקים'!I$9+' תקשוב 2020 פרקים'!I$9</f>
        <v>1319227.98</v>
      </c>
      <c r="H10" s="65">
        <f>'הנדסה 2020 פרקים'!J$89+'החברה לפיתוח 2020 פרקים'!J$74+' שאיפה  2020 פרקים'!J$36+' תקשוב 2020 פרקים'!J$15+' מינהל כללי 2020 פרקים'!J$15+'אגף ת.ב.ל 2020 פרקים'!J$11+'בטחון פיקוח סד"צ 2020 פרקים'!J$9+' תקשוב 2020 פרקים'!J$9</f>
        <v>8636947.2100000009</v>
      </c>
      <c r="I10" s="65">
        <f>'הנדסה 2020 פרקים'!K$89+'החברה לפיתוח 2020 פרקים'!K$74+' שאיפה  2020 פרקים'!K$36+' תקשוב 2020 פרקים'!K$15+' מינהל כללי 2020 פרקים'!K$15+'אגף ת.ב.ל 2020 פרקים'!K$11+'בטחון פיקוח סד"צ 2020 פרקים'!K$9+' תקשוב 2020 פרקים'!K$9</f>
        <v>9956175.1900000013</v>
      </c>
      <c r="J10" s="65">
        <f>'הנדסה 2020 פרקים'!L$89+'החברה לפיתוח 2020 פרקים'!L$74+' שאיפה  2020 פרקים'!L$36+' תקשוב 2020 פרקים'!L$15+' מינהל כללי 2020 פרקים'!L$15+'אגף ת.ב.ל 2020 פרקים'!L$11+'בטחון פיקוח סד"צ 2020 פרקים'!L$9+' תקשוב 2020 פרקים'!L$9</f>
        <v>76806464.469999999</v>
      </c>
      <c r="K10" s="65">
        <f>'הנדסה 2020 פרקים'!M$89+'החברה לפיתוח 2020 פרקים'!M$74+' שאיפה  2020 פרקים'!M$36+' תקשוב 2020 פרקים'!M$15+' מינהל כללי 2020 פרקים'!M$15+'אגף ת.ב.ל 2020 פרקים'!M$11+'בטחון פיקוח סד"צ 2020 פרקים'!M$9+' תקשוב 2020 פרקים'!M$9</f>
        <v>10051535.529999997</v>
      </c>
      <c r="L10" s="65">
        <f>'הנדסה 2020 פרקים'!N$89+'החברה לפיתוח 2020 פרקים'!N$74+' שאיפה  2020 פרקים'!N$36+' תקשוב 2020 פרקים'!N$15+' מינהל כללי 2020 פרקים'!N$15+'אגף ת.ב.ל 2020 פרקים'!N$11+'בטחון פיקוח סד"צ 2020 פרקים'!N$9+' תקשוב 2020 פרקים'!N$9</f>
        <v>17800000</v>
      </c>
      <c r="M10" s="65">
        <f>'הנדסה 2020 פרקים'!O$89+'החברה לפיתוח 2020 פרקים'!O$74+' שאיפה  2020 פרקים'!O$36+' תקשוב 2020 פרקים'!O$15+' מינהל כללי 2020 פרקים'!O$15+'אגף ת.ב.ל 2020 פרקים'!O$11+'בטחון פיקוח סד"צ 2020 פרקים'!O$9+' תקשוב 2020 פרקים'!O$9</f>
        <v>6740000</v>
      </c>
      <c r="N10" s="65">
        <f>'הנדסה 2020 פרקים'!P$89+'החברה לפיתוח 2020 פרקים'!P$74+' שאיפה  2020 פרקים'!P$36+' תקשוב 2020 פרקים'!P$15+' מינהל כללי 2020 פרקים'!P$15+'אגף ת.ב.ל 2020 פרקים'!P$11+'בטחון פיקוח סד"צ 2020 פרקים'!P$9+' תקשוב 2020 פרקים'!P$9</f>
        <v>9731535.5299999975</v>
      </c>
      <c r="O10" s="65">
        <f>'הנדסה 2020 פרקים'!Q$89+'החברה לפיתוח 2020 פרקים'!Q$74+' שאיפה  2020 פרקים'!Q$36+' תקשוב 2020 פרקים'!Q$15+' מינהל כללי 2020 פרקים'!Q$15+'אגף ת.ב.ל 2020 פרקים'!Q$11+'בטחון פיקוח סד"צ 2020 פרקים'!Q$9+' תקשוב 2020 פרקים'!Q$9</f>
        <v>900000</v>
      </c>
      <c r="P10" s="65">
        <f>'הנדסה 2020 פרקים'!R$89+'החברה לפיתוח 2020 פרקים'!R$74+' שאיפה  2020 פרקים'!R$36+' תקשוב 2020 פרקים'!R$15+' מינהל כללי 2020 פרקים'!R$15+'אגף ת.ב.ל 2020 פרקים'!R$11+'בטחון פיקוח סד"צ 2020 פרקים'!R$9+' תקשוב 2020 פרקים'!R$9</f>
        <v>620000</v>
      </c>
      <c r="Q10" s="65">
        <f>'הנדסה 2020 פרקים'!S$89+'החברה לפיתוח 2020 פרקים'!S$74+' שאיפה  2020 פרקים'!S$36+' תקשוב 2020 פרקים'!S$15+' מינהל כללי 2020 פרקים'!S$15+'אגף ת.ב.ל 2020 פרקים'!S$11+'בטחון פיקוח סד"צ 2020 פרקים'!S$9+' תקשוב 2020 פרקים'!S$9</f>
        <v>1520000</v>
      </c>
      <c r="R10" s="65">
        <f>'הנדסה 2020 פרקים'!T$89+'החברה לפיתוח 2020 פרקים'!T$74+' שאיפה  2020 פרקים'!T$36+' תקשוב 2020 פרקים'!T$15+' מינהל כללי 2020 פרקים'!T$15+'אגף ת.ב.ל 2020 פרקים'!T$11+'בטחון פיקוח סד"צ 2020 פרקים'!T$9+' תקשוב 2020 פרקים'!T$9</f>
        <v>1200000</v>
      </c>
      <c r="S10" s="65">
        <f>'הנדסה 2020 פרקים'!U$89+'החברה לפיתוח 2020 פרקים'!U$74+' שאיפה  2020 פרקים'!U$36+' תקשוב 2020 פרקים'!U$15+' מינהל כללי 2020 פרקים'!U$15+'אגף ת.ב.ל 2020 פרקים'!U$11+'בטחון פיקוח סד"צ 2020 פרקים'!U$9+' תקשוב 2020 פרקים'!U$9</f>
        <v>16600000</v>
      </c>
      <c r="T10" s="65">
        <f>'הנדסה 2020 פרקים'!V$89+'החברה לפיתוח 2020 פרקים'!V$74+' שאיפה  2020 פרקים'!V$36+' תקשוב 2020 פרקים'!V$15+' מינהל כללי 2020 פרקים'!V$15+'אגף ת.ב.ל 2020 פרקים'!V$11+'בטחון פיקוח סד"צ 2020 פרקים'!V$9+' תקשוב 2020 פרקים'!V$9</f>
        <v>8100000</v>
      </c>
      <c r="U10" s="65">
        <f>'הנדסה 2020 פרקים'!W$89+'החברה לפיתוח 2020 פרקים'!W$74+' שאיפה  2020 פרקים'!W$36+' תקשוב 2020 פרקים'!W$15+' מינהל כללי 2020 פרקים'!W$15+'אגף ת.ב.ל 2020 פרקים'!W$11+'בטחון פיקוח סד"צ 2020 פרקים'!W$9+' תקשוב 2020 פרקים'!W$9</f>
        <v>7000000</v>
      </c>
      <c r="V10" s="65">
        <f>'הנדסה 2020 פרקים'!X$89+'החברה לפיתוח 2020 פרקים'!X$74+' שאיפה  2020 פרקים'!X$36+' תקשוב 2020 פרקים'!X$15+' מינהל כללי 2020 פרקים'!X$15+'אגף ת.ב.ל 2020 פרקים'!X$11+'בטחון פיקוח סד"צ 2020 פרקים'!X$9+' תקשוב 2020 פרקים'!X$9</f>
        <v>0</v>
      </c>
      <c r="W10" s="65">
        <f>'הנדסה 2020 פרקים'!Y$89+'החברה לפיתוח 2020 פרקים'!Y$74+' שאיפה  2020 פרקים'!Y$36+' תקשוב 2020 פרקים'!Y$15+' מינהל כללי 2020 פרקים'!Y$15+'אגף ת.ב.ל 2020 פרקים'!Y$11+'בטחון פיקוח סד"צ 2020 פרקים'!Y$9+' תקשוב 2020 פרקים'!Y$9</f>
        <v>0</v>
      </c>
      <c r="X10" s="65">
        <f>'הנדסה 2020 פרקים'!Z$89+'החברה לפיתוח 2020 פרקים'!Z$74+' שאיפה  2020 פרקים'!Z$36+' תקשוב 2020 פרקים'!Z$15+' מינהל כללי 2020 פרקים'!Z$15+'אגף ת.ב.ל 2020 פרקים'!Z$11+'בטחון פיקוח סד"צ 2020 פרקים'!Z$9+' תקשוב 2020 פרקים'!Z$9</f>
        <v>1500000</v>
      </c>
    </row>
    <row r="11" spans="1:25" s="67" customFormat="1" ht="27" customHeight="1">
      <c r="A11" s="311" t="s">
        <v>823</v>
      </c>
      <c r="B11" s="65">
        <f>'החברה לפיתוח 2020 פרקים'!D$98+'אגף ת.ב.ל 2020 פרקים'!D$48+' חינוך 2020 פרקים'!D$28+' שאיפה  2020 פרקים'!D$43+' תקשוב 2020 פרקים'!D$18</f>
        <v>1206057156</v>
      </c>
      <c r="C11" s="65">
        <f>'החברה לפיתוח 2020 פרקים'!E$98+'אגף ת.ב.ל 2020 פרקים'!E$48+' חינוך 2020 פרקים'!E$28+' שאיפה  2020 פרקים'!E$43+' תקשוב 2020 פרקים'!E$18</f>
        <v>1027671468</v>
      </c>
      <c r="D11" s="65">
        <f>'החברה לפיתוח 2020 פרקים'!F$98+'אגף ת.ב.ל 2020 פרקים'!F$48+' חינוך 2020 פרקים'!F$28+' שאיפה  2020 פרקים'!F$43+' תקשוב 2020 פרקים'!F$18</f>
        <v>178385688</v>
      </c>
      <c r="E11" s="65">
        <f>'החברה לפיתוח 2020 פרקים'!G$98+'אגף ת.ב.ל 2020 פרקים'!G$48+' חינוך 2020 פרקים'!G$28+' שאיפה  2020 פרקים'!G$43+' תקשוב 2020 פרקים'!G$18</f>
        <v>312718348</v>
      </c>
      <c r="F11" s="65">
        <f>'החברה לפיתוח 2020 פרקים'!H$98+'אגף ת.ב.ל 2020 פרקים'!H$48+' חינוך 2020 פרקים'!H$28+' שאיפה  2020 פרקים'!H$43+' תקשוב 2020 פרקים'!H$18</f>
        <v>202844231.46000001</v>
      </c>
      <c r="G11" s="65">
        <f>'החברה לפיתוח 2020 פרקים'!I$98+'אגף ת.ב.ל 2020 פרקים'!I$48+' חינוך 2020 פרקים'!I$28+' שאיפה  2020 פרקים'!I$43+' תקשוב 2020 פרקים'!I$18</f>
        <v>11804103.239999998</v>
      </c>
      <c r="H11" s="65">
        <f>'החברה לפיתוח 2020 פרקים'!J$98+'אגף ת.ב.ל 2020 פרקים'!J$48+' חינוך 2020 פרקים'!J$28+' שאיפה  2020 פרקים'!J$43+' תקשוב 2020 פרקים'!J$18</f>
        <v>26160106.280000001</v>
      </c>
      <c r="I11" s="65">
        <f>'החברה לפיתוח 2020 פרקים'!K$98+'אגף ת.ב.ל 2020 פרקים'!K$48+' חינוך 2020 פרקים'!K$28+' שאיפה  2020 פרקים'!K$43+' תקשוב 2020 פרקים'!K$18</f>
        <v>37964209.520000003</v>
      </c>
      <c r="J11" s="65">
        <f>'החברה לפיתוח 2020 פרקים'!L$98+'אגף ת.ב.ל 2020 פרקים'!L$48+' חינוך 2020 פרקים'!L$28+' שאיפה  2020 פרקים'!L$43+' תקשוב 2020 פרקים'!L$18</f>
        <v>240808440.98000002</v>
      </c>
      <c r="K11" s="65">
        <f>'החברה לפיתוח 2020 פרקים'!M$98+'אגף ת.ב.ל 2020 פרקים'!M$48+' חינוך 2020 פרקים'!M$28+' שאיפה  2020 פרקים'!M$43+' תקשוב 2020 פרקים'!M$18</f>
        <v>72099907.019999996</v>
      </c>
      <c r="L11" s="65">
        <f>'החברה לפיתוח 2020 פרקים'!N$98+'אגף ת.ב.ל 2020 פרקים'!N$48+' חינוך 2020 פרקים'!N$28+' שאיפה  2020 פרקים'!N$43+' תקשוב 2020 פרקים'!N$18</f>
        <v>241044971</v>
      </c>
      <c r="M11" s="65">
        <f>'החברה לפיתוח 2020 פרקים'!O$98+'אגף ת.ב.ל 2020 פרקים'!O$48+' חינוך 2020 פרקים'!O$28+' שאיפה  2020 פרקים'!O$43+' תקשוב 2020 פרקים'!O$18</f>
        <v>652103837</v>
      </c>
      <c r="N11" s="65">
        <f>'החברה לפיתוח 2020 פרקים'!P$98+'אגף ת.ב.ל 2020 פרקים'!P$48+' חינוך 2020 פרקים'!P$28+' שאיפה  2020 פרקים'!P$43+' תקשוב 2020 פרקים'!P$18</f>
        <v>71909907.019999996</v>
      </c>
      <c r="O11" s="65">
        <f>'החברה לפיתוח 2020 פרקים'!Q$98+'אגף ת.ב.ל 2020 פרקים'!Q$48+' חינוך 2020 פרקים'!Q$28+' שאיפה  2020 פרקים'!Q$43+' תקשוב 2020 פרקים'!Q$18</f>
        <v>25720000</v>
      </c>
      <c r="P11" s="65">
        <f>'החברה לפיתוח 2020 פרקים'!R$98+'אגף ת.ב.ל 2020 פרקים'!R$48+' חינוך 2020 פרקים'!R$28+' שאיפה  2020 פרקים'!R$43+' תקשוב 2020 פרקים'!R$18</f>
        <v>2320000</v>
      </c>
      <c r="Q11" s="65">
        <f>'החברה לפיתוח 2020 פרקים'!S$98+'אגף ת.ב.ל 2020 פרקים'!S$48+' חינוך 2020 פרקים'!S$28+' שאיפה  2020 פרקים'!S$43+' תקשוב 2020 פרקים'!S$18</f>
        <v>28040000</v>
      </c>
      <c r="R11" s="65">
        <f>'החברה לפיתוח 2020 פרקים'!T$98+'אגף ת.ב.ל 2020 פרקים'!T$48+' חינוך 2020 פרקים'!T$28+' שאיפה  2020 פרקים'!T$43+' תקשוב 2020 פרקים'!T$18</f>
        <v>27850000</v>
      </c>
      <c r="S11" s="65">
        <f>'החברה לפיתוח 2020 פרקים'!U$98+'אגף ת.ב.ל 2020 פרקים'!U$48+' חינוך 2020 פרקים'!U$28+' שאיפה  2020 פרקים'!U$43+' תקשוב 2020 פרקים'!U$18</f>
        <v>213194971</v>
      </c>
      <c r="T11" s="65">
        <f>'החברה לפיתוח 2020 פרקים'!V$98+'אגף ת.ב.ל 2020 פרקים'!V$48+' חינוך 2020 פרקים'!V$28+' שאיפה  2020 פרקים'!V$43+' תקשוב 2020 פרקים'!V$18</f>
        <v>41610000</v>
      </c>
      <c r="U11" s="65">
        <f>'החברה לפיתוח 2020 פרקים'!W$98+'אגף ת.ב.ל 2020 פרקים'!W$48+' חינוך 2020 פרקים'!W$28+' שאיפה  2020 פרקים'!W$43+' תקשוב 2020 פרקים'!W$18</f>
        <v>13787000</v>
      </c>
      <c r="V11" s="65">
        <f>'החברה לפיתוח 2020 פרקים'!X$98+'אגף ת.ב.ל 2020 פרקים'!X$48+' חינוך 2020 פרקים'!X$28+' שאיפה  2020 פרקים'!X$43+' תקשוב 2020 פרקים'!X$18</f>
        <v>0</v>
      </c>
      <c r="W11" s="65">
        <f>'החברה לפיתוח 2020 פרקים'!Y$98+'אגף ת.ב.ל 2020 פרקים'!Y$48+' חינוך 2020 פרקים'!Y$28+' שאיפה  2020 פרקים'!Y$43+' תקשוב 2020 פרקים'!Y$18</f>
        <v>98076671</v>
      </c>
      <c r="X11" s="65">
        <f>'החברה לפיתוח 2020 פרקים'!Z$98+'אגף ת.ב.ל 2020 פרקים'!Z$48+' חינוך 2020 פרקים'!Z$28+' שאיפה  2020 פרקים'!Z$43+' תקשוב 2020 פרקים'!Z$18</f>
        <v>59721300</v>
      </c>
    </row>
    <row r="12" spans="1:25" s="67" customFormat="1" ht="27" customHeight="1">
      <c r="A12" s="311" t="s">
        <v>824</v>
      </c>
      <c r="B12" s="65">
        <f>'החברה לפיתוח 2020 פרקים'!D$117+'אגף ת.ב.ל 2020 פרקים'!D$54+'תנוס 2020פרקים'!D$16+' שאיפה  2020 פרקים'!D$45</f>
        <v>355710229</v>
      </c>
      <c r="C12" s="65">
        <f>'החברה לפיתוח 2020 פרקים'!E$117+'אגף ת.ב.ל 2020 פרקים'!E$54+'תנוס 2020פרקים'!E$16+' שאיפה  2020 פרקים'!E$45</f>
        <v>310356000</v>
      </c>
      <c r="D12" s="65">
        <f>'החברה לפיתוח 2020 פרקים'!F$117+'אגף ת.ב.ל 2020 פרקים'!F$54+'תנוס 2020פרקים'!F$16+' שאיפה  2020 פרקים'!F$45</f>
        <v>45354229</v>
      </c>
      <c r="E12" s="65">
        <f>'החברה לפיתוח 2020 פרקים'!G$117+'אגף ת.ב.ל 2020 פרקים'!G$54+'תנוס 2020פרקים'!G$16+' שאיפה  2020 פרקים'!G$45</f>
        <v>96419000</v>
      </c>
      <c r="F12" s="65">
        <f>'החברה לפיתוח 2020 פרקים'!H$117+'אגף ת.ב.ל 2020 פרקים'!H$54+'תנוס 2020פרקים'!H$16+' שאיפה  2020 פרקים'!H$45</f>
        <v>72010283.859999985</v>
      </c>
      <c r="G12" s="65">
        <f>'החברה לפיתוח 2020 פרקים'!I$117+'אגף ת.ב.ל 2020 פרקים'!I$54+'תנוס 2020פרקים'!I$16+' שאיפה  2020 פרקים'!I$45</f>
        <v>5148</v>
      </c>
      <c r="H12" s="65">
        <f>'החברה לפיתוח 2020 פרקים'!J$117+'אגף ת.ב.ל 2020 פרקים'!J$54+'תנוס 2020פרקים'!J$16+' שאיפה  2020 פרקים'!J$45</f>
        <v>8772570.6999999993</v>
      </c>
      <c r="I12" s="65">
        <f>'החברה לפיתוח 2020 פרקים'!K$117+'אגף ת.ב.ל 2020 פרקים'!K$54+'תנוס 2020פרקים'!K$16+' שאיפה  2020 פרקים'!K$45</f>
        <v>8777718.6999999993</v>
      </c>
      <c r="J12" s="65">
        <f>'החברה לפיתוח 2020 פרקים'!L$117+'אגף ת.ב.ל 2020 פרקים'!L$54+'תנוס 2020פרקים'!L$16+' שאיפה  2020 פרקים'!L$45</f>
        <v>80788002.560000002</v>
      </c>
      <c r="K12" s="65">
        <f>'החברה לפיתוח 2020 פרקים'!M$117+'אגף ת.ב.ל 2020 פרקים'!M$54+'תנוס 2020פרקים'!M$16+' שאיפה  2020 פרקים'!M$45</f>
        <v>73986997.439999998</v>
      </c>
      <c r="L12" s="65">
        <f>'החברה לפיתוח 2020 פרקים'!N$117+'אגף ת.ב.ל 2020 פרקים'!N$54+'תנוס 2020פרקים'!N$16+' שאיפה  2020 פרקים'!N$45</f>
        <v>74377229</v>
      </c>
      <c r="M12" s="65">
        <f>'החברה לפיתוח 2020 פרקים'!O$117+'אגף ת.ב.ל 2020 פרקים'!O$54+'תנוס 2020פרקים'!O$16+' שאיפה  2020 פרקים'!O$45</f>
        <v>126558000</v>
      </c>
      <c r="N12" s="65">
        <f>'החברה לפיתוח 2020 פרקים'!P$117+'אגף ת.ב.ל 2020 פרקים'!P$54+'תנוס 2020פרקים'!P$16+' שאיפה  2020 פרקים'!P$45</f>
        <v>15630997.439999998</v>
      </c>
      <c r="O12" s="65">
        <f>'החברה לפיתוח 2020 פרקים'!Q$117+'אגף ת.ב.ל 2020 פרקים'!Q$54+'תנוס 2020פרקים'!Q$16+' שאיפה  2020 פרקים'!Q$45</f>
        <v>79436000</v>
      </c>
      <c r="P12" s="65">
        <f>'החברה לפיתוח 2020 פרקים'!R$117+'אגף ת.ב.ל 2020 פרקים'!R$54+'תנוס 2020פרקים'!R$16+' שאיפה  2020 פרקים'!R$45</f>
        <v>0</v>
      </c>
      <c r="Q12" s="65">
        <f>'החברה לפיתוח 2020 פרקים'!S$117+'אגף ת.ב.ל 2020 פרקים'!S$54+'תנוס 2020פרקים'!S$16+' שאיפה  2020 פרקים'!S$45</f>
        <v>79436000</v>
      </c>
      <c r="R12" s="65">
        <f>'החברה לפיתוח 2020 פרקים'!T$117+'אגף ת.ב.ל 2020 פרקים'!T$54+'תנוס 2020פרקים'!T$16+' שאיפה  2020 פרקים'!T$45</f>
        <v>21080000</v>
      </c>
      <c r="S12" s="65">
        <f>'החברה לפיתוח 2020 פרקים'!U$117+'אגף ת.ב.ל 2020 פרקים'!U$54+'תנוס 2020פרקים'!U$16+' שאיפה  2020 פרקים'!U$45</f>
        <v>53297229</v>
      </c>
      <c r="T12" s="65">
        <f>'החברה לפיתוח 2020 פרקים'!V$117+'אגף ת.ב.ל 2020 פרקים'!V$54+'תנוס 2020פרקים'!V$16+' שאיפה  2020 פרקים'!V$45</f>
        <v>47393391</v>
      </c>
      <c r="U12" s="65">
        <f>'החברה לפיתוח 2020 פרקים'!W$117+'אגף ת.ב.ל 2020 פרקים'!W$54+'תנוס 2020פרקים'!W$16+' שאיפה  2020 פרקים'!W$45</f>
        <v>2735000</v>
      </c>
      <c r="V12" s="65">
        <f>'החברה לפיתוח 2020 פרקים'!X$117+'אגף ת.ב.ל 2020 פרקים'!X$54+'תנוס 2020פרקים'!X$16+' שאיפה  2020 פרקים'!X$45</f>
        <v>0</v>
      </c>
      <c r="W12" s="65">
        <f>'החברה לפיתוח 2020 פרקים'!Y$117+'אגף ת.ב.ל 2020 פרקים'!Y$54+'תנוס 2020פרקים'!Y$16+' שאיפה  2020 פרקים'!Y$45</f>
        <v>0</v>
      </c>
      <c r="X12" s="65">
        <f>'החברה לפיתוח 2020 פרקים'!Z$117+'אגף ת.ב.ל 2020 פרקים'!Z$54+'תנוס 2020פרקים'!Z$16+' שאיפה  2020 פרקים'!Z$45</f>
        <v>3168838</v>
      </c>
    </row>
    <row r="13" spans="1:25" s="67" customFormat="1" ht="27" customHeight="1">
      <c r="A13" s="311" t="s">
        <v>829</v>
      </c>
      <c r="B13" s="65">
        <f>'החברה לפיתוח 2020 פרקים'!D$120+'אגף ת.ב.ל 2020 פרקים'!D$56+' מינהל כללי 2020 פרקים'!D$17</f>
        <v>13674000</v>
      </c>
      <c r="C13" s="65">
        <f>'החברה לפיתוח 2020 פרקים'!E$120+'אגף ת.ב.ל 2020 פרקים'!E$56+' מינהל כללי 2020 פרקים'!E$17</f>
        <v>11624000</v>
      </c>
      <c r="D13" s="65">
        <f>'החברה לפיתוח 2020 פרקים'!F$120+'אגף ת.ב.ל 2020 פרקים'!F$56+' מינהל כללי 2020 פרקים'!F$17</f>
        <v>2050000</v>
      </c>
      <c r="E13" s="65">
        <f>'החברה לפיתוח 2020 פרקים'!G$120+'אגף ת.ב.ל 2020 פרקים'!G$56+' מינהל כללי 2020 פרקים'!G$17</f>
        <v>1774000</v>
      </c>
      <c r="F13" s="65">
        <f>'החברה לפיתוח 2020 פרקים'!H$120+'אגף ת.ב.ל 2020 פרקים'!H$56+' מינהל כללי 2020 פרקים'!H$17</f>
        <v>539856.77</v>
      </c>
      <c r="G13" s="65">
        <f>'החברה לפיתוח 2020 פרקים'!I$120+'אגף ת.ב.ל 2020 פרקים'!I$56+' מינהל כללי 2020 פרקים'!I$17</f>
        <v>0</v>
      </c>
      <c r="H13" s="65">
        <f>'החברה לפיתוח 2020 פרקים'!J$120+'אגף ת.ב.ל 2020 פרקים'!J$56+' מינהל כללי 2020 פרקים'!J$17</f>
        <v>958233.69</v>
      </c>
      <c r="I13" s="65">
        <f>'החברה לפיתוח 2020 פרקים'!K$120+'אגף ת.ב.ל 2020 פרקים'!K$56+' מינהל כללי 2020 פרקים'!K$17</f>
        <v>958233.69</v>
      </c>
      <c r="J13" s="65">
        <f>'החברה לפיתוח 2020 פרקים'!L$120+'אגף ת.ב.ל 2020 פרקים'!L$56+' מינהל כללי 2020 פרקים'!L$17</f>
        <v>1498090.46</v>
      </c>
      <c r="K13" s="65">
        <f>'החברה לפיתוח 2020 פרקים'!M$120+'אגף ת.ב.ל 2020 פרקים'!M$56+' מינהל כללי 2020 פרקים'!M$17</f>
        <v>275909.53999999998</v>
      </c>
      <c r="L13" s="65">
        <f>'החברה לפיתוח 2020 פרקים'!N$120+'אגף ת.ב.ל 2020 פרקים'!N$56+' מינהל כללי 2020 פרקים'!N$17</f>
        <v>2550000</v>
      </c>
      <c r="M13" s="65">
        <f>'החברה לפיתוח 2020 פרקים'!O$120+'אגף ת.ב.ל 2020 פרקים'!O$56+' מינהל כללי 2020 פרקים'!O$17</f>
        <v>9350000</v>
      </c>
      <c r="N13" s="65">
        <f>'החברה לפיתוח 2020 פרקים'!P$120+'אגף ת.ב.ל 2020 פרקים'!P$56+' מינהל כללי 2020 פרקים'!P$17</f>
        <v>275909.53999999998</v>
      </c>
      <c r="O13" s="65">
        <f>'החברה לפיתוח 2020 פרקים'!Q$120+'אגף ת.ב.ל 2020 פרקים'!Q$56+' מינהל כללי 2020 פרקים'!Q$17</f>
        <v>0</v>
      </c>
      <c r="P13" s="65">
        <f>'החברה לפיתוח 2020 פרקים'!R$120+'אגף ת.ב.ל 2020 פרקים'!R$56+' מינהל כללי 2020 פרקים'!R$17</f>
        <v>0</v>
      </c>
      <c r="Q13" s="65">
        <f>'החברה לפיתוח 2020 פרקים'!S$120+'אגף ת.ב.ל 2020 פרקים'!S$56+' מינהל כללי 2020 פרקים'!S$17</f>
        <v>0</v>
      </c>
      <c r="R13" s="65">
        <f>'החברה לפיתוח 2020 פרקים'!T$120+'אגף ת.ב.ל 2020 פרקים'!T$56+' מינהל כללי 2020 פרקים'!T$17</f>
        <v>0</v>
      </c>
      <c r="S13" s="65">
        <f>'החברה לפיתוח 2020 פרקים'!U$120+'אגף ת.ב.ל 2020 פרקים'!U$56+' מינהל כללי 2020 פרקים'!U$17</f>
        <v>2550000</v>
      </c>
      <c r="T13" s="65">
        <f>'החברה לפיתוח 2020 פרקים'!V$120+'אגף ת.ב.ל 2020 פרקים'!V$56+' מינהל כללי 2020 פרקים'!V$17</f>
        <v>2550000</v>
      </c>
      <c r="U13" s="65">
        <f>'החברה לפיתוח 2020 פרקים'!W$120+'אגף ת.ב.ל 2020 פרקים'!W$56+' מינהל כללי 2020 פרקים'!W$17</f>
        <v>0</v>
      </c>
      <c r="V13" s="65">
        <f>'החברה לפיתוח 2020 פרקים'!X$120+'אגף ת.ב.ל 2020 פרקים'!X$56+' מינהל כללי 2020 פרקים'!X$17</f>
        <v>0</v>
      </c>
      <c r="W13" s="65">
        <f>'החברה לפיתוח 2020 פרקים'!Y$120+'אגף ת.ב.ל 2020 פרקים'!Y$56+' מינהל כללי 2020 פרקים'!Y$17</f>
        <v>0</v>
      </c>
      <c r="X13" s="65">
        <f>'החברה לפיתוח 2020 פרקים'!Z$120+'אגף ת.ב.ל 2020 פרקים'!Z$56+' מינהל כללי 2020 פרקים'!Z$17</f>
        <v>0</v>
      </c>
    </row>
    <row r="14" spans="1:25" s="67" customFormat="1" ht="27" customHeight="1">
      <c r="A14" s="10" t="s">
        <v>825</v>
      </c>
      <c r="B14" s="65">
        <f>'החברה לפיתוח 2020 פרקים'!D$126+'אגף ת.ב.ל 2020 פרקים'!D$64</f>
        <v>23210000</v>
      </c>
      <c r="C14" s="65">
        <f>'החברה לפיתוח 2020 פרקים'!E$126+'אגף ת.ב.ל 2020 פרקים'!E$64</f>
        <v>22710000</v>
      </c>
      <c r="D14" s="65">
        <f>'החברה לפיתוח 2020 פרקים'!F$126+'אגף ת.ב.ל 2020 פרקים'!F$64</f>
        <v>500000</v>
      </c>
      <c r="E14" s="65">
        <f>'החברה לפיתוח 2020 פרקים'!G$126+'אגף ת.ב.ל 2020 פרקים'!G$64</f>
        <v>13260000</v>
      </c>
      <c r="F14" s="65">
        <f>'החברה לפיתוח 2020 פרקים'!H$126+'אגף ת.ב.ל 2020 פרקים'!H$64</f>
        <v>9225475.4000000004</v>
      </c>
      <c r="G14" s="65">
        <f>'החברה לפיתוח 2020 פרקים'!I$126+'אגף ת.ב.ל 2020 פרקים'!I$64</f>
        <v>224843.06</v>
      </c>
      <c r="H14" s="65">
        <f>'החברה לפיתוח 2020 פרקים'!J$126+'אגף ת.ב.ל 2020 פרקים'!J$64</f>
        <v>498902.09</v>
      </c>
      <c r="I14" s="65">
        <f>'החברה לפיתוח 2020 פרקים'!K$126+'אגף ת.ב.ל 2020 פרקים'!K$64</f>
        <v>723745.15</v>
      </c>
      <c r="J14" s="65">
        <f>'החברה לפיתוח 2020 פרקים'!L$126+'אגף ת.ב.ל 2020 פרקים'!L$64</f>
        <v>9949220.5500000007</v>
      </c>
      <c r="K14" s="65">
        <f>'החברה לפיתוח 2020 פרקים'!M$126+'אגף ת.ב.ל 2020 פרקים'!M$64</f>
        <v>4260779.4499999993</v>
      </c>
      <c r="L14" s="65">
        <f>'החברה לפיתוח 2020 פרקים'!N$126+'אגף ת.ב.ל 2020 פרקים'!N$64</f>
        <v>1300000</v>
      </c>
      <c r="M14" s="65">
        <f>'החברה לפיתוח 2020 פרקים'!O$126+'אגף ת.ב.ל 2020 פרקים'!O$64</f>
        <v>7700000</v>
      </c>
      <c r="N14" s="65">
        <f>'החברה לפיתוח 2020 פרקים'!P$126+'אגף ת.ב.ל 2020 פרקים'!P$64</f>
        <v>3310779.4499999997</v>
      </c>
      <c r="O14" s="65">
        <f>'החברה לפיתוח 2020 פרקים'!Q$126+'אגף ת.ב.ל 2020 פרקים'!Q$64</f>
        <v>1200000</v>
      </c>
      <c r="P14" s="65">
        <f>'החברה לפיתוח 2020 פרקים'!R$126+'אגף ת.ב.ל 2020 פרקים'!R$64</f>
        <v>0</v>
      </c>
      <c r="Q14" s="65">
        <f>'החברה לפיתוח 2020 פרקים'!S$126+'אגף ת.ב.ל 2020 פרקים'!S$64</f>
        <v>1200000</v>
      </c>
      <c r="R14" s="65">
        <f>'החברה לפיתוח 2020 פרקים'!T$126+'אגף ת.ב.ל 2020 פרקים'!T$64</f>
        <v>250000</v>
      </c>
      <c r="S14" s="65">
        <f>'החברה לפיתוח 2020 פרקים'!U$126+'אגף ת.ב.ל 2020 פרקים'!U$64</f>
        <v>1050000</v>
      </c>
      <c r="T14" s="65">
        <f>'החברה לפיתוח 2020 פרקים'!V$126+'אגף ת.ב.ל 2020 פרקים'!V$64</f>
        <v>550000</v>
      </c>
      <c r="U14" s="65">
        <f>'החברה לפיתוח 2020 פרקים'!W$126+'אגף ת.ב.ל 2020 פרקים'!W$64</f>
        <v>500000</v>
      </c>
      <c r="V14" s="65">
        <f>'החברה לפיתוח 2020 פרקים'!X$126+'אגף ת.ב.ל 2020 פרקים'!X$64</f>
        <v>0</v>
      </c>
      <c r="W14" s="65">
        <f>'החברה לפיתוח 2020 פרקים'!Y$126+'אגף ת.ב.ל 2020 פרקים'!Y$64</f>
        <v>0</v>
      </c>
      <c r="X14" s="65">
        <f>'החברה לפיתוח 2020 פרקים'!Z$126+'אגף ת.ב.ל 2020 פרקים'!Z$64</f>
        <v>0</v>
      </c>
    </row>
    <row r="15" spans="1:25" s="67" customFormat="1" ht="27" customHeight="1">
      <c r="A15" s="311" t="s">
        <v>826</v>
      </c>
      <c r="B15" s="65">
        <f>'החברה לפיתוח 2020 פרקים'!D$128+'אגף ת.ב.ל 2020 פרקים'!D$69+' שאיפה  2020 פרקים'!D$56</f>
        <v>34324559</v>
      </c>
      <c r="C15" s="65">
        <f>'החברה לפיתוח 2020 פרקים'!E$128+'אגף ת.ב.ל 2020 פרקים'!E$69+' שאיפה  2020 פרקים'!E$56</f>
        <v>23419559</v>
      </c>
      <c r="D15" s="65">
        <f>'החברה לפיתוח 2020 פרקים'!F$128+'אגף ת.ב.ל 2020 פרקים'!F$69+' שאיפה  2020 פרקים'!F$56</f>
        <v>10905000</v>
      </c>
      <c r="E15" s="65">
        <f>'החברה לפיתוח 2020 פרקים'!G$128+'אגף ת.ב.ל 2020 פרקים'!G$69+' שאיפה  2020 פרקים'!G$56</f>
        <v>10410559</v>
      </c>
      <c r="F15" s="65">
        <f>'החברה לפיתוח 2020 פרקים'!H$128+'אגף ת.ב.ל 2020 פרקים'!H$69+' שאיפה  2020 פרקים'!H$56</f>
        <v>2205650.06</v>
      </c>
      <c r="G15" s="65">
        <f>'החברה לפיתוח 2020 פרקים'!I$128+'אגף ת.ב.ל 2020 פרקים'!I$69+' שאיפה  2020 פרקים'!I$56</f>
        <v>0</v>
      </c>
      <c r="H15" s="65">
        <f>'החברה לפיתוח 2020 פרקים'!J$128+'אגף ת.ב.ל 2020 פרקים'!J$69+' שאיפה  2020 פרקים'!J$56</f>
        <v>1418691.07</v>
      </c>
      <c r="I15" s="65">
        <f>'החברה לפיתוח 2020 פרקים'!K$128+'אגף ת.ב.ל 2020 פרקים'!K$69+' שאיפה  2020 פרקים'!K$56</f>
        <v>1418691.07</v>
      </c>
      <c r="J15" s="65">
        <f>'החברה לפיתוח 2020 פרקים'!L$128+'אגף ת.ב.ל 2020 פרקים'!L$69+' שאיפה  2020 פרקים'!L$56</f>
        <v>3624341.13</v>
      </c>
      <c r="K15" s="65">
        <f>'החברה לפיתוח 2020 פרקים'!M$128+'אגף ת.ב.ל 2020 פרקים'!M$69+' שאיפה  2020 פרקים'!M$56</f>
        <v>8326217.8700000001</v>
      </c>
      <c r="L15" s="65">
        <f>'החברה לפיתוח 2020 פרקים'!N$128+'אגף ת.ב.ל 2020 פרקים'!N$69+' שאיפה  2020 פרקים'!N$56</f>
        <v>10600000</v>
      </c>
      <c r="M15" s="65">
        <f>'החברה לפיתוח 2020 פרקים'!O$128+'אגף ת.ב.ל 2020 פרקים'!O$69+' שאיפה  2020 פרקים'!O$56</f>
        <v>11774000</v>
      </c>
      <c r="N15" s="65">
        <f>'החברה לפיתוח 2020 פרקים'!P$128+'אגף ת.ב.ל 2020 פרקים'!P$69+' שאיפה  2020 פרקים'!P$56</f>
        <v>6786217.8700000001</v>
      </c>
      <c r="O15" s="65">
        <f>'החברה לפיתוח 2020 פרקים'!Q$128+'אגף ת.ב.ל 2020 פרקים'!Q$69+' שאיפה  2020 פרקים'!Q$56</f>
        <v>1840000</v>
      </c>
      <c r="P15" s="65">
        <f>'החברה לפיתוח 2020 פרקים'!R$128+'אגף ת.ב.ל 2020 פרקים'!R$69+' שאיפה  2020 פרקים'!R$56</f>
        <v>0</v>
      </c>
      <c r="Q15" s="65">
        <f>'החברה לפיתוח 2020 פרקים'!S$128+'אגף ת.ב.ל 2020 פרקים'!S$69+' שאיפה  2020 פרקים'!S$56</f>
        <v>1840000</v>
      </c>
      <c r="R15" s="65">
        <f>'החברה לפיתוח 2020 פרקים'!T$128+'אגף ת.ב.ל 2020 פרקים'!T$69+' שאיפה  2020 פרקים'!T$56</f>
        <v>300000</v>
      </c>
      <c r="S15" s="65">
        <f>'החברה לפיתוח 2020 פרקים'!U$128+'אגף ת.ב.ל 2020 פרקים'!U$69+' שאיפה  2020 פרקים'!U$56</f>
        <v>10300000</v>
      </c>
      <c r="T15" s="65">
        <f>'החברה לפיתוח 2020 פרקים'!V$128+'אגף ת.ב.ל 2020 פרקים'!V$69+' שאיפה  2020 פרקים'!V$56</f>
        <v>2830000</v>
      </c>
      <c r="U15" s="65">
        <f>'החברה לפיתוח 2020 פרקים'!W$128+'אגף ת.ב.ל 2020 פרקים'!W$69+' שאיפה  2020 פרקים'!W$56</f>
        <v>5262000</v>
      </c>
      <c r="V15" s="65">
        <f>'החברה לפיתוח 2020 פרקים'!X$128+'אגף ת.ב.ל 2020 פרקים'!X$69+' שאיפה  2020 פרקים'!X$56</f>
        <v>0</v>
      </c>
      <c r="W15" s="65">
        <f>'החברה לפיתוח 2020 פרקים'!Y$128+'אגף ת.ב.ל 2020 פרקים'!Y$69+' שאיפה  2020 פרקים'!Y$56</f>
        <v>0</v>
      </c>
      <c r="X15" s="65">
        <f>'החברה לפיתוח 2020 פרקים'!Z$128+'אגף ת.ב.ל 2020 פרקים'!Z$69+' שאיפה  2020 פרקים'!Z$56</f>
        <v>2208000</v>
      </c>
    </row>
    <row r="16" spans="1:25" s="67" customFormat="1" ht="27" customHeight="1">
      <c r="A16" s="10" t="s">
        <v>832</v>
      </c>
      <c r="B16" s="65">
        <f>'החברה לפיתוח 2020 פרקים'!D$122+'אגף ת.ב.ל 2020 פרקים'!D$58+' שאיפה  2020 פרקים'!D$47</f>
        <v>35724320</v>
      </c>
      <c r="C16" s="65">
        <f>'החברה לפיתוח 2020 פרקים'!E$122+'אגף ת.ב.ל 2020 פרקים'!E$58+' שאיפה  2020 פרקים'!E$47</f>
        <v>31450000</v>
      </c>
      <c r="D16" s="65">
        <f>'החברה לפיתוח 2020 פרקים'!F$122+'אגף ת.ב.ל 2020 פרקים'!F$58+' שאיפה  2020 פרקים'!F$47</f>
        <v>4274320</v>
      </c>
      <c r="E16" s="65">
        <f>'החברה לפיתוח 2020 פרקים'!G$122+'אגף ת.ב.ל 2020 פרקים'!G$58+' שאיפה  2020 פרקים'!G$47</f>
        <v>27774320</v>
      </c>
      <c r="F16" s="65">
        <f>'החברה לפיתוח 2020 פרקים'!H$122+'אגף ת.ב.ל 2020 פרקים'!H$58+' שאיפה  2020 פרקים'!H$47</f>
        <v>24199080.359999999</v>
      </c>
      <c r="G16" s="65">
        <f>'החברה לפיתוח 2020 פרקים'!I$122+'אגף ת.ב.ל 2020 פרקים'!I$58+' שאיפה  2020 פרקים'!I$47</f>
        <v>0</v>
      </c>
      <c r="H16" s="65">
        <f>'החברה לפיתוח 2020 פרקים'!J$122+'אגף ת.ב.ל 2020 פרקים'!J$58+' שאיפה  2020 פרקים'!J$47</f>
        <v>2398326.6500000004</v>
      </c>
      <c r="I16" s="65">
        <f>'החברה לפיתוח 2020 פרקים'!K$122+'אגף ת.ב.ל 2020 פרקים'!K$58+' שאיפה  2020 פרקים'!K$47</f>
        <v>2398326.6500000004</v>
      </c>
      <c r="J16" s="65">
        <f>'החברה לפיתוח 2020 פרקים'!L$122+'אגף ת.ב.ל 2020 פרקים'!L$58+' שאיפה  2020 פרקים'!L$47</f>
        <v>26597407.010000002</v>
      </c>
      <c r="K16" s="65">
        <f>'החברה לפיתוח 2020 פרקים'!M$122+'אגף ת.ב.ל 2020 פרקים'!M$58+' שאיפה  2020 פרקים'!M$47</f>
        <v>2326912.9899999965</v>
      </c>
      <c r="L16" s="65">
        <f>'החברה לפיתוח 2020 פרקים'!N$122+'אגף ת.ב.ל 2020 פרקים'!N$58+' שאיפה  2020 פרקים'!N$47</f>
        <v>3600000</v>
      </c>
      <c r="M16" s="65">
        <f>'החברה לפיתוח 2020 פרקים'!O$122+'אגף ת.ב.ל 2020 פרקים'!O$58+' שאיפה  2020 פרקים'!O$47</f>
        <v>3200000</v>
      </c>
      <c r="N16" s="65">
        <f>'החברה לפיתוח 2020 פרקים'!P$122+'אגף ת.ב.ל 2020 פרקים'!P$58+' שאיפה  2020 פרקים'!P$47</f>
        <v>1176912.9899999967</v>
      </c>
      <c r="O16" s="65">
        <f>'החברה לפיתוח 2020 פרקים'!Q$122+'אגף ת.ב.ל 2020 פרקים'!Q$58+' שאיפה  2020 פרקים'!Q$47</f>
        <v>1150000</v>
      </c>
      <c r="P16" s="65">
        <f>'החברה לפיתוח 2020 פרקים'!R$122+'אגף ת.ב.ל 2020 פרקים'!R$58+' שאיפה  2020 פרקים'!R$47</f>
        <v>0</v>
      </c>
      <c r="Q16" s="65">
        <f>'החברה לפיתוח 2020 פרקים'!S$122+'אגף ת.ב.ל 2020 פרקים'!S$58+' שאיפה  2020 פרקים'!S$47</f>
        <v>1150000</v>
      </c>
      <c r="R16" s="65">
        <f>'החברה לפיתוח 2020 פרקים'!T$122+'אגף ת.ב.ל 2020 פרקים'!T$58+' שאיפה  2020 פרקים'!T$47</f>
        <v>0</v>
      </c>
      <c r="S16" s="65">
        <f>'החברה לפיתוח 2020 פרקים'!U$122+'אגף ת.ב.ל 2020 פרקים'!U$58+' שאיפה  2020 פרקים'!U$47</f>
        <v>3600000</v>
      </c>
      <c r="T16" s="65">
        <f>'החברה לפיתוח 2020 פרקים'!V$122+'אגף ת.ב.ל 2020 פרקים'!V$58+' שאיפה  2020 פרקים'!V$47</f>
        <v>0</v>
      </c>
      <c r="U16" s="65">
        <f>'החברה לפיתוח 2020 פרקים'!W$122+'אגף ת.ב.ל 2020 פרקים'!W$58+' שאיפה  2020 פרקים'!W$47</f>
        <v>3600000</v>
      </c>
      <c r="V16" s="65">
        <f>'החברה לפיתוח 2020 פרקים'!X$122+'אגף ת.ב.ל 2020 פרקים'!X$58+' שאיפה  2020 פרקים'!X$47</f>
        <v>0</v>
      </c>
      <c r="W16" s="65">
        <f>'החברה לפיתוח 2020 פרקים'!Y$122+'אגף ת.ב.ל 2020 פרקים'!Y$58+' שאיפה  2020 פרקים'!Y$47</f>
        <v>0</v>
      </c>
      <c r="X16" s="65">
        <f>'החברה לפיתוח 2020 פרקים'!Z$122+'אגף ת.ב.ל 2020 פרקים'!Z$58+' שאיפה  2020 פרקים'!Z$47</f>
        <v>0</v>
      </c>
    </row>
    <row r="17" spans="1:26" s="67" customFormat="1" ht="27" customHeight="1">
      <c r="A17" s="10" t="s">
        <v>840</v>
      </c>
      <c r="B17" s="65">
        <f>' שאיפה  2020 פרקים'!D$38</f>
        <v>89650000</v>
      </c>
      <c r="C17" s="65">
        <f>' שאיפה  2020 פרקים'!E$38</f>
        <v>88000000</v>
      </c>
      <c r="D17" s="65">
        <f>' שאיפה  2020 פרקים'!F$38</f>
        <v>1650000</v>
      </c>
      <c r="E17" s="65">
        <f>' שאיפה  2020 פרקים'!G$38</f>
        <v>71450000</v>
      </c>
      <c r="F17" s="65">
        <f>' שאיפה  2020 פרקים'!H$38</f>
        <v>69535503</v>
      </c>
      <c r="G17" s="65">
        <f>' שאיפה  2020 פרקים'!I$38</f>
        <v>0</v>
      </c>
      <c r="H17" s="65">
        <f>' שאיפה  2020 פרקים'!J$38</f>
        <v>185655</v>
      </c>
      <c r="I17" s="65">
        <f>' שאיפה  2020 פרקים'!K$38</f>
        <v>185655</v>
      </c>
      <c r="J17" s="65">
        <f>' שאיפה  2020 פרקים'!L$38</f>
        <v>69721158</v>
      </c>
      <c r="K17" s="65">
        <f>' שאיפה  2020 פרקים'!M$38</f>
        <v>2428842</v>
      </c>
      <c r="L17" s="65">
        <f>' שאיפה  2020 פרקים'!N$38</f>
        <v>17500000</v>
      </c>
      <c r="M17" s="65">
        <f>' שאיפה  2020 פרקים'!O$38</f>
        <v>0</v>
      </c>
      <c r="N17" s="65">
        <f>' שאיפה  2020 פרקים'!P$38</f>
        <v>1728842</v>
      </c>
      <c r="O17" s="65">
        <f>' שאיפה  2020 פרקים'!Q$38</f>
        <v>700000</v>
      </c>
      <c r="P17" s="65">
        <f>' שאיפה  2020 פרקים'!R$38</f>
        <v>0</v>
      </c>
      <c r="Q17" s="65">
        <f>' שאיפה  2020 פרקים'!S$38</f>
        <v>700000</v>
      </c>
      <c r="R17" s="65">
        <f>' שאיפה  2020 פרקים'!T$38</f>
        <v>0</v>
      </c>
      <c r="S17" s="65">
        <f>' שאיפה  2020 פרקים'!U$38</f>
        <v>17500000</v>
      </c>
      <c r="T17" s="65">
        <f>' שאיפה  2020 פרקים'!V$38</f>
        <v>0</v>
      </c>
      <c r="U17" s="65">
        <f>' שאיפה  2020 פרקים'!W$38</f>
        <v>0</v>
      </c>
      <c r="V17" s="65">
        <f>' שאיפה  2020 פרקים'!X$38</f>
        <v>0</v>
      </c>
      <c r="W17" s="65">
        <f>' שאיפה  2020 פרקים'!Y$38</f>
        <v>0</v>
      </c>
      <c r="X17" s="65">
        <f>' שאיפה  2020 פרקים'!Z$38</f>
        <v>17500000</v>
      </c>
    </row>
    <row r="18" spans="1:26" s="67" customFormat="1" ht="27" customHeight="1">
      <c r="A18" s="311" t="s">
        <v>830</v>
      </c>
      <c r="B18" s="65">
        <f>'החברה לפיתוח 2020 פרקים'!D$132+'אגף ת.ב.ל 2020 פרקים'!D$76+'תנוס 2020פרקים'!D$18+'נכסים וביטוח 2020 פרקים'!D$23</f>
        <v>292419365</v>
      </c>
      <c r="C18" s="65">
        <f>'החברה לפיתוח 2020 פרקים'!E$132+'אגף ת.ב.ל 2020 פרקים'!E$76+'תנוס 2020פרקים'!E$18+'נכסים וביטוח 2020 פרקים'!E$23</f>
        <v>288244365</v>
      </c>
      <c r="D18" s="65">
        <f>'החברה לפיתוח 2020 פרקים'!F$132+'אגף ת.ב.ל 2020 פרקים'!F$76+'תנוס 2020פרקים'!F$18+'נכסים וביטוח 2020 פרקים'!F$23</f>
        <v>4175000</v>
      </c>
      <c r="E18" s="65">
        <f>'החברה לפיתוח 2020 פרקים'!G$132+'אגף ת.ב.ל 2020 פרקים'!G$76+'תנוס 2020פרקים'!G$18+'נכסים וביטוח 2020 פרקים'!G$23</f>
        <v>214102890</v>
      </c>
      <c r="F18" s="65">
        <f>'החברה לפיתוח 2020 פרקים'!H$132+'אגף ת.ב.ל 2020 פרקים'!H$76+'תנוס 2020פרקים'!H$18+'נכסים וביטוח 2020 פרקים'!H$23</f>
        <v>182080042.27000001</v>
      </c>
      <c r="G18" s="65">
        <f>'החברה לפיתוח 2020 פרקים'!I$132+'אגף ת.ב.ל 2020 פרקים'!I$76+'תנוס 2020פרקים'!I$18+'נכסים וביטוח 2020 פרקים'!I$23</f>
        <v>0</v>
      </c>
      <c r="H18" s="65">
        <f>'החברה לפיתוח 2020 פרקים'!J$132+'אגף ת.ב.ל 2020 פרקים'!J$76+'תנוס 2020פרקים'!J$18+'נכסים וביטוח 2020 פרקים'!J$23</f>
        <v>5572491</v>
      </c>
      <c r="I18" s="65">
        <f>'החברה לפיתוח 2020 פרקים'!K$132+'אגף ת.ב.ל 2020 פרקים'!K$76+'תנוס 2020פרקים'!K$18+'נכסים וביטוח 2020 פרקים'!K$23</f>
        <v>5572491</v>
      </c>
      <c r="J18" s="65">
        <f>'החברה לפיתוח 2020 פרקים'!L$132+'אגף ת.ב.ל 2020 פרקים'!L$76+'תנוס 2020פרקים'!L$18+'נכסים וביטוח 2020 פרקים'!L$23</f>
        <v>187652533.27000001</v>
      </c>
      <c r="K18" s="65">
        <f>'החברה לפיתוח 2020 פרקים'!M$132+'אגף ת.ב.ל 2020 פרקים'!M$76+'תנוס 2020פרקים'!M$18+'נכסים וביטוח 2020 פרקים'!M$23</f>
        <v>26700356.730000008</v>
      </c>
      <c r="L18" s="65">
        <f>'החברה לפיתוח 2020 פרקים'!N$132+'אגף ת.ב.ל 2020 פרקים'!N$76+'תנוס 2020פרקים'!N$18+'נכסים וביטוח 2020 פרקים'!N$23</f>
        <v>13239300</v>
      </c>
      <c r="M18" s="65">
        <f>'החברה לפיתוח 2020 פרקים'!O$132+'אגף ת.ב.ל 2020 פרקים'!O$76+'תנוס 2020פרקים'!O$18+'נכסים וביטוח 2020 פרקים'!O$23</f>
        <v>64827175</v>
      </c>
      <c r="N18" s="65">
        <f>'החברה לפיתוח 2020 פרקים'!P$132+'אגף ת.ב.ל 2020 פרקים'!P$76+'תנוס 2020פרקים'!P$18+'נכסים וביטוח 2020 פרקים'!P$23</f>
        <v>26450356.730000008</v>
      </c>
      <c r="O18" s="65">
        <f>'החברה לפיתוח 2020 פרקים'!Q$132+'אגף ת.ב.ל 2020 פרקים'!Q$76+'תנוס 2020פרקים'!Q$18+'נכסים וביטוח 2020 פרקים'!Q$23</f>
        <v>965000</v>
      </c>
      <c r="P18" s="65">
        <f>'החברה לפיתוח 2020 פרקים'!R$132+'אגף ת.ב.ל 2020 פרקים'!R$76+'תנוס 2020פרקים'!R$18+'נכסים וביטוח 2020 פרקים'!R$23</f>
        <v>0</v>
      </c>
      <c r="Q18" s="65">
        <f>'החברה לפיתוח 2020 פרקים'!S$132+'אגף ת.ב.ל 2020 פרקים'!S$76+'תנוס 2020פרקים'!S$18+'נכסים וביטוח 2020 פרקים'!S$23</f>
        <v>965000</v>
      </c>
      <c r="R18" s="65">
        <f>'החברה לפיתוח 2020 פרקים'!T$132+'אגף ת.ב.ל 2020 פרקים'!T$76+'תנוס 2020פרקים'!T$18+'נכסים וביטוח 2020 פרקים'!T$23</f>
        <v>714999.99999999988</v>
      </c>
      <c r="S18" s="65">
        <f>'החברה לפיתוח 2020 פרקים'!U$132+'אגף ת.ב.ל 2020 פרקים'!U$76+'תנוס 2020פרקים'!U$18+'נכסים וביטוח 2020 פרקים'!U$23</f>
        <v>12524300</v>
      </c>
      <c r="T18" s="65">
        <f>'החברה לפיתוח 2020 פרקים'!V$132+'אגף ת.ב.ל 2020 פרקים'!V$76+'תנוס 2020פרקים'!V$18+'נכסים וביטוח 2020 פרקים'!V$23</f>
        <v>8924300</v>
      </c>
      <c r="U18" s="65">
        <f>'החברה לפיתוח 2020 פרקים'!W$132+'אגף ת.ב.ל 2020 פרקים'!W$76+'תנוס 2020פרקים'!W$18+'נכסים וביטוח 2020 פרקים'!W$23</f>
        <v>3600000</v>
      </c>
      <c r="V18" s="65">
        <f>'החברה לפיתוח 2020 פרקים'!X$132+'אגף ת.ב.ל 2020 פרקים'!X$76+'תנוס 2020פרקים'!X$18+'נכסים וביטוח 2020 פרקים'!X$23</f>
        <v>0</v>
      </c>
      <c r="W18" s="65">
        <f>'החברה לפיתוח 2020 פרקים'!Y$132+'אגף ת.ב.ל 2020 פרקים'!Y$76+'תנוס 2020פרקים'!Y$18+'נכסים וביטוח 2020 פרקים'!Y$23</f>
        <v>0</v>
      </c>
      <c r="X18" s="65">
        <f>'החברה לפיתוח 2020 פרקים'!Z$132+'אגף ת.ב.ל 2020 פרקים'!Z$76+'תנוס 2020פרקים'!Z$18+'נכסים וביטוח 2020 פרקים'!Z$23</f>
        <v>0</v>
      </c>
    </row>
    <row r="19" spans="1:26" s="67" customFormat="1" ht="27" customHeight="1">
      <c r="A19" s="10" t="s">
        <v>831</v>
      </c>
      <c r="B19" s="65">
        <f>' מינהל כללי 2020 פרקים'!D$19</f>
        <v>15133000</v>
      </c>
      <c r="C19" s="65">
        <f>' מינהל כללי 2020 פרקים'!E$19</f>
        <v>15133000</v>
      </c>
      <c r="D19" s="65">
        <f>' מינהל כללי 2020 פרקים'!F$19</f>
        <v>0</v>
      </c>
      <c r="E19" s="65">
        <f>' מינהל כללי 2020 פרקים'!G$19</f>
        <v>15133000</v>
      </c>
      <c r="F19" s="65">
        <f>' מינהל כללי 2020 פרקים'!H$19</f>
        <v>15133000</v>
      </c>
      <c r="G19" s="65">
        <f>' מינהל כללי 2020 פרקים'!I$19</f>
        <v>0</v>
      </c>
      <c r="H19" s="65">
        <f>' מינהל כללי 2020 פרקים'!J$19</f>
        <v>0</v>
      </c>
      <c r="I19" s="65">
        <f>' מינהל כללי 2020 פרקים'!K$19</f>
        <v>0</v>
      </c>
      <c r="J19" s="65">
        <f>' מינהל כללי 2020 פרקים'!L$19</f>
        <v>15133000</v>
      </c>
      <c r="K19" s="65">
        <f>' מינהל כללי 2020 פרקים'!M$19</f>
        <v>0</v>
      </c>
      <c r="L19" s="65">
        <f>' מינהל כללי 2020 פרקים'!N$19</f>
        <v>0</v>
      </c>
      <c r="M19" s="65">
        <f>' מינהל כללי 2020 פרקים'!O$19</f>
        <v>0</v>
      </c>
      <c r="N19" s="65">
        <f>' מינהל כללי 2020 פרקים'!P$19</f>
        <v>0</v>
      </c>
      <c r="O19" s="65">
        <f>' מינהל כללי 2020 פרקים'!Q$19</f>
        <v>0</v>
      </c>
      <c r="P19" s="65">
        <f>' מינהל כללי 2020 פרקים'!R$19</f>
        <v>0</v>
      </c>
      <c r="Q19" s="65">
        <f>' מינהל כללי 2020 פרקים'!S$19</f>
        <v>0</v>
      </c>
      <c r="R19" s="65">
        <f>' מינהל כללי 2020 פרקים'!T$19</f>
        <v>0</v>
      </c>
      <c r="S19" s="65">
        <f>' מינהל כללי 2020 פרקים'!U$19</f>
        <v>0</v>
      </c>
      <c r="T19" s="65">
        <f>' מינהל כללי 2020 פרקים'!V$19</f>
        <v>0</v>
      </c>
      <c r="U19" s="65">
        <f>' מינהל כללי 2020 פרקים'!W$19</f>
        <v>0</v>
      </c>
      <c r="V19" s="65">
        <f>' מינהל כללי 2020 פרקים'!X$19</f>
        <v>0</v>
      </c>
      <c r="W19" s="65">
        <f>' מינהל כללי 2020 פרקים'!Y$19</f>
        <v>0</v>
      </c>
      <c r="X19" s="65">
        <f>' מינהל כללי 2020 פרקים'!Z$19</f>
        <v>0</v>
      </c>
    </row>
    <row r="20" spans="1:26" s="67" customFormat="1" ht="27" customHeight="1">
      <c r="A20" s="310" t="s">
        <v>120</v>
      </c>
      <c r="B20" s="65">
        <f>SUM(B6:B19)</f>
        <v>4639177685</v>
      </c>
      <c r="C20" s="65">
        <f t="shared" ref="C20:X20" si="0">SUM(C6:C19)</f>
        <v>4222021272</v>
      </c>
      <c r="D20" s="65">
        <f t="shared" si="0"/>
        <v>417156413</v>
      </c>
      <c r="E20" s="65">
        <f t="shared" si="0"/>
        <v>2125169045</v>
      </c>
      <c r="F20" s="65">
        <f t="shared" si="0"/>
        <v>1669938923.2099998</v>
      </c>
      <c r="G20" s="65">
        <f t="shared" si="0"/>
        <v>26954056.759999998</v>
      </c>
      <c r="H20" s="65">
        <f t="shared" si="0"/>
        <v>124171972.55999999</v>
      </c>
      <c r="I20" s="65">
        <f t="shared" si="0"/>
        <v>151126029.31999999</v>
      </c>
      <c r="J20" s="65">
        <f t="shared" si="0"/>
        <v>1821064952.53</v>
      </c>
      <c r="K20" s="65">
        <f t="shared" si="0"/>
        <v>449878818.47000009</v>
      </c>
      <c r="L20" s="65">
        <f t="shared" si="0"/>
        <v>566256200</v>
      </c>
      <c r="M20" s="65">
        <f t="shared" si="0"/>
        <v>1801977714</v>
      </c>
      <c r="N20" s="65">
        <f t="shared" si="0"/>
        <v>304104092.46999997</v>
      </c>
      <c r="O20" s="65">
        <f t="shared" si="0"/>
        <v>203019574</v>
      </c>
      <c r="P20" s="65">
        <f t="shared" si="0"/>
        <v>6185226</v>
      </c>
      <c r="Q20" s="65">
        <f t="shared" si="0"/>
        <v>209204800</v>
      </c>
      <c r="R20" s="65">
        <f t="shared" si="0"/>
        <v>63430074</v>
      </c>
      <c r="S20" s="65">
        <f t="shared" si="0"/>
        <v>502826126</v>
      </c>
      <c r="T20" s="65">
        <f t="shared" si="0"/>
        <v>206270000</v>
      </c>
      <c r="U20" s="65">
        <f t="shared" si="0"/>
        <v>59000000</v>
      </c>
      <c r="V20" s="65">
        <f t="shared" si="0"/>
        <v>0</v>
      </c>
      <c r="W20" s="65">
        <f t="shared" si="0"/>
        <v>100433357</v>
      </c>
      <c r="X20" s="65">
        <f t="shared" si="0"/>
        <v>137122769</v>
      </c>
    </row>
    <row r="21" spans="1:26" s="67" customFormat="1">
      <c r="A21" s="23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</row>
    <row r="22" spans="1:26" s="67" customFormat="1" hidden="1">
      <c r="A22" s="69"/>
      <c r="B22" s="70"/>
      <c r="C22" s="70"/>
      <c r="D22" s="34"/>
      <c r="E22" s="70"/>
      <c r="F22" s="70"/>
      <c r="G22" s="70"/>
      <c r="H22" s="70"/>
      <c r="I22" s="70"/>
      <c r="J22" s="13">
        <f>I20+F20</f>
        <v>1821064952.5299997</v>
      </c>
      <c r="K22" s="13">
        <f>N22+Q20-R20</f>
        <v>449878818.47000003</v>
      </c>
      <c r="L22" s="34"/>
      <c r="M22" s="34"/>
      <c r="N22" s="13">
        <f>E20-J20</f>
        <v>304104092.47000003</v>
      </c>
      <c r="O22" s="34"/>
      <c r="P22" s="34"/>
      <c r="Q22" s="34"/>
      <c r="R22" s="34"/>
      <c r="S22" s="13">
        <f>L20-R20</f>
        <v>502826126</v>
      </c>
      <c r="T22" s="34"/>
      <c r="U22" s="34"/>
      <c r="V22" s="34"/>
      <c r="W22" s="34"/>
      <c r="X22" s="34"/>
    </row>
    <row r="23" spans="1:26" hidden="1">
      <c r="D23" s="83"/>
      <c r="J23" s="66"/>
      <c r="K23" s="66"/>
      <c r="M23" s="73"/>
      <c r="N23" s="74"/>
      <c r="O23" s="73"/>
      <c r="P23" s="75"/>
      <c r="Q23" s="75"/>
      <c r="R23" s="74"/>
      <c r="S23" s="76" t="s">
        <v>120</v>
      </c>
      <c r="T23" s="76" t="s">
        <v>104</v>
      </c>
      <c r="U23" s="76" t="s">
        <v>121</v>
      </c>
      <c r="V23" s="76" t="s">
        <v>15</v>
      </c>
      <c r="W23" s="76" t="s">
        <v>354</v>
      </c>
      <c r="X23" s="76" t="s">
        <v>105</v>
      </c>
    </row>
    <row r="24" spans="1:26" hidden="1">
      <c r="B24" s="83"/>
      <c r="D24" s="83"/>
      <c r="M24" s="76" t="s">
        <v>122</v>
      </c>
      <c r="N24" s="77"/>
      <c r="O24" s="76" t="s">
        <v>122</v>
      </c>
      <c r="P24" s="78"/>
      <c r="Q24" s="78"/>
      <c r="R24" s="68"/>
      <c r="S24" s="79">
        <f>SUM(T24:X24)</f>
        <v>502826126</v>
      </c>
      <c r="T24" s="79">
        <f>'תקציב 2020 קרנות הרשות'!C21*1000</f>
        <v>206270000</v>
      </c>
      <c r="U24" s="79">
        <f>'תקציב 2020 קרנות הרשות'!D21*1000</f>
        <v>59000000</v>
      </c>
      <c r="V24" s="79">
        <f>'תקציב 2020  מקורות '!F10*1000</f>
        <v>0</v>
      </c>
      <c r="W24" s="79">
        <f>'תקציב 2020  מקורות '!F11*1000</f>
        <v>100433357</v>
      </c>
      <c r="X24" s="79">
        <f>'פרוט מקורות אחרים'!O16</f>
        <v>137122769</v>
      </c>
    </row>
    <row r="25" spans="1:26" hidden="1">
      <c r="B25" s="83"/>
      <c r="M25" s="76" t="s">
        <v>123</v>
      </c>
      <c r="N25" s="77"/>
      <c r="O25" s="76" t="s">
        <v>123</v>
      </c>
      <c r="P25" s="78"/>
      <c r="Q25" s="78"/>
      <c r="R25" s="68"/>
      <c r="S25" s="79">
        <f t="shared" ref="S25:W25" si="1">S24-S20</f>
        <v>0</v>
      </c>
      <c r="T25" s="79">
        <f t="shared" si="1"/>
        <v>0</v>
      </c>
      <c r="U25" s="79">
        <f t="shared" si="1"/>
        <v>0</v>
      </c>
      <c r="V25" s="79">
        <f t="shared" si="1"/>
        <v>0</v>
      </c>
      <c r="W25" s="79">
        <f t="shared" si="1"/>
        <v>0</v>
      </c>
      <c r="X25" s="79">
        <f t="shared" ref="X25" si="2">X24-X20</f>
        <v>0</v>
      </c>
      <c r="Z25" s="70"/>
    </row>
    <row r="26" spans="1:26" hidden="1">
      <c r="A26" s="81"/>
      <c r="D26" s="81"/>
      <c r="E26" s="81"/>
      <c r="M26" s="82"/>
      <c r="O26" s="82"/>
      <c r="P26" s="82"/>
      <c r="Q26" s="82"/>
      <c r="R26" s="67"/>
      <c r="S26" s="80"/>
      <c r="T26" s="80"/>
      <c r="U26" s="80"/>
      <c r="V26" s="80"/>
      <c r="W26" s="80"/>
      <c r="X26" s="80"/>
    </row>
    <row r="27" spans="1:26" hidden="1">
      <c r="B27" s="81"/>
      <c r="J27" s="66"/>
      <c r="K27" s="83"/>
      <c r="M27" s="82"/>
      <c r="N27" s="66">
        <f>E20-J20</f>
        <v>304104092.47000003</v>
      </c>
      <c r="O27" s="82"/>
      <c r="P27" s="82"/>
      <c r="Q27" s="82"/>
      <c r="R27" s="80"/>
      <c r="S27" s="66"/>
      <c r="T27" s="80"/>
      <c r="U27" s="80"/>
      <c r="V27" s="80"/>
      <c r="W27" s="80"/>
      <c r="X27" s="80"/>
    </row>
    <row r="28" spans="1:26" hidden="1">
      <c r="A28" s="81"/>
      <c r="B28" s="81"/>
      <c r="C28" s="81"/>
      <c r="D28" s="81"/>
      <c r="M28" s="82" t="s">
        <v>1441</v>
      </c>
      <c r="O28" s="82"/>
      <c r="P28" s="82"/>
      <c r="Q28" s="82"/>
      <c r="R28" s="67"/>
      <c r="S28" s="80">
        <v>502765897</v>
      </c>
      <c r="T28" s="80"/>
      <c r="U28" s="80"/>
      <c r="V28" s="80"/>
      <c r="W28" s="80"/>
      <c r="X28" s="80"/>
    </row>
    <row r="29" spans="1:26" hidden="1">
      <c r="B29" s="81"/>
      <c r="C29" s="81"/>
      <c r="N29" s="72"/>
      <c r="T29" s="80"/>
      <c r="U29" s="80"/>
      <c r="V29" s="80"/>
      <c r="W29" s="80"/>
      <c r="X29" s="80"/>
    </row>
    <row r="30" spans="1:26" hidden="1">
      <c r="B30" s="81"/>
      <c r="M30" s="72" t="s">
        <v>1442</v>
      </c>
      <c r="N30" s="72"/>
      <c r="S30" s="83">
        <f>S24-S28</f>
        <v>60229</v>
      </c>
      <c r="T30" s="80"/>
      <c r="U30" s="80"/>
      <c r="V30" s="80"/>
      <c r="W30" s="80"/>
      <c r="X30" s="80"/>
    </row>
    <row r="31" spans="1:26">
      <c r="B31" s="81"/>
      <c r="N31" s="72"/>
      <c r="U31" s="80"/>
      <c r="V31" s="80"/>
      <c r="W31" s="80"/>
      <c r="X31" s="80"/>
    </row>
    <row r="32" spans="1:26">
      <c r="B32" s="81"/>
      <c r="N32" s="72"/>
      <c r="U32" s="80"/>
      <c r="V32" s="80"/>
      <c r="W32" s="80"/>
      <c r="X32" s="80"/>
    </row>
    <row r="33" spans="1:26" s="72" customFormat="1">
      <c r="A33" s="71"/>
      <c r="B33" s="81"/>
      <c r="J33" s="67"/>
      <c r="U33" s="83"/>
      <c r="V33" s="83"/>
      <c r="Y33" s="69"/>
      <c r="Z33" s="69"/>
    </row>
    <row r="34" spans="1:26" s="72" customFormat="1">
      <c r="A34" s="71"/>
      <c r="B34" s="81"/>
      <c r="J34" s="67"/>
      <c r="U34" s="83"/>
      <c r="Y34" s="69"/>
      <c r="Z34" s="69"/>
    </row>
    <row r="35" spans="1:26" s="72" customFormat="1">
      <c r="A35" s="71"/>
      <c r="B35" s="81"/>
      <c r="J35" s="67"/>
      <c r="U35" s="83"/>
      <c r="Y35" s="69"/>
      <c r="Z35" s="69"/>
    </row>
    <row r="36" spans="1:26" s="72" customFormat="1">
      <c r="A36" s="71"/>
      <c r="B36" s="81"/>
      <c r="J36" s="67"/>
      <c r="U36" s="83"/>
      <c r="Y36" s="69"/>
      <c r="Z36" s="69"/>
    </row>
    <row r="37" spans="1:26" s="72" customFormat="1">
      <c r="A37" s="71"/>
      <c r="B37" s="81"/>
      <c r="J37" s="67"/>
      <c r="U37" s="83"/>
      <c r="Y37" s="69"/>
      <c r="Z37" s="69"/>
    </row>
    <row r="38" spans="1:26" s="72" customFormat="1">
      <c r="A38" s="71"/>
      <c r="B38" s="81"/>
      <c r="J38" s="67"/>
      <c r="U38" s="83"/>
      <c r="Y38" s="69"/>
      <c r="Z38" s="69"/>
    </row>
    <row r="39" spans="1:26" s="72" customFormat="1">
      <c r="A39" s="71"/>
      <c r="B39" s="81"/>
      <c r="J39" s="67"/>
      <c r="U39" s="83"/>
      <c r="Y39" s="69"/>
      <c r="Z39" s="69"/>
    </row>
    <row r="40" spans="1:26" s="72" customFormat="1">
      <c r="A40" s="71"/>
      <c r="B40" s="450"/>
      <c r="J40" s="67"/>
      <c r="U40" s="83"/>
      <c r="Y40" s="69"/>
      <c r="Z40" s="69"/>
    </row>
    <row r="41" spans="1:26" s="72" customFormat="1">
      <c r="A41" s="71"/>
      <c r="J41" s="67"/>
      <c r="M41" s="304"/>
      <c r="N41" s="305"/>
      <c r="O41" s="304"/>
      <c r="P41" s="304"/>
      <c r="Q41" s="304"/>
      <c r="R41" s="304"/>
      <c r="Y41" s="69"/>
      <c r="Z41" s="69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X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9"/>
  <sheetViews>
    <sheetView showZeros="0" rightToLeft="1" tabSelected="1" topLeftCell="A7" workbookViewId="0">
      <selection activeCell="Q24" sqref="Q24"/>
    </sheetView>
  </sheetViews>
  <sheetFormatPr defaultRowHeight="15.6"/>
  <cols>
    <col min="1" max="1" width="25.5546875" style="90" customWidth="1"/>
    <col min="2" max="14" width="10.33203125" style="92" customWidth="1"/>
    <col min="15" max="15" width="11.33203125" style="90" customWidth="1"/>
    <col min="16" max="16" width="9.109375" style="90"/>
    <col min="17" max="17" width="13.33203125" style="168" hidden="1" customWidth="1"/>
    <col min="18" max="18" width="11.88671875" style="168" hidden="1" customWidth="1"/>
    <col min="19" max="19" width="12.109375" style="168" customWidth="1"/>
    <col min="20" max="20" width="2.6640625" style="168" customWidth="1"/>
    <col min="21" max="21" width="10.109375" style="168" bestFit="1" customWidth="1"/>
    <col min="22" max="22" width="9.109375" style="90" customWidth="1"/>
    <col min="23" max="257" width="9.109375" style="90"/>
    <col min="258" max="258" width="4.109375" style="90" customWidth="1"/>
    <col min="259" max="259" width="25.5546875" style="90" customWidth="1"/>
    <col min="260" max="260" width="0" style="90" hidden="1" customWidth="1"/>
    <col min="261" max="261" width="9.109375" style="90" bestFit="1" customWidth="1"/>
    <col min="262" max="262" width="9.109375" style="90" customWidth="1"/>
    <col min="263" max="263" width="8.88671875" style="90" customWidth="1"/>
    <col min="264" max="265" width="10.6640625" style="90" customWidth="1"/>
    <col min="266" max="266" width="10" style="90" customWidth="1"/>
    <col min="267" max="267" width="10.44140625" style="90" customWidth="1"/>
    <col min="268" max="268" width="8.6640625" style="90" customWidth="1"/>
    <col min="269" max="269" width="0" style="90" hidden="1" customWidth="1"/>
    <col min="270" max="270" width="10.109375" style="90" bestFit="1" customWidth="1"/>
    <col min="271" max="271" width="10.109375" style="90" customWidth="1"/>
    <col min="272" max="272" width="0" style="90" hidden="1" customWidth="1"/>
    <col min="273" max="273" width="10" style="90" customWidth="1"/>
    <col min="274" max="274" width="12.88671875" style="90" customWidth="1"/>
    <col min="275" max="513" width="9.109375" style="90"/>
    <col min="514" max="514" width="4.109375" style="90" customWidth="1"/>
    <col min="515" max="515" width="25.5546875" style="90" customWidth="1"/>
    <col min="516" max="516" width="0" style="90" hidden="1" customWidth="1"/>
    <col min="517" max="517" width="9.109375" style="90" bestFit="1" customWidth="1"/>
    <col min="518" max="518" width="9.109375" style="90" customWidth="1"/>
    <col min="519" max="519" width="8.88671875" style="90" customWidth="1"/>
    <col min="520" max="521" width="10.6640625" style="90" customWidth="1"/>
    <col min="522" max="522" width="10" style="90" customWidth="1"/>
    <col min="523" max="523" width="10.44140625" style="90" customWidth="1"/>
    <col min="524" max="524" width="8.6640625" style="90" customWidth="1"/>
    <col min="525" max="525" width="0" style="90" hidden="1" customWidth="1"/>
    <col min="526" max="526" width="10.109375" style="90" bestFit="1" customWidth="1"/>
    <col min="527" max="527" width="10.109375" style="90" customWidth="1"/>
    <col min="528" max="528" width="0" style="90" hidden="1" customWidth="1"/>
    <col min="529" max="529" width="10" style="90" customWidth="1"/>
    <col min="530" max="530" width="12.88671875" style="90" customWidth="1"/>
    <col min="531" max="769" width="9.109375" style="90"/>
    <col min="770" max="770" width="4.109375" style="90" customWidth="1"/>
    <col min="771" max="771" width="25.5546875" style="90" customWidth="1"/>
    <col min="772" max="772" width="0" style="90" hidden="1" customWidth="1"/>
    <col min="773" max="773" width="9.109375" style="90" bestFit="1" customWidth="1"/>
    <col min="774" max="774" width="9.109375" style="90" customWidth="1"/>
    <col min="775" max="775" width="8.88671875" style="90" customWidth="1"/>
    <col min="776" max="777" width="10.6640625" style="90" customWidth="1"/>
    <col min="778" max="778" width="10" style="90" customWidth="1"/>
    <col min="779" max="779" width="10.44140625" style="90" customWidth="1"/>
    <col min="780" max="780" width="8.6640625" style="90" customWidth="1"/>
    <col min="781" max="781" width="0" style="90" hidden="1" customWidth="1"/>
    <col min="782" max="782" width="10.109375" style="90" bestFit="1" customWidth="1"/>
    <col min="783" max="783" width="10.109375" style="90" customWidth="1"/>
    <col min="784" max="784" width="0" style="90" hidden="1" customWidth="1"/>
    <col min="785" max="785" width="10" style="90" customWidth="1"/>
    <col min="786" max="786" width="12.88671875" style="90" customWidth="1"/>
    <col min="787" max="1025" width="9.109375" style="90"/>
    <col min="1026" max="1026" width="4.109375" style="90" customWidth="1"/>
    <col min="1027" max="1027" width="25.5546875" style="90" customWidth="1"/>
    <col min="1028" max="1028" width="0" style="90" hidden="1" customWidth="1"/>
    <col min="1029" max="1029" width="9.109375" style="90" bestFit="1" customWidth="1"/>
    <col min="1030" max="1030" width="9.109375" style="90" customWidth="1"/>
    <col min="1031" max="1031" width="8.88671875" style="90" customWidth="1"/>
    <col min="1032" max="1033" width="10.6640625" style="90" customWidth="1"/>
    <col min="1034" max="1034" width="10" style="90" customWidth="1"/>
    <col min="1035" max="1035" width="10.44140625" style="90" customWidth="1"/>
    <col min="1036" max="1036" width="8.6640625" style="90" customWidth="1"/>
    <col min="1037" max="1037" width="0" style="90" hidden="1" customWidth="1"/>
    <col min="1038" max="1038" width="10.109375" style="90" bestFit="1" customWidth="1"/>
    <col min="1039" max="1039" width="10.109375" style="90" customWidth="1"/>
    <col min="1040" max="1040" width="0" style="90" hidden="1" customWidth="1"/>
    <col min="1041" max="1041" width="10" style="90" customWidth="1"/>
    <col min="1042" max="1042" width="12.88671875" style="90" customWidth="1"/>
    <col min="1043" max="1281" width="9.109375" style="90"/>
    <col min="1282" max="1282" width="4.109375" style="90" customWidth="1"/>
    <col min="1283" max="1283" width="25.5546875" style="90" customWidth="1"/>
    <col min="1284" max="1284" width="0" style="90" hidden="1" customWidth="1"/>
    <col min="1285" max="1285" width="9.109375" style="90" bestFit="1" customWidth="1"/>
    <col min="1286" max="1286" width="9.109375" style="90" customWidth="1"/>
    <col min="1287" max="1287" width="8.88671875" style="90" customWidth="1"/>
    <col min="1288" max="1289" width="10.6640625" style="90" customWidth="1"/>
    <col min="1290" max="1290" width="10" style="90" customWidth="1"/>
    <col min="1291" max="1291" width="10.44140625" style="90" customWidth="1"/>
    <col min="1292" max="1292" width="8.6640625" style="90" customWidth="1"/>
    <col min="1293" max="1293" width="0" style="90" hidden="1" customWidth="1"/>
    <col min="1294" max="1294" width="10.109375" style="90" bestFit="1" customWidth="1"/>
    <col min="1295" max="1295" width="10.109375" style="90" customWidth="1"/>
    <col min="1296" max="1296" width="0" style="90" hidden="1" customWidth="1"/>
    <col min="1297" max="1297" width="10" style="90" customWidth="1"/>
    <col min="1298" max="1298" width="12.88671875" style="90" customWidth="1"/>
    <col min="1299" max="1537" width="9.109375" style="90"/>
    <col min="1538" max="1538" width="4.109375" style="90" customWidth="1"/>
    <col min="1539" max="1539" width="25.5546875" style="90" customWidth="1"/>
    <col min="1540" max="1540" width="0" style="90" hidden="1" customWidth="1"/>
    <col min="1541" max="1541" width="9.109375" style="90" bestFit="1" customWidth="1"/>
    <col min="1542" max="1542" width="9.109375" style="90" customWidth="1"/>
    <col min="1543" max="1543" width="8.88671875" style="90" customWidth="1"/>
    <col min="1544" max="1545" width="10.6640625" style="90" customWidth="1"/>
    <col min="1546" max="1546" width="10" style="90" customWidth="1"/>
    <col min="1547" max="1547" width="10.44140625" style="90" customWidth="1"/>
    <col min="1548" max="1548" width="8.6640625" style="90" customWidth="1"/>
    <col min="1549" max="1549" width="0" style="90" hidden="1" customWidth="1"/>
    <col min="1550" max="1550" width="10.109375" style="90" bestFit="1" customWidth="1"/>
    <col min="1551" max="1551" width="10.109375" style="90" customWidth="1"/>
    <col min="1552" max="1552" width="0" style="90" hidden="1" customWidth="1"/>
    <col min="1553" max="1553" width="10" style="90" customWidth="1"/>
    <col min="1554" max="1554" width="12.88671875" style="90" customWidth="1"/>
    <col min="1555" max="1793" width="9.109375" style="90"/>
    <col min="1794" max="1794" width="4.109375" style="90" customWidth="1"/>
    <col min="1795" max="1795" width="25.5546875" style="90" customWidth="1"/>
    <col min="1796" max="1796" width="0" style="90" hidden="1" customWidth="1"/>
    <col min="1797" max="1797" width="9.109375" style="90" bestFit="1" customWidth="1"/>
    <col min="1798" max="1798" width="9.109375" style="90" customWidth="1"/>
    <col min="1799" max="1799" width="8.88671875" style="90" customWidth="1"/>
    <col min="1800" max="1801" width="10.6640625" style="90" customWidth="1"/>
    <col min="1802" max="1802" width="10" style="90" customWidth="1"/>
    <col min="1803" max="1803" width="10.44140625" style="90" customWidth="1"/>
    <col min="1804" max="1804" width="8.6640625" style="90" customWidth="1"/>
    <col min="1805" max="1805" width="0" style="90" hidden="1" customWidth="1"/>
    <col min="1806" max="1806" width="10.109375" style="90" bestFit="1" customWidth="1"/>
    <col min="1807" max="1807" width="10.109375" style="90" customWidth="1"/>
    <col min="1808" max="1808" width="0" style="90" hidden="1" customWidth="1"/>
    <col min="1809" max="1809" width="10" style="90" customWidth="1"/>
    <col min="1810" max="1810" width="12.88671875" style="90" customWidth="1"/>
    <col min="1811" max="2049" width="9.109375" style="90"/>
    <col min="2050" max="2050" width="4.109375" style="90" customWidth="1"/>
    <col min="2051" max="2051" width="25.5546875" style="90" customWidth="1"/>
    <col min="2052" max="2052" width="0" style="90" hidden="1" customWidth="1"/>
    <col min="2053" max="2053" width="9.109375" style="90" bestFit="1" customWidth="1"/>
    <col min="2054" max="2054" width="9.109375" style="90" customWidth="1"/>
    <col min="2055" max="2055" width="8.88671875" style="90" customWidth="1"/>
    <col min="2056" max="2057" width="10.6640625" style="90" customWidth="1"/>
    <col min="2058" max="2058" width="10" style="90" customWidth="1"/>
    <col min="2059" max="2059" width="10.44140625" style="90" customWidth="1"/>
    <col min="2060" max="2060" width="8.6640625" style="90" customWidth="1"/>
    <col min="2061" max="2061" width="0" style="90" hidden="1" customWidth="1"/>
    <col min="2062" max="2062" width="10.109375" style="90" bestFit="1" customWidth="1"/>
    <col min="2063" max="2063" width="10.109375" style="90" customWidth="1"/>
    <col min="2064" max="2064" width="0" style="90" hidden="1" customWidth="1"/>
    <col min="2065" max="2065" width="10" style="90" customWidth="1"/>
    <col min="2066" max="2066" width="12.88671875" style="90" customWidth="1"/>
    <col min="2067" max="2305" width="9.109375" style="90"/>
    <col min="2306" max="2306" width="4.109375" style="90" customWidth="1"/>
    <col min="2307" max="2307" width="25.5546875" style="90" customWidth="1"/>
    <col min="2308" max="2308" width="0" style="90" hidden="1" customWidth="1"/>
    <col min="2309" max="2309" width="9.109375" style="90" bestFit="1" customWidth="1"/>
    <col min="2310" max="2310" width="9.109375" style="90" customWidth="1"/>
    <col min="2311" max="2311" width="8.88671875" style="90" customWidth="1"/>
    <col min="2312" max="2313" width="10.6640625" style="90" customWidth="1"/>
    <col min="2314" max="2314" width="10" style="90" customWidth="1"/>
    <col min="2315" max="2315" width="10.44140625" style="90" customWidth="1"/>
    <col min="2316" max="2316" width="8.6640625" style="90" customWidth="1"/>
    <col min="2317" max="2317" width="0" style="90" hidden="1" customWidth="1"/>
    <col min="2318" max="2318" width="10.109375" style="90" bestFit="1" customWidth="1"/>
    <col min="2319" max="2319" width="10.109375" style="90" customWidth="1"/>
    <col min="2320" max="2320" width="0" style="90" hidden="1" customWidth="1"/>
    <col min="2321" max="2321" width="10" style="90" customWidth="1"/>
    <col min="2322" max="2322" width="12.88671875" style="90" customWidth="1"/>
    <col min="2323" max="2561" width="9.109375" style="90"/>
    <col min="2562" max="2562" width="4.109375" style="90" customWidth="1"/>
    <col min="2563" max="2563" width="25.5546875" style="90" customWidth="1"/>
    <col min="2564" max="2564" width="0" style="90" hidden="1" customWidth="1"/>
    <col min="2565" max="2565" width="9.109375" style="90" bestFit="1" customWidth="1"/>
    <col min="2566" max="2566" width="9.109375" style="90" customWidth="1"/>
    <col min="2567" max="2567" width="8.88671875" style="90" customWidth="1"/>
    <col min="2568" max="2569" width="10.6640625" style="90" customWidth="1"/>
    <col min="2570" max="2570" width="10" style="90" customWidth="1"/>
    <col min="2571" max="2571" width="10.44140625" style="90" customWidth="1"/>
    <col min="2572" max="2572" width="8.6640625" style="90" customWidth="1"/>
    <col min="2573" max="2573" width="0" style="90" hidden="1" customWidth="1"/>
    <col min="2574" max="2574" width="10.109375" style="90" bestFit="1" customWidth="1"/>
    <col min="2575" max="2575" width="10.109375" style="90" customWidth="1"/>
    <col min="2576" max="2576" width="0" style="90" hidden="1" customWidth="1"/>
    <col min="2577" max="2577" width="10" style="90" customWidth="1"/>
    <col min="2578" max="2578" width="12.88671875" style="90" customWidth="1"/>
    <col min="2579" max="2817" width="9.109375" style="90"/>
    <col min="2818" max="2818" width="4.109375" style="90" customWidth="1"/>
    <col min="2819" max="2819" width="25.5546875" style="90" customWidth="1"/>
    <col min="2820" max="2820" width="0" style="90" hidden="1" customWidth="1"/>
    <col min="2821" max="2821" width="9.109375" style="90" bestFit="1" customWidth="1"/>
    <col min="2822" max="2822" width="9.109375" style="90" customWidth="1"/>
    <col min="2823" max="2823" width="8.88671875" style="90" customWidth="1"/>
    <col min="2824" max="2825" width="10.6640625" style="90" customWidth="1"/>
    <col min="2826" max="2826" width="10" style="90" customWidth="1"/>
    <col min="2827" max="2827" width="10.44140625" style="90" customWidth="1"/>
    <col min="2828" max="2828" width="8.6640625" style="90" customWidth="1"/>
    <col min="2829" max="2829" width="0" style="90" hidden="1" customWidth="1"/>
    <col min="2830" max="2830" width="10.109375" style="90" bestFit="1" customWidth="1"/>
    <col min="2831" max="2831" width="10.109375" style="90" customWidth="1"/>
    <col min="2832" max="2832" width="0" style="90" hidden="1" customWidth="1"/>
    <col min="2833" max="2833" width="10" style="90" customWidth="1"/>
    <col min="2834" max="2834" width="12.88671875" style="90" customWidth="1"/>
    <col min="2835" max="3073" width="9.109375" style="90"/>
    <col min="3074" max="3074" width="4.109375" style="90" customWidth="1"/>
    <col min="3075" max="3075" width="25.5546875" style="90" customWidth="1"/>
    <col min="3076" max="3076" width="0" style="90" hidden="1" customWidth="1"/>
    <col min="3077" max="3077" width="9.109375" style="90" bestFit="1" customWidth="1"/>
    <col min="3078" max="3078" width="9.109375" style="90" customWidth="1"/>
    <col min="3079" max="3079" width="8.88671875" style="90" customWidth="1"/>
    <col min="3080" max="3081" width="10.6640625" style="90" customWidth="1"/>
    <col min="3082" max="3082" width="10" style="90" customWidth="1"/>
    <col min="3083" max="3083" width="10.44140625" style="90" customWidth="1"/>
    <col min="3084" max="3084" width="8.6640625" style="90" customWidth="1"/>
    <col min="3085" max="3085" width="0" style="90" hidden="1" customWidth="1"/>
    <col min="3086" max="3086" width="10.109375" style="90" bestFit="1" customWidth="1"/>
    <col min="3087" max="3087" width="10.109375" style="90" customWidth="1"/>
    <col min="3088" max="3088" width="0" style="90" hidden="1" customWidth="1"/>
    <col min="3089" max="3089" width="10" style="90" customWidth="1"/>
    <col min="3090" max="3090" width="12.88671875" style="90" customWidth="1"/>
    <col min="3091" max="3329" width="9.109375" style="90"/>
    <col min="3330" max="3330" width="4.109375" style="90" customWidth="1"/>
    <col min="3331" max="3331" width="25.5546875" style="90" customWidth="1"/>
    <col min="3332" max="3332" width="0" style="90" hidden="1" customWidth="1"/>
    <col min="3333" max="3333" width="9.109375" style="90" bestFit="1" customWidth="1"/>
    <col min="3334" max="3334" width="9.109375" style="90" customWidth="1"/>
    <col min="3335" max="3335" width="8.88671875" style="90" customWidth="1"/>
    <col min="3336" max="3337" width="10.6640625" style="90" customWidth="1"/>
    <col min="3338" max="3338" width="10" style="90" customWidth="1"/>
    <col min="3339" max="3339" width="10.44140625" style="90" customWidth="1"/>
    <col min="3340" max="3340" width="8.6640625" style="90" customWidth="1"/>
    <col min="3341" max="3341" width="0" style="90" hidden="1" customWidth="1"/>
    <col min="3342" max="3342" width="10.109375" style="90" bestFit="1" customWidth="1"/>
    <col min="3343" max="3343" width="10.109375" style="90" customWidth="1"/>
    <col min="3344" max="3344" width="0" style="90" hidden="1" customWidth="1"/>
    <col min="3345" max="3345" width="10" style="90" customWidth="1"/>
    <col min="3346" max="3346" width="12.88671875" style="90" customWidth="1"/>
    <col min="3347" max="3585" width="9.109375" style="90"/>
    <col min="3586" max="3586" width="4.109375" style="90" customWidth="1"/>
    <col min="3587" max="3587" width="25.5546875" style="90" customWidth="1"/>
    <col min="3588" max="3588" width="0" style="90" hidden="1" customWidth="1"/>
    <col min="3589" max="3589" width="9.109375" style="90" bestFit="1" customWidth="1"/>
    <col min="3590" max="3590" width="9.109375" style="90" customWidth="1"/>
    <col min="3591" max="3591" width="8.88671875" style="90" customWidth="1"/>
    <col min="3592" max="3593" width="10.6640625" style="90" customWidth="1"/>
    <col min="3594" max="3594" width="10" style="90" customWidth="1"/>
    <col min="3595" max="3595" width="10.44140625" style="90" customWidth="1"/>
    <col min="3596" max="3596" width="8.6640625" style="90" customWidth="1"/>
    <col min="3597" max="3597" width="0" style="90" hidden="1" customWidth="1"/>
    <col min="3598" max="3598" width="10.109375" style="90" bestFit="1" customWidth="1"/>
    <col min="3599" max="3599" width="10.109375" style="90" customWidth="1"/>
    <col min="3600" max="3600" width="0" style="90" hidden="1" customWidth="1"/>
    <col min="3601" max="3601" width="10" style="90" customWidth="1"/>
    <col min="3602" max="3602" width="12.88671875" style="90" customWidth="1"/>
    <col min="3603" max="3841" width="9.109375" style="90"/>
    <col min="3842" max="3842" width="4.109375" style="90" customWidth="1"/>
    <col min="3843" max="3843" width="25.5546875" style="90" customWidth="1"/>
    <col min="3844" max="3844" width="0" style="90" hidden="1" customWidth="1"/>
    <col min="3845" max="3845" width="9.109375" style="90" bestFit="1" customWidth="1"/>
    <col min="3846" max="3846" width="9.109375" style="90" customWidth="1"/>
    <col min="3847" max="3847" width="8.88671875" style="90" customWidth="1"/>
    <col min="3848" max="3849" width="10.6640625" style="90" customWidth="1"/>
    <col min="3850" max="3850" width="10" style="90" customWidth="1"/>
    <col min="3851" max="3851" width="10.44140625" style="90" customWidth="1"/>
    <col min="3852" max="3852" width="8.6640625" style="90" customWidth="1"/>
    <col min="3853" max="3853" width="0" style="90" hidden="1" customWidth="1"/>
    <col min="3854" max="3854" width="10.109375" style="90" bestFit="1" customWidth="1"/>
    <col min="3855" max="3855" width="10.109375" style="90" customWidth="1"/>
    <col min="3856" max="3856" width="0" style="90" hidden="1" customWidth="1"/>
    <col min="3857" max="3857" width="10" style="90" customWidth="1"/>
    <col min="3858" max="3858" width="12.88671875" style="90" customWidth="1"/>
    <col min="3859" max="4097" width="9.109375" style="90"/>
    <col min="4098" max="4098" width="4.109375" style="90" customWidth="1"/>
    <col min="4099" max="4099" width="25.5546875" style="90" customWidth="1"/>
    <col min="4100" max="4100" width="0" style="90" hidden="1" customWidth="1"/>
    <col min="4101" max="4101" width="9.109375" style="90" bestFit="1" customWidth="1"/>
    <col min="4102" max="4102" width="9.109375" style="90" customWidth="1"/>
    <col min="4103" max="4103" width="8.88671875" style="90" customWidth="1"/>
    <col min="4104" max="4105" width="10.6640625" style="90" customWidth="1"/>
    <col min="4106" max="4106" width="10" style="90" customWidth="1"/>
    <col min="4107" max="4107" width="10.44140625" style="90" customWidth="1"/>
    <col min="4108" max="4108" width="8.6640625" style="90" customWidth="1"/>
    <col min="4109" max="4109" width="0" style="90" hidden="1" customWidth="1"/>
    <col min="4110" max="4110" width="10.109375" style="90" bestFit="1" customWidth="1"/>
    <col min="4111" max="4111" width="10.109375" style="90" customWidth="1"/>
    <col min="4112" max="4112" width="0" style="90" hidden="1" customWidth="1"/>
    <col min="4113" max="4113" width="10" style="90" customWidth="1"/>
    <col min="4114" max="4114" width="12.88671875" style="90" customWidth="1"/>
    <col min="4115" max="4353" width="9.109375" style="90"/>
    <col min="4354" max="4354" width="4.109375" style="90" customWidth="1"/>
    <col min="4355" max="4355" width="25.5546875" style="90" customWidth="1"/>
    <col min="4356" max="4356" width="0" style="90" hidden="1" customWidth="1"/>
    <col min="4357" max="4357" width="9.109375" style="90" bestFit="1" customWidth="1"/>
    <col min="4358" max="4358" width="9.109375" style="90" customWidth="1"/>
    <col min="4359" max="4359" width="8.88671875" style="90" customWidth="1"/>
    <col min="4360" max="4361" width="10.6640625" style="90" customWidth="1"/>
    <col min="4362" max="4362" width="10" style="90" customWidth="1"/>
    <col min="4363" max="4363" width="10.44140625" style="90" customWidth="1"/>
    <col min="4364" max="4364" width="8.6640625" style="90" customWidth="1"/>
    <col min="4365" max="4365" width="0" style="90" hidden="1" customWidth="1"/>
    <col min="4366" max="4366" width="10.109375" style="90" bestFit="1" customWidth="1"/>
    <col min="4367" max="4367" width="10.109375" style="90" customWidth="1"/>
    <col min="4368" max="4368" width="0" style="90" hidden="1" customWidth="1"/>
    <col min="4369" max="4369" width="10" style="90" customWidth="1"/>
    <col min="4370" max="4370" width="12.88671875" style="90" customWidth="1"/>
    <col min="4371" max="4609" width="9.109375" style="90"/>
    <col min="4610" max="4610" width="4.109375" style="90" customWidth="1"/>
    <col min="4611" max="4611" width="25.5546875" style="90" customWidth="1"/>
    <col min="4612" max="4612" width="0" style="90" hidden="1" customWidth="1"/>
    <col min="4613" max="4613" width="9.109375" style="90" bestFit="1" customWidth="1"/>
    <col min="4614" max="4614" width="9.109375" style="90" customWidth="1"/>
    <col min="4615" max="4615" width="8.88671875" style="90" customWidth="1"/>
    <col min="4616" max="4617" width="10.6640625" style="90" customWidth="1"/>
    <col min="4618" max="4618" width="10" style="90" customWidth="1"/>
    <col min="4619" max="4619" width="10.44140625" style="90" customWidth="1"/>
    <col min="4620" max="4620" width="8.6640625" style="90" customWidth="1"/>
    <col min="4621" max="4621" width="0" style="90" hidden="1" customWidth="1"/>
    <col min="4622" max="4622" width="10.109375" style="90" bestFit="1" customWidth="1"/>
    <col min="4623" max="4623" width="10.109375" style="90" customWidth="1"/>
    <col min="4624" max="4624" width="0" style="90" hidden="1" customWidth="1"/>
    <col min="4625" max="4625" width="10" style="90" customWidth="1"/>
    <col min="4626" max="4626" width="12.88671875" style="90" customWidth="1"/>
    <col min="4627" max="4865" width="9.109375" style="90"/>
    <col min="4866" max="4866" width="4.109375" style="90" customWidth="1"/>
    <col min="4867" max="4867" width="25.5546875" style="90" customWidth="1"/>
    <col min="4868" max="4868" width="0" style="90" hidden="1" customWidth="1"/>
    <col min="4869" max="4869" width="9.109375" style="90" bestFit="1" customWidth="1"/>
    <col min="4870" max="4870" width="9.109375" style="90" customWidth="1"/>
    <col min="4871" max="4871" width="8.88671875" style="90" customWidth="1"/>
    <col min="4872" max="4873" width="10.6640625" style="90" customWidth="1"/>
    <col min="4874" max="4874" width="10" style="90" customWidth="1"/>
    <col min="4875" max="4875" width="10.44140625" style="90" customWidth="1"/>
    <col min="4876" max="4876" width="8.6640625" style="90" customWidth="1"/>
    <col min="4877" max="4877" width="0" style="90" hidden="1" customWidth="1"/>
    <col min="4878" max="4878" width="10.109375" style="90" bestFit="1" customWidth="1"/>
    <col min="4879" max="4879" width="10.109375" style="90" customWidth="1"/>
    <col min="4880" max="4880" width="0" style="90" hidden="1" customWidth="1"/>
    <col min="4881" max="4881" width="10" style="90" customWidth="1"/>
    <col min="4882" max="4882" width="12.88671875" style="90" customWidth="1"/>
    <col min="4883" max="5121" width="9.109375" style="90"/>
    <col min="5122" max="5122" width="4.109375" style="90" customWidth="1"/>
    <col min="5123" max="5123" width="25.5546875" style="90" customWidth="1"/>
    <col min="5124" max="5124" width="0" style="90" hidden="1" customWidth="1"/>
    <col min="5125" max="5125" width="9.109375" style="90" bestFit="1" customWidth="1"/>
    <col min="5126" max="5126" width="9.109375" style="90" customWidth="1"/>
    <col min="5127" max="5127" width="8.88671875" style="90" customWidth="1"/>
    <col min="5128" max="5129" width="10.6640625" style="90" customWidth="1"/>
    <col min="5130" max="5130" width="10" style="90" customWidth="1"/>
    <col min="5131" max="5131" width="10.44140625" style="90" customWidth="1"/>
    <col min="5132" max="5132" width="8.6640625" style="90" customWidth="1"/>
    <col min="5133" max="5133" width="0" style="90" hidden="1" customWidth="1"/>
    <col min="5134" max="5134" width="10.109375" style="90" bestFit="1" customWidth="1"/>
    <col min="5135" max="5135" width="10.109375" style="90" customWidth="1"/>
    <col min="5136" max="5136" width="0" style="90" hidden="1" customWidth="1"/>
    <col min="5137" max="5137" width="10" style="90" customWidth="1"/>
    <col min="5138" max="5138" width="12.88671875" style="90" customWidth="1"/>
    <col min="5139" max="5377" width="9.109375" style="90"/>
    <col min="5378" max="5378" width="4.109375" style="90" customWidth="1"/>
    <col min="5379" max="5379" width="25.5546875" style="90" customWidth="1"/>
    <col min="5380" max="5380" width="0" style="90" hidden="1" customWidth="1"/>
    <col min="5381" max="5381" width="9.109375" style="90" bestFit="1" customWidth="1"/>
    <col min="5382" max="5382" width="9.109375" style="90" customWidth="1"/>
    <col min="5383" max="5383" width="8.88671875" style="90" customWidth="1"/>
    <col min="5384" max="5385" width="10.6640625" style="90" customWidth="1"/>
    <col min="5386" max="5386" width="10" style="90" customWidth="1"/>
    <col min="5387" max="5387" width="10.44140625" style="90" customWidth="1"/>
    <col min="5388" max="5388" width="8.6640625" style="90" customWidth="1"/>
    <col min="5389" max="5389" width="0" style="90" hidden="1" customWidth="1"/>
    <col min="5390" max="5390" width="10.109375" style="90" bestFit="1" customWidth="1"/>
    <col min="5391" max="5391" width="10.109375" style="90" customWidth="1"/>
    <col min="5392" max="5392" width="0" style="90" hidden="1" customWidth="1"/>
    <col min="5393" max="5393" width="10" style="90" customWidth="1"/>
    <col min="5394" max="5394" width="12.88671875" style="90" customWidth="1"/>
    <col min="5395" max="5633" width="9.109375" style="90"/>
    <col min="5634" max="5634" width="4.109375" style="90" customWidth="1"/>
    <col min="5635" max="5635" width="25.5546875" style="90" customWidth="1"/>
    <col min="5636" max="5636" width="0" style="90" hidden="1" customWidth="1"/>
    <col min="5637" max="5637" width="9.109375" style="90" bestFit="1" customWidth="1"/>
    <col min="5638" max="5638" width="9.109375" style="90" customWidth="1"/>
    <col min="5639" max="5639" width="8.88671875" style="90" customWidth="1"/>
    <col min="5640" max="5641" width="10.6640625" style="90" customWidth="1"/>
    <col min="5642" max="5642" width="10" style="90" customWidth="1"/>
    <col min="5643" max="5643" width="10.44140625" style="90" customWidth="1"/>
    <col min="5644" max="5644" width="8.6640625" style="90" customWidth="1"/>
    <col min="5645" max="5645" width="0" style="90" hidden="1" customWidth="1"/>
    <col min="5646" max="5646" width="10.109375" style="90" bestFit="1" customWidth="1"/>
    <col min="5647" max="5647" width="10.109375" style="90" customWidth="1"/>
    <col min="5648" max="5648" width="0" style="90" hidden="1" customWidth="1"/>
    <col min="5649" max="5649" width="10" style="90" customWidth="1"/>
    <col min="5650" max="5650" width="12.88671875" style="90" customWidth="1"/>
    <col min="5651" max="5889" width="9.109375" style="90"/>
    <col min="5890" max="5890" width="4.109375" style="90" customWidth="1"/>
    <col min="5891" max="5891" width="25.5546875" style="90" customWidth="1"/>
    <col min="5892" max="5892" width="0" style="90" hidden="1" customWidth="1"/>
    <col min="5893" max="5893" width="9.109375" style="90" bestFit="1" customWidth="1"/>
    <col min="5894" max="5894" width="9.109375" style="90" customWidth="1"/>
    <col min="5895" max="5895" width="8.88671875" style="90" customWidth="1"/>
    <col min="5896" max="5897" width="10.6640625" style="90" customWidth="1"/>
    <col min="5898" max="5898" width="10" style="90" customWidth="1"/>
    <col min="5899" max="5899" width="10.44140625" style="90" customWidth="1"/>
    <col min="5900" max="5900" width="8.6640625" style="90" customWidth="1"/>
    <col min="5901" max="5901" width="0" style="90" hidden="1" customWidth="1"/>
    <col min="5902" max="5902" width="10.109375" style="90" bestFit="1" customWidth="1"/>
    <col min="5903" max="5903" width="10.109375" style="90" customWidth="1"/>
    <col min="5904" max="5904" width="0" style="90" hidden="1" customWidth="1"/>
    <col min="5905" max="5905" width="10" style="90" customWidth="1"/>
    <col min="5906" max="5906" width="12.88671875" style="90" customWidth="1"/>
    <col min="5907" max="6145" width="9.109375" style="90"/>
    <col min="6146" max="6146" width="4.109375" style="90" customWidth="1"/>
    <col min="6147" max="6147" width="25.5546875" style="90" customWidth="1"/>
    <col min="6148" max="6148" width="0" style="90" hidden="1" customWidth="1"/>
    <col min="6149" max="6149" width="9.109375" style="90" bestFit="1" customWidth="1"/>
    <col min="6150" max="6150" width="9.109375" style="90" customWidth="1"/>
    <col min="6151" max="6151" width="8.88671875" style="90" customWidth="1"/>
    <col min="6152" max="6153" width="10.6640625" style="90" customWidth="1"/>
    <col min="6154" max="6154" width="10" style="90" customWidth="1"/>
    <col min="6155" max="6155" width="10.44140625" style="90" customWidth="1"/>
    <col min="6156" max="6156" width="8.6640625" style="90" customWidth="1"/>
    <col min="6157" max="6157" width="0" style="90" hidden="1" customWidth="1"/>
    <col min="6158" max="6158" width="10.109375" style="90" bestFit="1" customWidth="1"/>
    <col min="6159" max="6159" width="10.109375" style="90" customWidth="1"/>
    <col min="6160" max="6160" width="0" style="90" hidden="1" customWidth="1"/>
    <col min="6161" max="6161" width="10" style="90" customWidth="1"/>
    <col min="6162" max="6162" width="12.88671875" style="90" customWidth="1"/>
    <col min="6163" max="6401" width="9.109375" style="90"/>
    <col min="6402" max="6402" width="4.109375" style="90" customWidth="1"/>
    <col min="6403" max="6403" width="25.5546875" style="90" customWidth="1"/>
    <col min="6404" max="6404" width="0" style="90" hidden="1" customWidth="1"/>
    <col min="6405" max="6405" width="9.109375" style="90" bestFit="1" customWidth="1"/>
    <col min="6406" max="6406" width="9.109375" style="90" customWidth="1"/>
    <col min="6407" max="6407" width="8.88671875" style="90" customWidth="1"/>
    <col min="6408" max="6409" width="10.6640625" style="90" customWidth="1"/>
    <col min="6410" max="6410" width="10" style="90" customWidth="1"/>
    <col min="6411" max="6411" width="10.44140625" style="90" customWidth="1"/>
    <col min="6412" max="6412" width="8.6640625" style="90" customWidth="1"/>
    <col min="6413" max="6413" width="0" style="90" hidden="1" customWidth="1"/>
    <col min="6414" max="6414" width="10.109375" style="90" bestFit="1" customWidth="1"/>
    <col min="6415" max="6415" width="10.109375" style="90" customWidth="1"/>
    <col min="6416" max="6416" width="0" style="90" hidden="1" customWidth="1"/>
    <col min="6417" max="6417" width="10" style="90" customWidth="1"/>
    <col min="6418" max="6418" width="12.88671875" style="90" customWidth="1"/>
    <col min="6419" max="6657" width="9.109375" style="90"/>
    <col min="6658" max="6658" width="4.109375" style="90" customWidth="1"/>
    <col min="6659" max="6659" width="25.5546875" style="90" customWidth="1"/>
    <col min="6660" max="6660" width="0" style="90" hidden="1" customWidth="1"/>
    <col min="6661" max="6661" width="9.109375" style="90" bestFit="1" customWidth="1"/>
    <col min="6662" max="6662" width="9.109375" style="90" customWidth="1"/>
    <col min="6663" max="6663" width="8.88671875" style="90" customWidth="1"/>
    <col min="6664" max="6665" width="10.6640625" style="90" customWidth="1"/>
    <col min="6666" max="6666" width="10" style="90" customWidth="1"/>
    <col min="6667" max="6667" width="10.44140625" style="90" customWidth="1"/>
    <col min="6668" max="6668" width="8.6640625" style="90" customWidth="1"/>
    <col min="6669" max="6669" width="0" style="90" hidden="1" customWidth="1"/>
    <col min="6670" max="6670" width="10.109375" style="90" bestFit="1" customWidth="1"/>
    <col min="6671" max="6671" width="10.109375" style="90" customWidth="1"/>
    <col min="6672" max="6672" width="0" style="90" hidden="1" customWidth="1"/>
    <col min="6673" max="6673" width="10" style="90" customWidth="1"/>
    <col min="6674" max="6674" width="12.88671875" style="90" customWidth="1"/>
    <col min="6675" max="6913" width="9.109375" style="90"/>
    <col min="6914" max="6914" width="4.109375" style="90" customWidth="1"/>
    <col min="6915" max="6915" width="25.5546875" style="90" customWidth="1"/>
    <col min="6916" max="6916" width="0" style="90" hidden="1" customWidth="1"/>
    <col min="6917" max="6917" width="9.109375" style="90" bestFit="1" customWidth="1"/>
    <col min="6918" max="6918" width="9.109375" style="90" customWidth="1"/>
    <col min="6919" max="6919" width="8.88671875" style="90" customWidth="1"/>
    <col min="6920" max="6921" width="10.6640625" style="90" customWidth="1"/>
    <col min="6922" max="6922" width="10" style="90" customWidth="1"/>
    <col min="6923" max="6923" width="10.44140625" style="90" customWidth="1"/>
    <col min="6924" max="6924" width="8.6640625" style="90" customWidth="1"/>
    <col min="6925" max="6925" width="0" style="90" hidden="1" customWidth="1"/>
    <col min="6926" max="6926" width="10.109375" style="90" bestFit="1" customWidth="1"/>
    <col min="6927" max="6927" width="10.109375" style="90" customWidth="1"/>
    <col min="6928" max="6928" width="0" style="90" hidden="1" customWidth="1"/>
    <col min="6929" max="6929" width="10" style="90" customWidth="1"/>
    <col min="6930" max="6930" width="12.88671875" style="90" customWidth="1"/>
    <col min="6931" max="7169" width="9.109375" style="90"/>
    <col min="7170" max="7170" width="4.109375" style="90" customWidth="1"/>
    <col min="7171" max="7171" width="25.5546875" style="90" customWidth="1"/>
    <col min="7172" max="7172" width="0" style="90" hidden="1" customWidth="1"/>
    <col min="7173" max="7173" width="9.109375" style="90" bestFit="1" customWidth="1"/>
    <col min="7174" max="7174" width="9.109375" style="90" customWidth="1"/>
    <col min="7175" max="7175" width="8.88671875" style="90" customWidth="1"/>
    <col min="7176" max="7177" width="10.6640625" style="90" customWidth="1"/>
    <col min="7178" max="7178" width="10" style="90" customWidth="1"/>
    <col min="7179" max="7179" width="10.44140625" style="90" customWidth="1"/>
    <col min="7180" max="7180" width="8.6640625" style="90" customWidth="1"/>
    <col min="7181" max="7181" width="0" style="90" hidden="1" customWidth="1"/>
    <col min="7182" max="7182" width="10.109375" style="90" bestFit="1" customWidth="1"/>
    <col min="7183" max="7183" width="10.109375" style="90" customWidth="1"/>
    <col min="7184" max="7184" width="0" style="90" hidden="1" customWidth="1"/>
    <col min="7185" max="7185" width="10" style="90" customWidth="1"/>
    <col min="7186" max="7186" width="12.88671875" style="90" customWidth="1"/>
    <col min="7187" max="7425" width="9.109375" style="90"/>
    <col min="7426" max="7426" width="4.109375" style="90" customWidth="1"/>
    <col min="7427" max="7427" width="25.5546875" style="90" customWidth="1"/>
    <col min="7428" max="7428" width="0" style="90" hidden="1" customWidth="1"/>
    <col min="7429" max="7429" width="9.109375" style="90" bestFit="1" customWidth="1"/>
    <col min="7430" max="7430" width="9.109375" style="90" customWidth="1"/>
    <col min="7431" max="7431" width="8.88671875" style="90" customWidth="1"/>
    <col min="7432" max="7433" width="10.6640625" style="90" customWidth="1"/>
    <col min="7434" max="7434" width="10" style="90" customWidth="1"/>
    <col min="7435" max="7435" width="10.44140625" style="90" customWidth="1"/>
    <col min="7436" max="7436" width="8.6640625" style="90" customWidth="1"/>
    <col min="7437" max="7437" width="0" style="90" hidden="1" customWidth="1"/>
    <col min="7438" max="7438" width="10.109375" style="90" bestFit="1" customWidth="1"/>
    <col min="7439" max="7439" width="10.109375" style="90" customWidth="1"/>
    <col min="7440" max="7440" width="0" style="90" hidden="1" customWidth="1"/>
    <col min="7441" max="7441" width="10" style="90" customWidth="1"/>
    <col min="7442" max="7442" width="12.88671875" style="90" customWidth="1"/>
    <col min="7443" max="7681" width="9.109375" style="90"/>
    <col min="7682" max="7682" width="4.109375" style="90" customWidth="1"/>
    <col min="7683" max="7683" width="25.5546875" style="90" customWidth="1"/>
    <col min="7684" max="7684" width="0" style="90" hidden="1" customWidth="1"/>
    <col min="7685" max="7685" width="9.109375" style="90" bestFit="1" customWidth="1"/>
    <col min="7686" max="7686" width="9.109375" style="90" customWidth="1"/>
    <col min="7687" max="7687" width="8.88671875" style="90" customWidth="1"/>
    <col min="7688" max="7689" width="10.6640625" style="90" customWidth="1"/>
    <col min="7690" max="7690" width="10" style="90" customWidth="1"/>
    <col min="7691" max="7691" width="10.44140625" style="90" customWidth="1"/>
    <col min="7692" max="7692" width="8.6640625" style="90" customWidth="1"/>
    <col min="7693" max="7693" width="0" style="90" hidden="1" customWidth="1"/>
    <col min="7694" max="7694" width="10.109375" style="90" bestFit="1" customWidth="1"/>
    <col min="7695" max="7695" width="10.109375" style="90" customWidth="1"/>
    <col min="7696" max="7696" width="0" style="90" hidden="1" customWidth="1"/>
    <col min="7697" max="7697" width="10" style="90" customWidth="1"/>
    <col min="7698" max="7698" width="12.88671875" style="90" customWidth="1"/>
    <col min="7699" max="7937" width="9.109375" style="90"/>
    <col min="7938" max="7938" width="4.109375" style="90" customWidth="1"/>
    <col min="7939" max="7939" width="25.5546875" style="90" customWidth="1"/>
    <col min="7940" max="7940" width="0" style="90" hidden="1" customWidth="1"/>
    <col min="7941" max="7941" width="9.109375" style="90" bestFit="1" customWidth="1"/>
    <col min="7942" max="7942" width="9.109375" style="90" customWidth="1"/>
    <col min="7943" max="7943" width="8.88671875" style="90" customWidth="1"/>
    <col min="7944" max="7945" width="10.6640625" style="90" customWidth="1"/>
    <col min="7946" max="7946" width="10" style="90" customWidth="1"/>
    <col min="7947" max="7947" width="10.44140625" style="90" customWidth="1"/>
    <col min="7948" max="7948" width="8.6640625" style="90" customWidth="1"/>
    <col min="7949" max="7949" width="0" style="90" hidden="1" customWidth="1"/>
    <col min="7950" max="7950" width="10.109375" style="90" bestFit="1" customWidth="1"/>
    <col min="7951" max="7951" width="10.109375" style="90" customWidth="1"/>
    <col min="7952" max="7952" width="0" style="90" hidden="1" customWidth="1"/>
    <col min="7953" max="7953" width="10" style="90" customWidth="1"/>
    <col min="7954" max="7954" width="12.88671875" style="90" customWidth="1"/>
    <col min="7955" max="8193" width="9.109375" style="90"/>
    <col min="8194" max="8194" width="4.109375" style="90" customWidth="1"/>
    <col min="8195" max="8195" width="25.5546875" style="90" customWidth="1"/>
    <col min="8196" max="8196" width="0" style="90" hidden="1" customWidth="1"/>
    <col min="8197" max="8197" width="9.109375" style="90" bestFit="1" customWidth="1"/>
    <col min="8198" max="8198" width="9.109375" style="90" customWidth="1"/>
    <col min="8199" max="8199" width="8.88671875" style="90" customWidth="1"/>
    <col min="8200" max="8201" width="10.6640625" style="90" customWidth="1"/>
    <col min="8202" max="8202" width="10" style="90" customWidth="1"/>
    <col min="8203" max="8203" width="10.44140625" style="90" customWidth="1"/>
    <col min="8204" max="8204" width="8.6640625" style="90" customWidth="1"/>
    <col min="8205" max="8205" width="0" style="90" hidden="1" customWidth="1"/>
    <col min="8206" max="8206" width="10.109375" style="90" bestFit="1" customWidth="1"/>
    <col min="8207" max="8207" width="10.109375" style="90" customWidth="1"/>
    <col min="8208" max="8208" width="0" style="90" hidden="1" customWidth="1"/>
    <col min="8209" max="8209" width="10" style="90" customWidth="1"/>
    <col min="8210" max="8210" width="12.88671875" style="90" customWidth="1"/>
    <col min="8211" max="8449" width="9.109375" style="90"/>
    <col min="8450" max="8450" width="4.109375" style="90" customWidth="1"/>
    <col min="8451" max="8451" width="25.5546875" style="90" customWidth="1"/>
    <col min="8452" max="8452" width="0" style="90" hidden="1" customWidth="1"/>
    <col min="8453" max="8453" width="9.109375" style="90" bestFit="1" customWidth="1"/>
    <col min="8454" max="8454" width="9.109375" style="90" customWidth="1"/>
    <col min="8455" max="8455" width="8.88671875" style="90" customWidth="1"/>
    <col min="8456" max="8457" width="10.6640625" style="90" customWidth="1"/>
    <col min="8458" max="8458" width="10" style="90" customWidth="1"/>
    <col min="8459" max="8459" width="10.44140625" style="90" customWidth="1"/>
    <col min="8460" max="8460" width="8.6640625" style="90" customWidth="1"/>
    <col min="8461" max="8461" width="0" style="90" hidden="1" customWidth="1"/>
    <col min="8462" max="8462" width="10.109375" style="90" bestFit="1" customWidth="1"/>
    <col min="8463" max="8463" width="10.109375" style="90" customWidth="1"/>
    <col min="8464" max="8464" width="0" style="90" hidden="1" customWidth="1"/>
    <col min="8465" max="8465" width="10" style="90" customWidth="1"/>
    <col min="8466" max="8466" width="12.88671875" style="90" customWidth="1"/>
    <col min="8467" max="8705" width="9.109375" style="90"/>
    <col min="8706" max="8706" width="4.109375" style="90" customWidth="1"/>
    <col min="8707" max="8707" width="25.5546875" style="90" customWidth="1"/>
    <col min="8708" max="8708" width="0" style="90" hidden="1" customWidth="1"/>
    <col min="8709" max="8709" width="9.109375" style="90" bestFit="1" customWidth="1"/>
    <col min="8710" max="8710" width="9.109375" style="90" customWidth="1"/>
    <col min="8711" max="8711" width="8.88671875" style="90" customWidth="1"/>
    <col min="8712" max="8713" width="10.6640625" style="90" customWidth="1"/>
    <col min="8714" max="8714" width="10" style="90" customWidth="1"/>
    <col min="8715" max="8715" width="10.44140625" style="90" customWidth="1"/>
    <col min="8716" max="8716" width="8.6640625" style="90" customWidth="1"/>
    <col min="8717" max="8717" width="0" style="90" hidden="1" customWidth="1"/>
    <col min="8718" max="8718" width="10.109375" style="90" bestFit="1" customWidth="1"/>
    <col min="8719" max="8719" width="10.109375" style="90" customWidth="1"/>
    <col min="8720" max="8720" width="0" style="90" hidden="1" customWidth="1"/>
    <col min="8721" max="8721" width="10" style="90" customWidth="1"/>
    <col min="8722" max="8722" width="12.88671875" style="90" customWidth="1"/>
    <col min="8723" max="8961" width="9.109375" style="90"/>
    <col min="8962" max="8962" width="4.109375" style="90" customWidth="1"/>
    <col min="8963" max="8963" width="25.5546875" style="90" customWidth="1"/>
    <col min="8964" max="8964" width="0" style="90" hidden="1" customWidth="1"/>
    <col min="8965" max="8965" width="9.109375" style="90" bestFit="1" customWidth="1"/>
    <col min="8966" max="8966" width="9.109375" style="90" customWidth="1"/>
    <col min="8967" max="8967" width="8.88671875" style="90" customWidth="1"/>
    <col min="8968" max="8969" width="10.6640625" style="90" customWidth="1"/>
    <col min="8970" max="8970" width="10" style="90" customWidth="1"/>
    <col min="8971" max="8971" width="10.44140625" style="90" customWidth="1"/>
    <col min="8972" max="8972" width="8.6640625" style="90" customWidth="1"/>
    <col min="8973" max="8973" width="0" style="90" hidden="1" customWidth="1"/>
    <col min="8974" max="8974" width="10.109375" style="90" bestFit="1" customWidth="1"/>
    <col min="8975" max="8975" width="10.109375" style="90" customWidth="1"/>
    <col min="8976" max="8976" width="0" style="90" hidden="1" customWidth="1"/>
    <col min="8977" max="8977" width="10" style="90" customWidth="1"/>
    <col min="8978" max="8978" width="12.88671875" style="90" customWidth="1"/>
    <col min="8979" max="9217" width="9.109375" style="90"/>
    <col min="9218" max="9218" width="4.109375" style="90" customWidth="1"/>
    <col min="9219" max="9219" width="25.5546875" style="90" customWidth="1"/>
    <col min="9220" max="9220" width="0" style="90" hidden="1" customWidth="1"/>
    <col min="9221" max="9221" width="9.109375" style="90" bestFit="1" customWidth="1"/>
    <col min="9222" max="9222" width="9.109375" style="90" customWidth="1"/>
    <col min="9223" max="9223" width="8.88671875" style="90" customWidth="1"/>
    <col min="9224" max="9225" width="10.6640625" style="90" customWidth="1"/>
    <col min="9226" max="9226" width="10" style="90" customWidth="1"/>
    <col min="9227" max="9227" width="10.44140625" style="90" customWidth="1"/>
    <col min="9228" max="9228" width="8.6640625" style="90" customWidth="1"/>
    <col min="9229" max="9229" width="0" style="90" hidden="1" customWidth="1"/>
    <col min="9230" max="9230" width="10.109375" style="90" bestFit="1" customWidth="1"/>
    <col min="9231" max="9231" width="10.109375" style="90" customWidth="1"/>
    <col min="9232" max="9232" width="0" style="90" hidden="1" customWidth="1"/>
    <col min="9233" max="9233" width="10" style="90" customWidth="1"/>
    <col min="9234" max="9234" width="12.88671875" style="90" customWidth="1"/>
    <col min="9235" max="9473" width="9.109375" style="90"/>
    <col min="9474" max="9474" width="4.109375" style="90" customWidth="1"/>
    <col min="9475" max="9475" width="25.5546875" style="90" customWidth="1"/>
    <col min="9476" max="9476" width="0" style="90" hidden="1" customWidth="1"/>
    <col min="9477" max="9477" width="9.109375" style="90" bestFit="1" customWidth="1"/>
    <col min="9478" max="9478" width="9.109375" style="90" customWidth="1"/>
    <col min="9479" max="9479" width="8.88671875" style="90" customWidth="1"/>
    <col min="9480" max="9481" width="10.6640625" style="90" customWidth="1"/>
    <col min="9482" max="9482" width="10" style="90" customWidth="1"/>
    <col min="9483" max="9483" width="10.44140625" style="90" customWidth="1"/>
    <col min="9484" max="9484" width="8.6640625" style="90" customWidth="1"/>
    <col min="9485" max="9485" width="0" style="90" hidden="1" customWidth="1"/>
    <col min="9486" max="9486" width="10.109375" style="90" bestFit="1" customWidth="1"/>
    <col min="9487" max="9487" width="10.109375" style="90" customWidth="1"/>
    <col min="9488" max="9488" width="0" style="90" hidden="1" customWidth="1"/>
    <col min="9489" max="9489" width="10" style="90" customWidth="1"/>
    <col min="9490" max="9490" width="12.88671875" style="90" customWidth="1"/>
    <col min="9491" max="9729" width="9.109375" style="90"/>
    <col min="9730" max="9730" width="4.109375" style="90" customWidth="1"/>
    <col min="9731" max="9731" width="25.5546875" style="90" customWidth="1"/>
    <col min="9732" max="9732" width="0" style="90" hidden="1" customWidth="1"/>
    <col min="9733" max="9733" width="9.109375" style="90" bestFit="1" customWidth="1"/>
    <col min="9734" max="9734" width="9.109375" style="90" customWidth="1"/>
    <col min="9735" max="9735" width="8.88671875" style="90" customWidth="1"/>
    <col min="9736" max="9737" width="10.6640625" style="90" customWidth="1"/>
    <col min="9738" max="9738" width="10" style="90" customWidth="1"/>
    <col min="9739" max="9739" width="10.44140625" style="90" customWidth="1"/>
    <col min="9740" max="9740" width="8.6640625" style="90" customWidth="1"/>
    <col min="9741" max="9741" width="0" style="90" hidden="1" customWidth="1"/>
    <col min="9742" max="9742" width="10.109375" style="90" bestFit="1" customWidth="1"/>
    <col min="9743" max="9743" width="10.109375" style="90" customWidth="1"/>
    <col min="9744" max="9744" width="0" style="90" hidden="1" customWidth="1"/>
    <col min="9745" max="9745" width="10" style="90" customWidth="1"/>
    <col min="9746" max="9746" width="12.88671875" style="90" customWidth="1"/>
    <col min="9747" max="9985" width="9.109375" style="90"/>
    <col min="9986" max="9986" width="4.109375" style="90" customWidth="1"/>
    <col min="9987" max="9987" width="25.5546875" style="90" customWidth="1"/>
    <col min="9988" max="9988" width="0" style="90" hidden="1" customWidth="1"/>
    <col min="9989" max="9989" width="9.109375" style="90" bestFit="1" customWidth="1"/>
    <col min="9990" max="9990" width="9.109375" style="90" customWidth="1"/>
    <col min="9991" max="9991" width="8.88671875" style="90" customWidth="1"/>
    <col min="9992" max="9993" width="10.6640625" style="90" customWidth="1"/>
    <col min="9994" max="9994" width="10" style="90" customWidth="1"/>
    <col min="9995" max="9995" width="10.44140625" style="90" customWidth="1"/>
    <col min="9996" max="9996" width="8.6640625" style="90" customWidth="1"/>
    <col min="9997" max="9997" width="0" style="90" hidden="1" customWidth="1"/>
    <col min="9998" max="9998" width="10.109375" style="90" bestFit="1" customWidth="1"/>
    <col min="9999" max="9999" width="10.109375" style="90" customWidth="1"/>
    <col min="10000" max="10000" width="0" style="90" hidden="1" customWidth="1"/>
    <col min="10001" max="10001" width="10" style="90" customWidth="1"/>
    <col min="10002" max="10002" width="12.88671875" style="90" customWidth="1"/>
    <col min="10003" max="10241" width="9.109375" style="90"/>
    <col min="10242" max="10242" width="4.109375" style="90" customWidth="1"/>
    <col min="10243" max="10243" width="25.5546875" style="90" customWidth="1"/>
    <col min="10244" max="10244" width="0" style="90" hidden="1" customWidth="1"/>
    <col min="10245" max="10245" width="9.109375" style="90" bestFit="1" customWidth="1"/>
    <col min="10246" max="10246" width="9.109375" style="90" customWidth="1"/>
    <col min="10247" max="10247" width="8.88671875" style="90" customWidth="1"/>
    <col min="10248" max="10249" width="10.6640625" style="90" customWidth="1"/>
    <col min="10250" max="10250" width="10" style="90" customWidth="1"/>
    <col min="10251" max="10251" width="10.44140625" style="90" customWidth="1"/>
    <col min="10252" max="10252" width="8.6640625" style="90" customWidth="1"/>
    <col min="10253" max="10253" width="0" style="90" hidden="1" customWidth="1"/>
    <col min="10254" max="10254" width="10.109375" style="90" bestFit="1" customWidth="1"/>
    <col min="10255" max="10255" width="10.109375" style="90" customWidth="1"/>
    <col min="10256" max="10256" width="0" style="90" hidden="1" customWidth="1"/>
    <col min="10257" max="10257" width="10" style="90" customWidth="1"/>
    <col min="10258" max="10258" width="12.88671875" style="90" customWidth="1"/>
    <col min="10259" max="10497" width="9.109375" style="90"/>
    <col min="10498" max="10498" width="4.109375" style="90" customWidth="1"/>
    <col min="10499" max="10499" width="25.5546875" style="90" customWidth="1"/>
    <col min="10500" max="10500" width="0" style="90" hidden="1" customWidth="1"/>
    <col min="10501" max="10501" width="9.109375" style="90" bestFit="1" customWidth="1"/>
    <col min="10502" max="10502" width="9.109375" style="90" customWidth="1"/>
    <col min="10503" max="10503" width="8.88671875" style="90" customWidth="1"/>
    <col min="10504" max="10505" width="10.6640625" style="90" customWidth="1"/>
    <col min="10506" max="10506" width="10" style="90" customWidth="1"/>
    <col min="10507" max="10507" width="10.44140625" style="90" customWidth="1"/>
    <col min="10508" max="10508" width="8.6640625" style="90" customWidth="1"/>
    <col min="10509" max="10509" width="0" style="90" hidden="1" customWidth="1"/>
    <col min="10510" max="10510" width="10.109375" style="90" bestFit="1" customWidth="1"/>
    <col min="10511" max="10511" width="10.109375" style="90" customWidth="1"/>
    <col min="10512" max="10512" width="0" style="90" hidden="1" customWidth="1"/>
    <col min="10513" max="10513" width="10" style="90" customWidth="1"/>
    <col min="10514" max="10514" width="12.88671875" style="90" customWidth="1"/>
    <col min="10515" max="10753" width="9.109375" style="90"/>
    <col min="10754" max="10754" width="4.109375" style="90" customWidth="1"/>
    <col min="10755" max="10755" width="25.5546875" style="90" customWidth="1"/>
    <col min="10756" max="10756" width="0" style="90" hidden="1" customWidth="1"/>
    <col min="10757" max="10757" width="9.109375" style="90" bestFit="1" customWidth="1"/>
    <col min="10758" max="10758" width="9.109375" style="90" customWidth="1"/>
    <col min="10759" max="10759" width="8.88671875" style="90" customWidth="1"/>
    <col min="10760" max="10761" width="10.6640625" style="90" customWidth="1"/>
    <col min="10762" max="10762" width="10" style="90" customWidth="1"/>
    <col min="10763" max="10763" width="10.44140625" style="90" customWidth="1"/>
    <col min="10764" max="10764" width="8.6640625" style="90" customWidth="1"/>
    <col min="10765" max="10765" width="0" style="90" hidden="1" customWidth="1"/>
    <col min="10766" max="10766" width="10.109375" style="90" bestFit="1" customWidth="1"/>
    <col min="10767" max="10767" width="10.109375" style="90" customWidth="1"/>
    <col min="10768" max="10768" width="0" style="90" hidden="1" customWidth="1"/>
    <col min="10769" max="10769" width="10" style="90" customWidth="1"/>
    <col min="10770" max="10770" width="12.88671875" style="90" customWidth="1"/>
    <col min="10771" max="11009" width="9.109375" style="90"/>
    <col min="11010" max="11010" width="4.109375" style="90" customWidth="1"/>
    <col min="11011" max="11011" width="25.5546875" style="90" customWidth="1"/>
    <col min="11012" max="11012" width="0" style="90" hidden="1" customWidth="1"/>
    <col min="11013" max="11013" width="9.109375" style="90" bestFit="1" customWidth="1"/>
    <col min="11014" max="11014" width="9.109375" style="90" customWidth="1"/>
    <col min="11015" max="11015" width="8.88671875" style="90" customWidth="1"/>
    <col min="11016" max="11017" width="10.6640625" style="90" customWidth="1"/>
    <col min="11018" max="11018" width="10" style="90" customWidth="1"/>
    <col min="11019" max="11019" width="10.44140625" style="90" customWidth="1"/>
    <col min="11020" max="11020" width="8.6640625" style="90" customWidth="1"/>
    <col min="11021" max="11021" width="0" style="90" hidden="1" customWidth="1"/>
    <col min="11022" max="11022" width="10.109375" style="90" bestFit="1" customWidth="1"/>
    <col min="11023" max="11023" width="10.109375" style="90" customWidth="1"/>
    <col min="11024" max="11024" width="0" style="90" hidden="1" customWidth="1"/>
    <col min="11025" max="11025" width="10" style="90" customWidth="1"/>
    <col min="11026" max="11026" width="12.88671875" style="90" customWidth="1"/>
    <col min="11027" max="11265" width="9.109375" style="90"/>
    <col min="11266" max="11266" width="4.109375" style="90" customWidth="1"/>
    <col min="11267" max="11267" width="25.5546875" style="90" customWidth="1"/>
    <col min="11268" max="11268" width="0" style="90" hidden="1" customWidth="1"/>
    <col min="11269" max="11269" width="9.109375" style="90" bestFit="1" customWidth="1"/>
    <col min="11270" max="11270" width="9.109375" style="90" customWidth="1"/>
    <col min="11271" max="11271" width="8.88671875" style="90" customWidth="1"/>
    <col min="11272" max="11273" width="10.6640625" style="90" customWidth="1"/>
    <col min="11274" max="11274" width="10" style="90" customWidth="1"/>
    <col min="11275" max="11275" width="10.44140625" style="90" customWidth="1"/>
    <col min="11276" max="11276" width="8.6640625" style="90" customWidth="1"/>
    <col min="11277" max="11277" width="0" style="90" hidden="1" customWidth="1"/>
    <col min="11278" max="11278" width="10.109375" style="90" bestFit="1" customWidth="1"/>
    <col min="11279" max="11279" width="10.109375" style="90" customWidth="1"/>
    <col min="11280" max="11280" width="0" style="90" hidden="1" customWidth="1"/>
    <col min="11281" max="11281" width="10" style="90" customWidth="1"/>
    <col min="11282" max="11282" width="12.88671875" style="90" customWidth="1"/>
    <col min="11283" max="11521" width="9.109375" style="90"/>
    <col min="11522" max="11522" width="4.109375" style="90" customWidth="1"/>
    <col min="11523" max="11523" width="25.5546875" style="90" customWidth="1"/>
    <col min="11524" max="11524" width="0" style="90" hidden="1" customWidth="1"/>
    <col min="11525" max="11525" width="9.109375" style="90" bestFit="1" customWidth="1"/>
    <col min="11526" max="11526" width="9.109375" style="90" customWidth="1"/>
    <col min="11527" max="11527" width="8.88671875" style="90" customWidth="1"/>
    <col min="11528" max="11529" width="10.6640625" style="90" customWidth="1"/>
    <col min="11530" max="11530" width="10" style="90" customWidth="1"/>
    <col min="11531" max="11531" width="10.44140625" style="90" customWidth="1"/>
    <col min="11532" max="11532" width="8.6640625" style="90" customWidth="1"/>
    <col min="11533" max="11533" width="0" style="90" hidden="1" customWidth="1"/>
    <col min="11534" max="11534" width="10.109375" style="90" bestFit="1" customWidth="1"/>
    <col min="11535" max="11535" width="10.109375" style="90" customWidth="1"/>
    <col min="11536" max="11536" width="0" style="90" hidden="1" customWidth="1"/>
    <col min="11537" max="11537" width="10" style="90" customWidth="1"/>
    <col min="11538" max="11538" width="12.88671875" style="90" customWidth="1"/>
    <col min="11539" max="11777" width="9.109375" style="90"/>
    <col min="11778" max="11778" width="4.109375" style="90" customWidth="1"/>
    <col min="11779" max="11779" width="25.5546875" style="90" customWidth="1"/>
    <col min="11780" max="11780" width="0" style="90" hidden="1" customWidth="1"/>
    <col min="11781" max="11781" width="9.109375" style="90" bestFit="1" customWidth="1"/>
    <col min="11782" max="11782" width="9.109375" style="90" customWidth="1"/>
    <col min="11783" max="11783" width="8.88671875" style="90" customWidth="1"/>
    <col min="11784" max="11785" width="10.6640625" style="90" customWidth="1"/>
    <col min="11786" max="11786" width="10" style="90" customWidth="1"/>
    <col min="11787" max="11787" width="10.44140625" style="90" customWidth="1"/>
    <col min="11788" max="11788" width="8.6640625" style="90" customWidth="1"/>
    <col min="11789" max="11789" width="0" style="90" hidden="1" customWidth="1"/>
    <col min="11790" max="11790" width="10.109375" style="90" bestFit="1" customWidth="1"/>
    <col min="11791" max="11791" width="10.109375" style="90" customWidth="1"/>
    <col min="11792" max="11792" width="0" style="90" hidden="1" customWidth="1"/>
    <col min="11793" max="11793" width="10" style="90" customWidth="1"/>
    <col min="11794" max="11794" width="12.88671875" style="90" customWidth="1"/>
    <col min="11795" max="12033" width="9.109375" style="90"/>
    <col min="12034" max="12034" width="4.109375" style="90" customWidth="1"/>
    <col min="12035" max="12035" width="25.5546875" style="90" customWidth="1"/>
    <col min="12036" max="12036" width="0" style="90" hidden="1" customWidth="1"/>
    <col min="12037" max="12037" width="9.109375" style="90" bestFit="1" customWidth="1"/>
    <col min="12038" max="12038" width="9.109375" style="90" customWidth="1"/>
    <col min="12039" max="12039" width="8.88671875" style="90" customWidth="1"/>
    <col min="12040" max="12041" width="10.6640625" style="90" customWidth="1"/>
    <col min="12042" max="12042" width="10" style="90" customWidth="1"/>
    <col min="12043" max="12043" width="10.44140625" style="90" customWidth="1"/>
    <col min="12044" max="12044" width="8.6640625" style="90" customWidth="1"/>
    <col min="12045" max="12045" width="0" style="90" hidden="1" customWidth="1"/>
    <col min="12046" max="12046" width="10.109375" style="90" bestFit="1" customWidth="1"/>
    <col min="12047" max="12047" width="10.109375" style="90" customWidth="1"/>
    <col min="12048" max="12048" width="0" style="90" hidden="1" customWidth="1"/>
    <col min="12049" max="12049" width="10" style="90" customWidth="1"/>
    <col min="12050" max="12050" width="12.88671875" style="90" customWidth="1"/>
    <col min="12051" max="12289" width="9.109375" style="90"/>
    <col min="12290" max="12290" width="4.109375" style="90" customWidth="1"/>
    <col min="12291" max="12291" width="25.5546875" style="90" customWidth="1"/>
    <col min="12292" max="12292" width="0" style="90" hidden="1" customWidth="1"/>
    <col min="12293" max="12293" width="9.109375" style="90" bestFit="1" customWidth="1"/>
    <col min="12294" max="12294" width="9.109375" style="90" customWidth="1"/>
    <col min="12295" max="12295" width="8.88671875" style="90" customWidth="1"/>
    <col min="12296" max="12297" width="10.6640625" style="90" customWidth="1"/>
    <col min="12298" max="12298" width="10" style="90" customWidth="1"/>
    <col min="12299" max="12299" width="10.44140625" style="90" customWidth="1"/>
    <col min="12300" max="12300" width="8.6640625" style="90" customWidth="1"/>
    <col min="12301" max="12301" width="0" style="90" hidden="1" customWidth="1"/>
    <col min="12302" max="12302" width="10.109375" style="90" bestFit="1" customWidth="1"/>
    <col min="12303" max="12303" width="10.109375" style="90" customWidth="1"/>
    <col min="12304" max="12304" width="0" style="90" hidden="1" customWidth="1"/>
    <col min="12305" max="12305" width="10" style="90" customWidth="1"/>
    <col min="12306" max="12306" width="12.88671875" style="90" customWidth="1"/>
    <col min="12307" max="12545" width="9.109375" style="90"/>
    <col min="12546" max="12546" width="4.109375" style="90" customWidth="1"/>
    <col min="12547" max="12547" width="25.5546875" style="90" customWidth="1"/>
    <col min="12548" max="12548" width="0" style="90" hidden="1" customWidth="1"/>
    <col min="12549" max="12549" width="9.109375" style="90" bestFit="1" customWidth="1"/>
    <col min="12550" max="12550" width="9.109375" style="90" customWidth="1"/>
    <col min="12551" max="12551" width="8.88671875" style="90" customWidth="1"/>
    <col min="12552" max="12553" width="10.6640625" style="90" customWidth="1"/>
    <col min="12554" max="12554" width="10" style="90" customWidth="1"/>
    <col min="12555" max="12555" width="10.44140625" style="90" customWidth="1"/>
    <col min="12556" max="12556" width="8.6640625" style="90" customWidth="1"/>
    <col min="12557" max="12557" width="0" style="90" hidden="1" customWidth="1"/>
    <col min="12558" max="12558" width="10.109375" style="90" bestFit="1" customWidth="1"/>
    <col min="12559" max="12559" width="10.109375" style="90" customWidth="1"/>
    <col min="12560" max="12560" width="0" style="90" hidden="1" customWidth="1"/>
    <col min="12561" max="12561" width="10" style="90" customWidth="1"/>
    <col min="12562" max="12562" width="12.88671875" style="90" customWidth="1"/>
    <col min="12563" max="12801" width="9.109375" style="90"/>
    <col min="12802" max="12802" width="4.109375" style="90" customWidth="1"/>
    <col min="12803" max="12803" width="25.5546875" style="90" customWidth="1"/>
    <col min="12804" max="12804" width="0" style="90" hidden="1" customWidth="1"/>
    <col min="12805" max="12805" width="9.109375" style="90" bestFit="1" customWidth="1"/>
    <col min="12806" max="12806" width="9.109375" style="90" customWidth="1"/>
    <col min="12807" max="12807" width="8.88671875" style="90" customWidth="1"/>
    <col min="12808" max="12809" width="10.6640625" style="90" customWidth="1"/>
    <col min="12810" max="12810" width="10" style="90" customWidth="1"/>
    <col min="12811" max="12811" width="10.44140625" style="90" customWidth="1"/>
    <col min="12812" max="12812" width="8.6640625" style="90" customWidth="1"/>
    <col min="12813" max="12813" width="0" style="90" hidden="1" customWidth="1"/>
    <col min="12814" max="12814" width="10.109375" style="90" bestFit="1" customWidth="1"/>
    <col min="12815" max="12815" width="10.109375" style="90" customWidth="1"/>
    <col min="12816" max="12816" width="0" style="90" hidden="1" customWidth="1"/>
    <col min="12817" max="12817" width="10" style="90" customWidth="1"/>
    <col min="12818" max="12818" width="12.88671875" style="90" customWidth="1"/>
    <col min="12819" max="13057" width="9.109375" style="90"/>
    <col min="13058" max="13058" width="4.109375" style="90" customWidth="1"/>
    <col min="13059" max="13059" width="25.5546875" style="90" customWidth="1"/>
    <col min="13060" max="13060" width="0" style="90" hidden="1" customWidth="1"/>
    <col min="13061" max="13061" width="9.109375" style="90" bestFit="1" customWidth="1"/>
    <col min="13062" max="13062" width="9.109375" style="90" customWidth="1"/>
    <col min="13063" max="13063" width="8.88671875" style="90" customWidth="1"/>
    <col min="13064" max="13065" width="10.6640625" style="90" customWidth="1"/>
    <col min="13066" max="13066" width="10" style="90" customWidth="1"/>
    <col min="13067" max="13067" width="10.44140625" style="90" customWidth="1"/>
    <col min="13068" max="13068" width="8.6640625" style="90" customWidth="1"/>
    <col min="13069" max="13069" width="0" style="90" hidden="1" customWidth="1"/>
    <col min="13070" max="13070" width="10.109375" style="90" bestFit="1" customWidth="1"/>
    <col min="13071" max="13071" width="10.109375" style="90" customWidth="1"/>
    <col min="13072" max="13072" width="0" style="90" hidden="1" customWidth="1"/>
    <col min="13073" max="13073" width="10" style="90" customWidth="1"/>
    <col min="13074" max="13074" width="12.88671875" style="90" customWidth="1"/>
    <col min="13075" max="13313" width="9.109375" style="90"/>
    <col min="13314" max="13314" width="4.109375" style="90" customWidth="1"/>
    <col min="13315" max="13315" width="25.5546875" style="90" customWidth="1"/>
    <col min="13316" max="13316" width="0" style="90" hidden="1" customWidth="1"/>
    <col min="13317" max="13317" width="9.109375" style="90" bestFit="1" customWidth="1"/>
    <col min="13318" max="13318" width="9.109375" style="90" customWidth="1"/>
    <col min="13319" max="13319" width="8.88671875" style="90" customWidth="1"/>
    <col min="13320" max="13321" width="10.6640625" style="90" customWidth="1"/>
    <col min="13322" max="13322" width="10" style="90" customWidth="1"/>
    <col min="13323" max="13323" width="10.44140625" style="90" customWidth="1"/>
    <col min="13324" max="13324" width="8.6640625" style="90" customWidth="1"/>
    <col min="13325" max="13325" width="0" style="90" hidden="1" customWidth="1"/>
    <col min="13326" max="13326" width="10.109375" style="90" bestFit="1" customWidth="1"/>
    <col min="13327" max="13327" width="10.109375" style="90" customWidth="1"/>
    <col min="13328" max="13328" width="0" style="90" hidden="1" customWidth="1"/>
    <col min="13329" max="13329" width="10" style="90" customWidth="1"/>
    <col min="13330" max="13330" width="12.88671875" style="90" customWidth="1"/>
    <col min="13331" max="13569" width="9.109375" style="90"/>
    <col min="13570" max="13570" width="4.109375" style="90" customWidth="1"/>
    <col min="13571" max="13571" width="25.5546875" style="90" customWidth="1"/>
    <col min="13572" max="13572" width="0" style="90" hidden="1" customWidth="1"/>
    <col min="13573" max="13573" width="9.109375" style="90" bestFit="1" customWidth="1"/>
    <col min="13574" max="13574" width="9.109375" style="90" customWidth="1"/>
    <col min="13575" max="13575" width="8.88671875" style="90" customWidth="1"/>
    <col min="13576" max="13577" width="10.6640625" style="90" customWidth="1"/>
    <col min="13578" max="13578" width="10" style="90" customWidth="1"/>
    <col min="13579" max="13579" width="10.44140625" style="90" customWidth="1"/>
    <col min="13580" max="13580" width="8.6640625" style="90" customWidth="1"/>
    <col min="13581" max="13581" width="0" style="90" hidden="1" customWidth="1"/>
    <col min="13582" max="13582" width="10.109375" style="90" bestFit="1" customWidth="1"/>
    <col min="13583" max="13583" width="10.109375" style="90" customWidth="1"/>
    <col min="13584" max="13584" width="0" style="90" hidden="1" customWidth="1"/>
    <col min="13585" max="13585" width="10" style="90" customWidth="1"/>
    <col min="13586" max="13586" width="12.88671875" style="90" customWidth="1"/>
    <col min="13587" max="13825" width="9.109375" style="90"/>
    <col min="13826" max="13826" width="4.109375" style="90" customWidth="1"/>
    <col min="13827" max="13827" width="25.5546875" style="90" customWidth="1"/>
    <col min="13828" max="13828" width="0" style="90" hidden="1" customWidth="1"/>
    <col min="13829" max="13829" width="9.109375" style="90" bestFit="1" customWidth="1"/>
    <col min="13830" max="13830" width="9.109375" style="90" customWidth="1"/>
    <col min="13831" max="13831" width="8.88671875" style="90" customWidth="1"/>
    <col min="13832" max="13833" width="10.6640625" style="90" customWidth="1"/>
    <col min="13834" max="13834" width="10" style="90" customWidth="1"/>
    <col min="13835" max="13835" width="10.44140625" style="90" customWidth="1"/>
    <col min="13836" max="13836" width="8.6640625" style="90" customWidth="1"/>
    <col min="13837" max="13837" width="0" style="90" hidden="1" customWidth="1"/>
    <col min="13838" max="13838" width="10.109375" style="90" bestFit="1" customWidth="1"/>
    <col min="13839" max="13839" width="10.109375" style="90" customWidth="1"/>
    <col min="13840" max="13840" width="0" style="90" hidden="1" customWidth="1"/>
    <col min="13841" max="13841" width="10" style="90" customWidth="1"/>
    <col min="13842" max="13842" width="12.88671875" style="90" customWidth="1"/>
    <col min="13843" max="14081" width="9.109375" style="90"/>
    <col min="14082" max="14082" width="4.109375" style="90" customWidth="1"/>
    <col min="14083" max="14083" width="25.5546875" style="90" customWidth="1"/>
    <col min="14084" max="14084" width="0" style="90" hidden="1" customWidth="1"/>
    <col min="14085" max="14085" width="9.109375" style="90" bestFit="1" customWidth="1"/>
    <col min="14086" max="14086" width="9.109375" style="90" customWidth="1"/>
    <col min="14087" max="14087" width="8.88671875" style="90" customWidth="1"/>
    <col min="14088" max="14089" width="10.6640625" style="90" customWidth="1"/>
    <col min="14090" max="14090" width="10" style="90" customWidth="1"/>
    <col min="14091" max="14091" width="10.44140625" style="90" customWidth="1"/>
    <col min="14092" max="14092" width="8.6640625" style="90" customWidth="1"/>
    <col min="14093" max="14093" width="0" style="90" hidden="1" customWidth="1"/>
    <col min="14094" max="14094" width="10.109375" style="90" bestFit="1" customWidth="1"/>
    <col min="14095" max="14095" width="10.109375" style="90" customWidth="1"/>
    <col min="14096" max="14096" width="0" style="90" hidden="1" customWidth="1"/>
    <col min="14097" max="14097" width="10" style="90" customWidth="1"/>
    <col min="14098" max="14098" width="12.88671875" style="90" customWidth="1"/>
    <col min="14099" max="14337" width="9.109375" style="90"/>
    <col min="14338" max="14338" width="4.109375" style="90" customWidth="1"/>
    <col min="14339" max="14339" width="25.5546875" style="90" customWidth="1"/>
    <col min="14340" max="14340" width="0" style="90" hidden="1" customWidth="1"/>
    <col min="14341" max="14341" width="9.109375" style="90" bestFit="1" customWidth="1"/>
    <col min="14342" max="14342" width="9.109375" style="90" customWidth="1"/>
    <col min="14343" max="14343" width="8.88671875" style="90" customWidth="1"/>
    <col min="14344" max="14345" width="10.6640625" style="90" customWidth="1"/>
    <col min="14346" max="14346" width="10" style="90" customWidth="1"/>
    <col min="14347" max="14347" width="10.44140625" style="90" customWidth="1"/>
    <col min="14348" max="14348" width="8.6640625" style="90" customWidth="1"/>
    <col min="14349" max="14349" width="0" style="90" hidden="1" customWidth="1"/>
    <col min="14350" max="14350" width="10.109375" style="90" bestFit="1" customWidth="1"/>
    <col min="14351" max="14351" width="10.109375" style="90" customWidth="1"/>
    <col min="14352" max="14352" width="0" style="90" hidden="1" customWidth="1"/>
    <col min="14353" max="14353" width="10" style="90" customWidth="1"/>
    <col min="14354" max="14354" width="12.88671875" style="90" customWidth="1"/>
    <col min="14355" max="14593" width="9.109375" style="90"/>
    <col min="14594" max="14594" width="4.109375" style="90" customWidth="1"/>
    <col min="14595" max="14595" width="25.5546875" style="90" customWidth="1"/>
    <col min="14596" max="14596" width="0" style="90" hidden="1" customWidth="1"/>
    <col min="14597" max="14597" width="9.109375" style="90" bestFit="1" customWidth="1"/>
    <col min="14598" max="14598" width="9.109375" style="90" customWidth="1"/>
    <col min="14599" max="14599" width="8.88671875" style="90" customWidth="1"/>
    <col min="14600" max="14601" width="10.6640625" style="90" customWidth="1"/>
    <col min="14602" max="14602" width="10" style="90" customWidth="1"/>
    <col min="14603" max="14603" width="10.44140625" style="90" customWidth="1"/>
    <col min="14604" max="14604" width="8.6640625" style="90" customWidth="1"/>
    <col min="14605" max="14605" width="0" style="90" hidden="1" customWidth="1"/>
    <col min="14606" max="14606" width="10.109375" style="90" bestFit="1" customWidth="1"/>
    <col min="14607" max="14607" width="10.109375" style="90" customWidth="1"/>
    <col min="14608" max="14608" width="0" style="90" hidden="1" customWidth="1"/>
    <col min="14609" max="14609" width="10" style="90" customWidth="1"/>
    <col min="14610" max="14610" width="12.88671875" style="90" customWidth="1"/>
    <col min="14611" max="14849" width="9.109375" style="90"/>
    <col min="14850" max="14850" width="4.109375" style="90" customWidth="1"/>
    <col min="14851" max="14851" width="25.5546875" style="90" customWidth="1"/>
    <col min="14852" max="14852" width="0" style="90" hidden="1" customWidth="1"/>
    <col min="14853" max="14853" width="9.109375" style="90" bestFit="1" customWidth="1"/>
    <col min="14854" max="14854" width="9.109375" style="90" customWidth="1"/>
    <col min="14855" max="14855" width="8.88671875" style="90" customWidth="1"/>
    <col min="14856" max="14857" width="10.6640625" style="90" customWidth="1"/>
    <col min="14858" max="14858" width="10" style="90" customWidth="1"/>
    <col min="14859" max="14859" width="10.44140625" style="90" customWidth="1"/>
    <col min="14860" max="14860" width="8.6640625" style="90" customWidth="1"/>
    <col min="14861" max="14861" width="0" style="90" hidden="1" customWidth="1"/>
    <col min="14862" max="14862" width="10.109375" style="90" bestFit="1" customWidth="1"/>
    <col min="14863" max="14863" width="10.109375" style="90" customWidth="1"/>
    <col min="14864" max="14864" width="0" style="90" hidden="1" customWidth="1"/>
    <col min="14865" max="14865" width="10" style="90" customWidth="1"/>
    <col min="14866" max="14866" width="12.88671875" style="90" customWidth="1"/>
    <col min="14867" max="15105" width="9.109375" style="90"/>
    <col min="15106" max="15106" width="4.109375" style="90" customWidth="1"/>
    <col min="15107" max="15107" width="25.5546875" style="90" customWidth="1"/>
    <col min="15108" max="15108" width="0" style="90" hidden="1" customWidth="1"/>
    <col min="15109" max="15109" width="9.109375" style="90" bestFit="1" customWidth="1"/>
    <col min="15110" max="15110" width="9.109375" style="90" customWidth="1"/>
    <col min="15111" max="15111" width="8.88671875" style="90" customWidth="1"/>
    <col min="15112" max="15113" width="10.6640625" style="90" customWidth="1"/>
    <col min="15114" max="15114" width="10" style="90" customWidth="1"/>
    <col min="15115" max="15115" width="10.44140625" style="90" customWidth="1"/>
    <col min="15116" max="15116" width="8.6640625" style="90" customWidth="1"/>
    <col min="15117" max="15117" width="0" style="90" hidden="1" customWidth="1"/>
    <col min="15118" max="15118" width="10.109375" style="90" bestFit="1" customWidth="1"/>
    <col min="15119" max="15119" width="10.109375" style="90" customWidth="1"/>
    <col min="15120" max="15120" width="0" style="90" hidden="1" customWidth="1"/>
    <col min="15121" max="15121" width="10" style="90" customWidth="1"/>
    <col min="15122" max="15122" width="12.88671875" style="90" customWidth="1"/>
    <col min="15123" max="15361" width="9.109375" style="90"/>
    <col min="15362" max="15362" width="4.109375" style="90" customWidth="1"/>
    <col min="15363" max="15363" width="25.5546875" style="90" customWidth="1"/>
    <col min="15364" max="15364" width="0" style="90" hidden="1" customWidth="1"/>
    <col min="15365" max="15365" width="9.109375" style="90" bestFit="1" customWidth="1"/>
    <col min="15366" max="15366" width="9.109375" style="90" customWidth="1"/>
    <col min="15367" max="15367" width="8.88671875" style="90" customWidth="1"/>
    <col min="15368" max="15369" width="10.6640625" style="90" customWidth="1"/>
    <col min="15370" max="15370" width="10" style="90" customWidth="1"/>
    <col min="15371" max="15371" width="10.44140625" style="90" customWidth="1"/>
    <col min="15372" max="15372" width="8.6640625" style="90" customWidth="1"/>
    <col min="15373" max="15373" width="0" style="90" hidden="1" customWidth="1"/>
    <col min="15374" max="15374" width="10.109375" style="90" bestFit="1" customWidth="1"/>
    <col min="15375" max="15375" width="10.109375" style="90" customWidth="1"/>
    <col min="15376" max="15376" width="0" style="90" hidden="1" customWidth="1"/>
    <col min="15377" max="15377" width="10" style="90" customWidth="1"/>
    <col min="15378" max="15378" width="12.88671875" style="90" customWidth="1"/>
    <col min="15379" max="15617" width="9.109375" style="90"/>
    <col min="15618" max="15618" width="4.109375" style="90" customWidth="1"/>
    <col min="15619" max="15619" width="25.5546875" style="90" customWidth="1"/>
    <col min="15620" max="15620" width="0" style="90" hidden="1" customWidth="1"/>
    <col min="15621" max="15621" width="9.109375" style="90" bestFit="1" customWidth="1"/>
    <col min="15622" max="15622" width="9.109375" style="90" customWidth="1"/>
    <col min="15623" max="15623" width="8.88671875" style="90" customWidth="1"/>
    <col min="15624" max="15625" width="10.6640625" style="90" customWidth="1"/>
    <col min="15626" max="15626" width="10" style="90" customWidth="1"/>
    <col min="15627" max="15627" width="10.44140625" style="90" customWidth="1"/>
    <col min="15628" max="15628" width="8.6640625" style="90" customWidth="1"/>
    <col min="15629" max="15629" width="0" style="90" hidden="1" customWidth="1"/>
    <col min="15630" max="15630" width="10.109375" style="90" bestFit="1" customWidth="1"/>
    <col min="15631" max="15631" width="10.109375" style="90" customWidth="1"/>
    <col min="15632" max="15632" width="0" style="90" hidden="1" customWidth="1"/>
    <col min="15633" max="15633" width="10" style="90" customWidth="1"/>
    <col min="15634" max="15634" width="12.88671875" style="90" customWidth="1"/>
    <col min="15635" max="15873" width="9.109375" style="90"/>
    <col min="15874" max="15874" width="4.109375" style="90" customWidth="1"/>
    <col min="15875" max="15875" width="25.5546875" style="90" customWidth="1"/>
    <col min="15876" max="15876" width="0" style="90" hidden="1" customWidth="1"/>
    <col min="15877" max="15877" width="9.109375" style="90" bestFit="1" customWidth="1"/>
    <col min="15878" max="15878" width="9.109375" style="90" customWidth="1"/>
    <col min="15879" max="15879" width="8.88671875" style="90" customWidth="1"/>
    <col min="15880" max="15881" width="10.6640625" style="90" customWidth="1"/>
    <col min="15882" max="15882" width="10" style="90" customWidth="1"/>
    <col min="15883" max="15883" width="10.44140625" style="90" customWidth="1"/>
    <col min="15884" max="15884" width="8.6640625" style="90" customWidth="1"/>
    <col min="15885" max="15885" width="0" style="90" hidden="1" customWidth="1"/>
    <col min="15886" max="15886" width="10.109375" style="90" bestFit="1" customWidth="1"/>
    <col min="15887" max="15887" width="10.109375" style="90" customWidth="1"/>
    <col min="15888" max="15888" width="0" style="90" hidden="1" customWidth="1"/>
    <col min="15889" max="15889" width="10" style="90" customWidth="1"/>
    <col min="15890" max="15890" width="12.88671875" style="90" customWidth="1"/>
    <col min="15891" max="16129" width="9.109375" style="90"/>
    <col min="16130" max="16130" width="4.109375" style="90" customWidth="1"/>
    <col min="16131" max="16131" width="25.5546875" style="90" customWidth="1"/>
    <col min="16132" max="16132" width="0" style="90" hidden="1" customWidth="1"/>
    <col min="16133" max="16133" width="9.109375" style="90" bestFit="1" customWidth="1"/>
    <col min="16134" max="16134" width="9.109375" style="90" customWidth="1"/>
    <col min="16135" max="16135" width="8.88671875" style="90" customWidth="1"/>
    <col min="16136" max="16137" width="10.6640625" style="90" customWidth="1"/>
    <col min="16138" max="16138" width="10" style="90" customWidth="1"/>
    <col min="16139" max="16139" width="10.44140625" style="90" customWidth="1"/>
    <col min="16140" max="16140" width="8.6640625" style="90" customWidth="1"/>
    <col min="16141" max="16141" width="0" style="90" hidden="1" customWidth="1"/>
    <col min="16142" max="16142" width="10.109375" style="90" bestFit="1" customWidth="1"/>
    <col min="16143" max="16143" width="10.109375" style="90" customWidth="1"/>
    <col min="16144" max="16144" width="0" style="90" hidden="1" customWidth="1"/>
    <col min="16145" max="16145" width="10" style="90" customWidth="1"/>
    <col min="16146" max="16146" width="12.88671875" style="90" customWidth="1"/>
    <col min="16147" max="16383" width="9.109375" style="90"/>
    <col min="16384" max="16384" width="9.109375" style="90" customWidth="1"/>
  </cols>
  <sheetData>
    <row r="1" spans="1:22" ht="21">
      <c r="A1" s="248" t="s">
        <v>314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</row>
    <row r="3" spans="1:22" s="168" customFormat="1" ht="62.4">
      <c r="A3" s="165" t="s">
        <v>315</v>
      </c>
      <c r="B3" s="166" t="s">
        <v>321</v>
      </c>
      <c r="C3" s="166" t="s">
        <v>316</v>
      </c>
      <c r="D3" s="166" t="s">
        <v>294</v>
      </c>
      <c r="E3" s="166" t="s">
        <v>317</v>
      </c>
      <c r="F3" s="166" t="s">
        <v>623</v>
      </c>
      <c r="G3" s="166" t="s">
        <v>1329</v>
      </c>
      <c r="H3" s="166" t="s">
        <v>297</v>
      </c>
      <c r="I3" s="166" t="s">
        <v>1237</v>
      </c>
      <c r="J3" s="385" t="s">
        <v>295</v>
      </c>
      <c r="K3" s="167" t="s">
        <v>105</v>
      </c>
      <c r="L3" s="260" t="s">
        <v>1230</v>
      </c>
      <c r="M3" s="167" t="s">
        <v>293</v>
      </c>
      <c r="N3" s="166" t="s">
        <v>318</v>
      </c>
      <c r="O3" s="165" t="s">
        <v>120</v>
      </c>
    </row>
    <row r="4" spans="1:22" s="175" customFormat="1" ht="32.1" customHeight="1">
      <c r="A4" s="170" t="s">
        <v>668</v>
      </c>
      <c r="B4" s="171"/>
      <c r="C4" s="171"/>
      <c r="D4" s="171"/>
      <c r="E4" s="171"/>
      <c r="F4" s="171"/>
      <c r="G4" s="171"/>
      <c r="H4" s="171"/>
      <c r="I4" s="171"/>
      <c r="J4" s="173">
        <f>'תקציב הנדסה 2020 '!Z59</f>
        <v>1254444</v>
      </c>
      <c r="K4" s="173"/>
      <c r="L4" s="173"/>
      <c r="M4" s="173"/>
      <c r="N4" s="171"/>
      <c r="O4" s="174">
        <f t="shared" ref="O4:O15" si="0">SUM(B4:N4)</f>
        <v>1254444</v>
      </c>
      <c r="Q4" s="684">
        <f>'ריכוז אגפים'!X7</f>
        <v>1254444</v>
      </c>
      <c r="R4" s="684">
        <f>Q4-O4</f>
        <v>0</v>
      </c>
      <c r="S4" s="168"/>
      <c r="T4" s="168"/>
      <c r="U4" s="168"/>
      <c r="V4" s="176"/>
    </row>
    <row r="5" spans="1:22" s="175" customFormat="1" ht="32.1" customHeight="1">
      <c r="A5" s="170" t="s">
        <v>319</v>
      </c>
      <c r="B5" s="171">
        <f>'תקציב החברה לפיתוח 2020'!Z109+'תקציב החברה לפיתוח 2020'!Z110+'תקציב החברה לפיתוח 2020'!Z119</f>
        <v>47874676</v>
      </c>
      <c r="C5" s="171"/>
      <c r="D5" s="171">
        <f>'תקציב החברה לפיתוח 2020'!Z114+'תקציב החברה לפיתוח 2020'!Z115+'תקציב החברה לפיתוח 2020'!Z117+2100000</f>
        <v>31000000</v>
      </c>
      <c r="E5" s="171"/>
      <c r="F5" s="171"/>
      <c r="G5" s="171"/>
      <c r="H5" s="171"/>
      <c r="I5" s="171">
        <f>'תקציב החברה לפיתוח 2020'!Z37+'תקציב החברה לפיתוח 2020'!Z49</f>
        <v>2663609</v>
      </c>
      <c r="J5" s="173"/>
      <c r="K5" s="173">
        <f>'תקציב החברה לפיתוח 2020'!Z120-2100000</f>
        <v>16820000</v>
      </c>
      <c r="L5" s="173"/>
      <c r="M5" s="173">
        <f>'תקציב החברה לפיתוח 2020'!Z29+'תקציב החברה לפיתוח 2020'!Z35+'תקציב החברה לפיתוח 2020'!Z96</f>
        <v>3067511</v>
      </c>
      <c r="N5" s="171"/>
      <c r="O5" s="174">
        <f t="shared" si="0"/>
        <v>101425796</v>
      </c>
      <c r="Q5" s="684">
        <f>'ריכוז אגפים'!X8</f>
        <v>101425796</v>
      </c>
      <c r="R5" s="684">
        <f t="shared" ref="R5:R15" si="1">Q5-O5</f>
        <v>0</v>
      </c>
      <c r="S5" s="168"/>
      <c r="T5" s="168"/>
      <c r="U5" s="168"/>
      <c r="V5" s="177"/>
    </row>
    <row r="6" spans="1:22" s="175" customFormat="1" ht="32.1" customHeight="1">
      <c r="A6" s="170" t="s">
        <v>229</v>
      </c>
      <c r="B6" s="171"/>
      <c r="C6" s="171"/>
      <c r="D6" s="171">
        <f>'תקציב אגף ת.ב.ל 2020 '!Z37+'תקציב אגף ת.ב.ל 2020 '!Z40+'תקציב אגף ת.ב.ל 2020 '!Z64</f>
        <v>9111300</v>
      </c>
      <c r="E6" s="171">
        <f>'תקציב אגף ת.ב.ל 2020 '!Z60</f>
        <v>2100000</v>
      </c>
      <c r="F6" s="171"/>
      <c r="G6" s="171"/>
      <c r="H6" s="171"/>
      <c r="I6" s="171"/>
      <c r="J6" s="173"/>
      <c r="K6" s="173"/>
      <c r="L6" s="173"/>
      <c r="M6" s="173"/>
      <c r="N6" s="171"/>
      <c r="O6" s="174">
        <f t="shared" si="0"/>
        <v>11211300</v>
      </c>
      <c r="Q6" s="684">
        <f>'ריכוז אגפים'!X9</f>
        <v>11211300</v>
      </c>
      <c r="R6" s="684">
        <f t="shared" si="1"/>
        <v>0</v>
      </c>
      <c r="S6" s="168"/>
      <c r="T6" s="168"/>
      <c r="U6" s="168"/>
      <c r="V6" s="177"/>
    </row>
    <row r="7" spans="1:22" s="175" customFormat="1" ht="32.1" customHeight="1">
      <c r="A7" s="399" t="s">
        <v>183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4">
        <f t="shared" si="0"/>
        <v>0</v>
      </c>
      <c r="Q7" s="684">
        <f>'ריכוז אגפים'!X10</f>
        <v>0</v>
      </c>
      <c r="R7" s="684">
        <f t="shared" si="1"/>
        <v>0</v>
      </c>
      <c r="S7" s="168"/>
      <c r="T7" s="168"/>
      <c r="U7" s="168"/>
    </row>
    <row r="8" spans="1:22" s="175" customFormat="1" ht="32.1" customHeight="1">
      <c r="A8" s="170" t="s">
        <v>322</v>
      </c>
      <c r="B8" s="171"/>
      <c r="C8" s="171"/>
      <c r="D8" s="171">
        <f>'תקציב אגף חינוך 2020'!Z19</f>
        <v>78000</v>
      </c>
      <c r="E8" s="171"/>
      <c r="F8" s="171"/>
      <c r="G8" s="171"/>
      <c r="H8" s="171"/>
      <c r="I8" s="171"/>
      <c r="J8" s="173"/>
      <c r="K8" s="173"/>
      <c r="L8" s="173"/>
      <c r="M8" s="173"/>
      <c r="N8" s="171"/>
      <c r="O8" s="174">
        <f t="shared" si="0"/>
        <v>78000</v>
      </c>
      <c r="Q8" s="684">
        <f>'ריכוז אגפים'!X11</f>
        <v>78000</v>
      </c>
      <c r="R8" s="684">
        <f t="shared" si="1"/>
        <v>0</v>
      </c>
      <c r="S8" s="168"/>
      <c r="T8" s="168"/>
      <c r="U8" s="168"/>
      <c r="V8" s="177"/>
    </row>
    <row r="9" spans="1:22" s="175" customFormat="1" ht="32.1" customHeight="1">
      <c r="A9" s="170" t="s">
        <v>585</v>
      </c>
      <c r="B9" s="171"/>
      <c r="C9" s="171"/>
      <c r="D9" s="171"/>
      <c r="E9" s="171"/>
      <c r="F9" s="171"/>
      <c r="G9" s="171"/>
      <c r="H9" s="171"/>
      <c r="I9" s="171">
        <f>'תקציב אגף תנוס 2020 '!Z10+'תקציב אגף תנוס 2020 '!Z13</f>
        <v>240229</v>
      </c>
      <c r="J9" s="171"/>
      <c r="K9" s="171"/>
      <c r="L9" s="171">
        <f>'תקציב אגף תנוס 2020 '!Z16</f>
        <v>265000</v>
      </c>
      <c r="M9" s="171"/>
      <c r="N9" s="171"/>
      <c r="O9" s="174">
        <f t="shared" si="0"/>
        <v>505229</v>
      </c>
      <c r="Q9" s="684">
        <f>'ריכוז אגפים'!X12</f>
        <v>505229</v>
      </c>
      <c r="R9" s="684">
        <f t="shared" si="1"/>
        <v>0</v>
      </c>
      <c r="S9" s="168"/>
      <c r="T9" s="168"/>
      <c r="U9" s="168"/>
    </row>
    <row r="10" spans="1:22" s="175" customFormat="1" ht="32.1" customHeight="1">
      <c r="A10" s="170" t="s">
        <v>230</v>
      </c>
      <c r="B10" s="171"/>
      <c r="C10" s="171">
        <f>'תקציב אגף שאיפה  2020 '!Z20</f>
        <v>108000</v>
      </c>
      <c r="D10" s="171"/>
      <c r="E10" s="171"/>
      <c r="F10" s="171"/>
      <c r="G10" s="171"/>
      <c r="H10" s="171"/>
      <c r="I10" s="171"/>
      <c r="J10" s="173"/>
      <c r="K10" s="173">
        <f>'תקציב אגף שאיפה  2020 '!Z23</f>
        <v>132000</v>
      </c>
      <c r="L10" s="173"/>
      <c r="M10" s="173"/>
      <c r="N10" s="171">
        <f>'תקציב אגף שאיפה  2020 '!Z11</f>
        <v>17500000</v>
      </c>
      <c r="O10" s="174">
        <f t="shared" si="0"/>
        <v>17740000</v>
      </c>
      <c r="Q10" s="684">
        <f>'ריכוז אגפים'!X13</f>
        <v>17740000</v>
      </c>
      <c r="R10" s="684">
        <f>Q10-O10</f>
        <v>0</v>
      </c>
      <c r="S10" s="168"/>
      <c r="T10" s="168"/>
      <c r="U10" s="168"/>
      <c r="V10" s="177"/>
    </row>
    <row r="11" spans="1:22" s="175" customFormat="1" ht="32.1" customHeight="1">
      <c r="A11" s="170" t="s">
        <v>233</v>
      </c>
      <c r="B11" s="171"/>
      <c r="C11" s="171">
        <f>'תקציב רשות החופים 2020 '!Z6</f>
        <v>-72000</v>
      </c>
      <c r="D11" s="171"/>
      <c r="E11" s="171"/>
      <c r="F11" s="171"/>
      <c r="G11" s="171"/>
      <c r="H11" s="171"/>
      <c r="I11" s="171"/>
      <c r="J11" s="173"/>
      <c r="K11" s="173"/>
      <c r="L11" s="173">
        <f>'תקציב רשות החופים 2020 '!Z20+'תקציב רשות החופים 2020 '!Z21+'תקציב רשות החופים 2020 '!Z22+'תקציב רשות החופים 2020 '!Z23</f>
        <v>100000</v>
      </c>
      <c r="M11" s="173"/>
      <c r="N11" s="171"/>
      <c r="O11" s="174">
        <f t="shared" si="0"/>
        <v>28000</v>
      </c>
      <c r="Q11" s="684">
        <f>'ריכוז אגפים'!X14</f>
        <v>28000</v>
      </c>
      <c r="R11" s="684">
        <f t="shared" si="1"/>
        <v>0</v>
      </c>
      <c r="S11" s="168"/>
      <c r="T11" s="168"/>
      <c r="U11" s="168"/>
      <c r="V11" s="176"/>
    </row>
    <row r="12" spans="1:22" s="175" customFormat="1" ht="32.1" customHeight="1">
      <c r="A12" s="170" t="s">
        <v>320</v>
      </c>
      <c r="B12" s="171">
        <f>'תקציב החברה לתירות 2020 '!Z6</f>
        <v>0</v>
      </c>
      <c r="C12" s="171"/>
      <c r="D12" s="171"/>
      <c r="E12" s="171"/>
      <c r="F12" s="171">
        <f>'תקציב החברה לתירות 2020 '!Z10</f>
        <v>800000</v>
      </c>
      <c r="G12" s="171"/>
      <c r="H12" s="171"/>
      <c r="I12" s="171"/>
      <c r="J12" s="173"/>
      <c r="K12" s="173"/>
      <c r="L12" s="173"/>
      <c r="M12" s="173"/>
      <c r="N12" s="171"/>
      <c r="O12" s="174">
        <f t="shared" si="0"/>
        <v>800000</v>
      </c>
      <c r="Q12" s="684">
        <f>'ריכוז אגפים'!X15</f>
        <v>800000</v>
      </c>
      <c r="R12" s="684">
        <f t="shared" si="1"/>
        <v>0</v>
      </c>
      <c r="S12" s="168"/>
      <c r="T12" s="168"/>
      <c r="U12" s="168"/>
    </row>
    <row r="13" spans="1:22" s="175" customFormat="1" ht="32.1" customHeight="1">
      <c r="A13" s="170" t="s">
        <v>616</v>
      </c>
      <c r="B13" s="171"/>
      <c r="C13" s="171"/>
      <c r="D13" s="171"/>
      <c r="E13" s="171"/>
      <c r="F13" s="171"/>
      <c r="G13" s="171">
        <f>'תקציב אגף תקשוב 2020 '!Z10</f>
        <v>1500000</v>
      </c>
      <c r="H13" s="171">
        <f>'תקציב אגף תקשוב 2020 '!Z13</f>
        <v>2580000</v>
      </c>
      <c r="I13" s="171"/>
      <c r="J13" s="173"/>
      <c r="K13" s="173"/>
      <c r="L13" s="173"/>
      <c r="M13" s="173"/>
      <c r="N13" s="171"/>
      <c r="O13" s="174">
        <f t="shared" si="0"/>
        <v>4080000</v>
      </c>
      <c r="Q13" s="684">
        <f>'ריכוז אגפים'!X16</f>
        <v>4080000</v>
      </c>
      <c r="R13" s="684">
        <f t="shared" si="1"/>
        <v>0</v>
      </c>
      <c r="S13" s="168"/>
      <c r="T13" s="168"/>
      <c r="U13" s="168"/>
    </row>
    <row r="14" spans="1:22" s="175" customFormat="1" ht="32.1" customHeight="1">
      <c r="A14" s="170" t="s">
        <v>618</v>
      </c>
      <c r="B14" s="171"/>
      <c r="C14" s="171"/>
      <c r="D14" s="171"/>
      <c r="E14" s="171"/>
      <c r="F14" s="171"/>
      <c r="G14" s="171"/>
      <c r="H14" s="171"/>
      <c r="I14" s="171"/>
      <c r="J14" s="173"/>
      <c r="K14" s="173"/>
      <c r="L14" s="173"/>
      <c r="M14" s="173"/>
      <c r="N14" s="171"/>
      <c r="O14" s="174">
        <f t="shared" si="0"/>
        <v>0</v>
      </c>
      <c r="Q14" s="684">
        <f>'ריכוז אגפים'!X17</f>
        <v>0</v>
      </c>
      <c r="R14" s="684">
        <f t="shared" si="1"/>
        <v>0</v>
      </c>
      <c r="S14" s="168"/>
      <c r="T14" s="168"/>
      <c r="U14" s="168"/>
    </row>
    <row r="15" spans="1:22" s="175" customFormat="1" ht="32.1" customHeight="1">
      <c r="A15" s="170" t="s">
        <v>341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4">
        <f t="shared" si="0"/>
        <v>0</v>
      </c>
      <c r="Q15" s="684">
        <f>'ריכוז אגפים'!X18</f>
        <v>0</v>
      </c>
      <c r="R15" s="684">
        <f t="shared" si="1"/>
        <v>0</v>
      </c>
      <c r="S15" s="168"/>
      <c r="T15" s="168"/>
      <c r="U15" s="168"/>
    </row>
    <row r="16" spans="1:22" s="175" customFormat="1" ht="32.1" customHeight="1">
      <c r="A16" s="178" t="s">
        <v>120</v>
      </c>
      <c r="B16" s="174">
        <f t="shared" ref="B16:R16" si="2">SUM(B4:B15)</f>
        <v>47874676</v>
      </c>
      <c r="C16" s="174">
        <f t="shared" si="2"/>
        <v>36000</v>
      </c>
      <c r="D16" s="174">
        <f t="shared" si="2"/>
        <v>40189300</v>
      </c>
      <c r="E16" s="174">
        <f t="shared" si="2"/>
        <v>2100000</v>
      </c>
      <c r="F16" s="174">
        <f t="shared" si="2"/>
        <v>800000</v>
      </c>
      <c r="G16" s="174">
        <f t="shared" ref="G16" si="3">SUM(G4:G15)</f>
        <v>1500000</v>
      </c>
      <c r="H16" s="174">
        <f t="shared" si="2"/>
        <v>2580000</v>
      </c>
      <c r="I16" s="174">
        <f t="shared" si="2"/>
        <v>2903838</v>
      </c>
      <c r="J16" s="180">
        <f t="shared" si="2"/>
        <v>1254444</v>
      </c>
      <c r="K16" s="180">
        <f t="shared" si="2"/>
        <v>16952000</v>
      </c>
      <c r="L16" s="174">
        <f t="shared" si="2"/>
        <v>365000</v>
      </c>
      <c r="M16" s="174">
        <f t="shared" si="2"/>
        <v>3067511</v>
      </c>
      <c r="N16" s="174">
        <f t="shared" si="2"/>
        <v>17500000</v>
      </c>
      <c r="O16" s="174">
        <f t="shared" si="2"/>
        <v>137122769</v>
      </c>
      <c r="Q16" s="174">
        <f t="shared" si="2"/>
        <v>137122769</v>
      </c>
      <c r="R16" s="174">
        <f t="shared" si="2"/>
        <v>0</v>
      </c>
      <c r="S16" s="168"/>
      <c r="T16" s="168"/>
      <c r="U16" s="168"/>
    </row>
    <row r="17" spans="1:22" s="92" customFormat="1">
      <c r="A17" s="90"/>
      <c r="O17" s="90"/>
      <c r="P17" s="90"/>
      <c r="Q17" s="168"/>
      <c r="R17" s="168"/>
      <c r="S17" s="168"/>
      <c r="T17" s="168"/>
      <c r="U17" s="168"/>
      <c r="V17" s="90"/>
    </row>
    <row r="18" spans="1:22" s="92" customFormat="1">
      <c r="O18" s="90"/>
      <c r="P18" s="90"/>
      <c r="Q18" s="168"/>
      <c r="R18" s="168"/>
      <c r="S18" s="168"/>
      <c r="T18" s="168"/>
      <c r="U18" s="168"/>
      <c r="V18" s="90"/>
    </row>
    <row r="19" spans="1:22" s="92" customFormat="1" ht="15.75" hidden="1" customHeight="1">
      <c r="A19" s="90"/>
      <c r="J19" s="92" t="e">
        <f>J16+D16+#REF!+Q16+H16+E16</f>
        <v>#REF!</v>
      </c>
      <c r="K19" s="92">
        <f>K16+E16+C16+B16+I16+F16</f>
        <v>70666514</v>
      </c>
      <c r="O19" s="90"/>
      <c r="P19" s="90"/>
      <c r="Q19" s="168"/>
      <c r="R19" s="168"/>
      <c r="S19" s="168"/>
      <c r="T19" s="168"/>
      <c r="U19" s="168"/>
      <c r="V19" s="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A7" zoomScaleNormal="100" workbookViewId="0">
      <selection activeCell="Q24" sqref="Q24"/>
    </sheetView>
  </sheetViews>
  <sheetFormatPr defaultColWidth="9.109375" defaultRowHeight="13.2"/>
  <cols>
    <col min="1" max="16384" width="9.109375" style="254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6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24.109375" style="274" customWidth="1"/>
    <col min="5" max="5" width="34.5546875" style="274" customWidth="1"/>
    <col min="6" max="6" width="5.664062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668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923</v>
      </c>
      <c r="D5" s="273"/>
      <c r="E5" s="273"/>
      <c r="F5" s="273"/>
      <c r="H5" s="277">
        <f>'תקציב הנדסה 2020 '!U87</f>
        <v>32558338</v>
      </c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364</v>
      </c>
      <c r="D7" s="273"/>
      <c r="F7" s="273"/>
      <c r="H7" s="277">
        <f>'תקציב הנדסה 2020 '!A87</f>
        <v>81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C11" s="815" t="s">
        <v>366</v>
      </c>
      <c r="D11" s="816"/>
      <c r="E11" s="821" t="s">
        <v>367</v>
      </c>
      <c r="F11" s="822"/>
      <c r="G11" s="823"/>
      <c r="H11" s="318" t="s">
        <v>369</v>
      </c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817" t="s">
        <v>13</v>
      </c>
      <c r="D12" s="818"/>
      <c r="E12" s="809">
        <f>'תקציב הנדסה 2020 '!V87</f>
        <v>31303894</v>
      </c>
      <c r="F12" s="810"/>
      <c r="G12" s="811"/>
      <c r="H12" s="319">
        <f>E12/$E$14</f>
        <v>0.96147088343391485</v>
      </c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817" t="s">
        <v>105</v>
      </c>
      <c r="D13" s="818"/>
      <c r="E13" s="809">
        <f>'תקציב הנדסה 2020 '!Z87</f>
        <v>1254444</v>
      </c>
      <c r="F13" s="810"/>
      <c r="G13" s="811"/>
      <c r="H13" s="319">
        <f>E13/$E$14</f>
        <v>3.852911656608516E-2</v>
      </c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6.2" thickBot="1">
      <c r="C14" s="819" t="s">
        <v>120</v>
      </c>
      <c r="D14" s="820"/>
      <c r="E14" s="812">
        <f>SUM(E12:E13)</f>
        <v>32558338</v>
      </c>
      <c r="F14" s="813"/>
      <c r="G14" s="814"/>
      <c r="H14" s="457">
        <f>E14/$E$14</f>
        <v>1</v>
      </c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B15" s="276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s="418" customFormat="1" ht="15.6">
      <c r="C16" s="420" t="s">
        <v>227</v>
      </c>
      <c r="D16" s="417" t="s">
        <v>1457</v>
      </c>
      <c r="E16" s="417"/>
      <c r="F16" s="417"/>
      <c r="G16" s="417"/>
      <c r="H16" s="417"/>
      <c r="I16" s="417"/>
      <c r="J16" s="417"/>
      <c r="K16" s="417"/>
      <c r="L16" s="417"/>
      <c r="M16" s="417"/>
      <c r="N16" s="417"/>
      <c r="O16" s="417"/>
      <c r="P16" s="417"/>
      <c r="Q16" s="417"/>
    </row>
    <row r="17" spans="1:17" s="418" customFormat="1" ht="15.6">
      <c r="C17" s="420"/>
      <c r="D17" s="417"/>
      <c r="E17" s="417"/>
      <c r="F17" s="417"/>
      <c r="G17" s="417"/>
      <c r="H17" s="417"/>
      <c r="I17" s="417"/>
      <c r="J17" s="417"/>
      <c r="K17" s="417"/>
      <c r="L17" s="417"/>
      <c r="M17" s="417"/>
      <c r="N17" s="417"/>
      <c r="O17" s="417"/>
      <c r="P17" s="417"/>
      <c r="Q17" s="417"/>
    </row>
    <row r="18" spans="1:17" s="418" customFormat="1" ht="15.6">
      <c r="A18" s="417"/>
      <c r="B18" s="417"/>
      <c r="C18" s="417"/>
      <c r="D18" s="752" t="s">
        <v>1336</v>
      </c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</row>
    <row r="19" spans="1:17" s="418" customFormat="1" ht="15.6">
      <c r="A19" s="417"/>
      <c r="B19" s="417"/>
      <c r="C19" s="417"/>
      <c r="D19" s="751" t="s">
        <v>1337</v>
      </c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  <c r="Q19" s="417"/>
    </row>
    <row r="20" spans="1:17" s="418" customFormat="1" ht="15.6">
      <c r="A20" s="417"/>
      <c r="B20" s="417"/>
      <c r="C20" s="417"/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</row>
    <row r="21" spans="1:17" s="418" customFormat="1" ht="15.6">
      <c r="A21" s="417"/>
      <c r="B21" s="417"/>
      <c r="C21" s="417"/>
      <c r="D21" s="417"/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</row>
    <row r="22" spans="1:17" s="418" customFormat="1" ht="15.6">
      <c r="A22" s="417"/>
      <c r="B22" s="417"/>
      <c r="C22" s="417"/>
      <c r="D22" s="453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</row>
    <row r="23" spans="1:17" s="418" customFormat="1" ht="15.6">
      <c r="A23" s="417"/>
      <c r="B23" s="417"/>
      <c r="C23" s="417"/>
      <c r="D23" s="453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</row>
    <row r="24" spans="1:17" s="418" customFormat="1" ht="15.6">
      <c r="A24" s="417"/>
      <c r="B24" s="417"/>
      <c r="C24" s="417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</row>
    <row r="26" spans="1:17" s="454" customFormat="1" ht="15.6">
      <c r="C26" s="455" t="s">
        <v>227</v>
      </c>
      <c r="D26" s="456" t="s">
        <v>1395</v>
      </c>
      <c r="E26" s="456"/>
      <c r="F26" s="456"/>
      <c r="G26" s="456"/>
      <c r="H26" s="456"/>
      <c r="I26" s="456"/>
      <c r="J26" s="456"/>
      <c r="K26" s="456"/>
      <c r="L26" s="456"/>
      <c r="M26" s="456"/>
      <c r="N26" s="456"/>
      <c r="O26" s="456"/>
      <c r="P26" s="456"/>
      <c r="Q26" s="456"/>
    </row>
  </sheetData>
  <mergeCells count="8">
    <mergeCell ref="E12:G12"/>
    <mergeCell ref="E13:G13"/>
    <mergeCell ref="E14:G14"/>
    <mergeCell ref="C11:D11"/>
    <mergeCell ref="C12:D12"/>
    <mergeCell ref="C13:D13"/>
    <mergeCell ref="C14:D14"/>
    <mergeCell ref="E11:G11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" style="274" customWidth="1"/>
    <col min="5" max="5" width="34.5546875" style="274" customWidth="1"/>
    <col min="6" max="6" width="5.664062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668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B5" s="276" t="s">
        <v>227</v>
      </c>
      <c r="C5" s="273" t="s">
        <v>924</v>
      </c>
      <c r="D5" s="273"/>
      <c r="E5" s="753"/>
      <c r="F5" s="273"/>
      <c r="H5" s="282"/>
      <c r="I5" s="273"/>
      <c r="J5" s="273"/>
      <c r="K5" s="273"/>
      <c r="L5" s="273"/>
      <c r="M5" s="273"/>
      <c r="N5" s="273"/>
      <c r="O5" s="273"/>
      <c r="P5" s="273"/>
      <c r="Q5" s="273"/>
    </row>
    <row r="6" spans="1:17" ht="16.2" thickBot="1">
      <c r="C6" s="273"/>
      <c r="D6" s="273"/>
      <c r="E6" s="273"/>
      <c r="F6" s="273"/>
      <c r="H6" s="273"/>
      <c r="I6" s="273"/>
      <c r="J6" s="273"/>
      <c r="K6" s="273"/>
      <c r="L6" s="273"/>
    </row>
    <row r="7" spans="1:17" ht="15.6">
      <c r="D7" s="286" t="s">
        <v>370</v>
      </c>
      <c r="E7" s="278" t="s">
        <v>367</v>
      </c>
      <c r="F7" s="279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C8" s="276"/>
      <c r="D8" s="280" t="s">
        <v>48</v>
      </c>
      <c r="E8" s="281">
        <v>4800000</v>
      </c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C9" s="276"/>
      <c r="D9" s="280" t="s">
        <v>356</v>
      </c>
      <c r="E9" s="281">
        <v>4200000</v>
      </c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C10" s="276"/>
      <c r="D10" s="280" t="s">
        <v>128</v>
      </c>
      <c r="E10" s="281">
        <v>4000000</v>
      </c>
      <c r="F10" s="282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C11" s="276"/>
      <c r="D11" s="280" t="s">
        <v>1445</v>
      </c>
      <c r="E11" s="281">
        <v>3000000</v>
      </c>
      <c r="F11" s="282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80" t="s">
        <v>1234</v>
      </c>
      <c r="E12" s="281">
        <v>2400000</v>
      </c>
      <c r="F12" s="282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276"/>
      <c r="D13" s="280" t="s">
        <v>1446</v>
      </c>
      <c r="E13" s="281">
        <v>2160000</v>
      </c>
      <c r="F13" s="282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C14" s="276"/>
      <c r="D14" s="280" t="s">
        <v>866</v>
      </c>
      <c r="E14" s="281">
        <v>1958338</v>
      </c>
      <c r="F14" s="282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6.2" thickBot="1">
      <c r="C15" s="276"/>
      <c r="D15" s="295" t="s">
        <v>455</v>
      </c>
      <c r="E15" s="296">
        <v>1100000</v>
      </c>
      <c r="F15" s="282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7" spans="4:4" ht="15.6">
      <c r="D17" s="446" t="s">
        <v>1423</v>
      </c>
    </row>
    <row r="38" spans="4:4" ht="15.6">
      <c r="D38" s="273" t="s">
        <v>709</v>
      </c>
    </row>
  </sheetData>
  <sortState ref="A8:Q15">
    <sortCondition descending="1" ref="E8:E15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94"/>
  <sheetViews>
    <sheetView showZeros="0" rightToLeft="1" tabSelected="1" zoomScaleNormal="100" workbookViewId="0">
      <pane xSplit="3" ySplit="4" topLeftCell="D80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44140625" defaultRowHeight="13.8"/>
  <cols>
    <col min="1" max="1" width="3.33203125" style="14" customWidth="1"/>
    <col min="2" max="2" width="4.77734375" style="14" customWidth="1"/>
    <col min="3" max="3" width="29.5546875" style="20" customWidth="1"/>
    <col min="4" max="5" width="10.77734375" style="16" customWidth="1"/>
    <col min="6" max="6" width="11.44140625" style="16" customWidth="1"/>
    <col min="7" max="10" width="13" style="16" hidden="1" customWidth="1"/>
    <col min="11" max="11" width="11.6640625" style="16" hidden="1" customWidth="1"/>
    <col min="12" max="12" width="10.77734375" style="16" customWidth="1"/>
    <col min="13" max="14" width="9.77734375" style="16" customWidth="1"/>
    <col min="15" max="15" width="10.77734375" style="16" customWidth="1"/>
    <col min="16" max="19" width="9.77734375" style="16" hidden="1" customWidth="1"/>
    <col min="20" max="20" width="9.77734375" style="16" customWidth="1"/>
    <col min="21" max="22" width="9.77734375" style="14" customWidth="1"/>
    <col min="23" max="25" width="9.77734375" style="14" hidden="1" customWidth="1"/>
    <col min="26" max="26" width="9.77734375" style="14" customWidth="1"/>
    <col min="27" max="27" width="31.6640625" style="20" hidden="1" customWidth="1"/>
    <col min="28" max="28" width="8.109375" style="14" hidden="1" customWidth="1"/>
    <col min="29" max="29" width="15.77734375" style="618" customWidth="1"/>
    <col min="30" max="30" width="10.88671875" style="20" bestFit="1" customWidth="1"/>
    <col min="31" max="16384" width="9.44140625" style="14"/>
  </cols>
  <sheetData>
    <row r="1" spans="1:32" s="36" customFormat="1" ht="18">
      <c r="A1" s="35"/>
      <c r="B1" s="35"/>
      <c r="C1" s="32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21"/>
      <c r="AC1" s="618"/>
      <c r="AD1" s="20"/>
    </row>
    <row r="2" spans="1:32" ht="18">
      <c r="A2" s="86" t="s">
        <v>668</v>
      </c>
      <c r="B2" s="35"/>
      <c r="C2" s="321"/>
      <c r="D2" s="700"/>
      <c r="E2" s="35"/>
      <c r="F2" s="35"/>
      <c r="G2" s="35"/>
      <c r="H2" s="35"/>
      <c r="I2" s="35"/>
      <c r="J2" s="35"/>
      <c r="K2" s="35"/>
      <c r="L2" s="700"/>
      <c r="M2" s="700"/>
      <c r="N2" s="700"/>
      <c r="O2" s="700"/>
      <c r="P2" s="700"/>
      <c r="Q2" s="700"/>
      <c r="R2" s="700"/>
      <c r="S2" s="700"/>
      <c r="T2" s="700"/>
      <c r="U2" s="702"/>
      <c r="V2" s="700"/>
      <c r="W2" s="700"/>
      <c r="X2" s="700"/>
      <c r="Y2" s="700"/>
      <c r="Z2" s="700"/>
    </row>
    <row r="3" spans="1:32" ht="24.6" customHeight="1">
      <c r="D3" s="701"/>
      <c r="E3" s="15"/>
      <c r="F3" s="15"/>
      <c r="G3" s="15"/>
      <c r="H3" s="15"/>
      <c r="I3" s="15"/>
      <c r="J3" s="15"/>
      <c r="K3" s="15"/>
      <c r="L3" s="701"/>
      <c r="M3" s="701"/>
      <c r="N3" s="701"/>
      <c r="O3" s="701"/>
      <c r="P3" s="701"/>
      <c r="Q3" s="701"/>
      <c r="R3" s="701"/>
      <c r="S3" s="701"/>
      <c r="T3" s="701"/>
      <c r="U3" s="701"/>
      <c r="V3" s="701"/>
      <c r="W3" s="701"/>
      <c r="X3" s="701"/>
      <c r="Y3" s="701"/>
      <c r="Z3" s="701"/>
    </row>
    <row r="4" spans="1:32" s="38" customFormat="1" ht="86.25" customHeight="1">
      <c r="A4" s="10" t="s">
        <v>0</v>
      </c>
      <c r="B4" s="10" t="s">
        <v>1</v>
      </c>
      <c r="C4" s="10" t="s">
        <v>2</v>
      </c>
      <c r="D4" s="10" t="s">
        <v>113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9</v>
      </c>
      <c r="J4" s="10" t="s">
        <v>215</v>
      </c>
      <c r="K4" s="10" t="s">
        <v>10</v>
      </c>
      <c r="L4" s="10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10" t="s">
        <v>13</v>
      </c>
      <c r="W4" s="10" t="s">
        <v>14</v>
      </c>
      <c r="X4" s="10" t="s">
        <v>15</v>
      </c>
      <c r="Y4" s="10" t="s">
        <v>354</v>
      </c>
      <c r="Z4" s="10" t="s">
        <v>105</v>
      </c>
      <c r="AA4" s="18" t="s">
        <v>410</v>
      </c>
      <c r="AB4" s="10" t="s">
        <v>16</v>
      </c>
      <c r="AC4" s="618"/>
      <c r="AD4" s="20"/>
    </row>
    <row r="5" spans="1:32" s="5" customFormat="1">
      <c r="A5" s="3"/>
      <c r="B5" s="3"/>
      <c r="C5" s="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618"/>
      <c r="AD5" s="20"/>
    </row>
    <row r="6" spans="1:32" s="5" customFormat="1" ht="30" customHeight="1">
      <c r="A6" s="3">
        <f>A5+1</f>
        <v>1</v>
      </c>
      <c r="B6" s="3">
        <v>179</v>
      </c>
      <c r="C6" s="3" t="s">
        <v>33</v>
      </c>
      <c r="D6" s="4">
        <f>3000000+220250-150000+100000</f>
        <v>3170250</v>
      </c>
      <c r="E6" s="4">
        <v>3000000</v>
      </c>
      <c r="F6" s="4">
        <f t="shared" ref="F6:F66" si="0">D6-E6</f>
        <v>170250</v>
      </c>
      <c r="G6" s="4">
        <v>2970250</v>
      </c>
      <c r="H6" s="4">
        <v>2858878.69</v>
      </c>
      <c r="I6" s="4"/>
      <c r="J6" s="4">
        <v>27296.1</v>
      </c>
      <c r="K6" s="4">
        <v>27296.1</v>
      </c>
      <c r="L6" s="4">
        <f t="shared" ref="L6:L66" si="1">H6+K6</f>
        <v>2886174.79</v>
      </c>
      <c r="M6" s="4">
        <f>P6+S6</f>
        <v>84075.209999999963</v>
      </c>
      <c r="N6" s="4">
        <f>250000-150000+100000</f>
        <v>200000</v>
      </c>
      <c r="O6" s="4">
        <f t="shared" ref="O6:O66" si="2">D6-L6-M6-N6</f>
        <v>0</v>
      </c>
      <c r="P6" s="4">
        <f t="shared" ref="P6:P67" si="3">G6-L6</f>
        <v>84075.209999999963</v>
      </c>
      <c r="Q6" s="4"/>
      <c r="R6" s="4"/>
      <c r="S6" s="4">
        <f t="shared" ref="S6:S66" si="4">SUM(Q6:R6)</f>
        <v>0</v>
      </c>
      <c r="T6" s="4">
        <f t="shared" ref="T6:T66" si="5">P6-M6+S6</f>
        <v>0</v>
      </c>
      <c r="U6" s="4">
        <f t="shared" ref="U6:U66" si="6">N6-T6</f>
        <v>200000</v>
      </c>
      <c r="V6" s="4">
        <f t="shared" ref="V6:V66" si="7">U6-Z6-W6-Y6</f>
        <v>200000</v>
      </c>
      <c r="W6" s="4"/>
      <c r="X6" s="4"/>
      <c r="Y6" s="4"/>
      <c r="Z6" s="3"/>
      <c r="AA6" s="3" t="s">
        <v>411</v>
      </c>
      <c r="AB6" s="3">
        <v>732000</v>
      </c>
      <c r="AC6" s="618"/>
      <c r="AD6" s="52"/>
    </row>
    <row r="7" spans="1:32" s="5" customFormat="1" ht="30" customHeight="1">
      <c r="A7" s="3">
        <f>A6+1</f>
        <v>2</v>
      </c>
      <c r="B7" s="3">
        <v>304</v>
      </c>
      <c r="C7" s="3" t="s">
        <v>58</v>
      </c>
      <c r="D7" s="4">
        <v>54930000</v>
      </c>
      <c r="E7" s="4">
        <v>54930000</v>
      </c>
      <c r="F7" s="4">
        <f t="shared" si="0"/>
        <v>0</v>
      </c>
      <c r="G7" s="4">
        <v>54930000</v>
      </c>
      <c r="H7" s="4">
        <v>54780522.609999999</v>
      </c>
      <c r="I7" s="4">
        <v>149074.13</v>
      </c>
      <c r="J7" s="4"/>
      <c r="K7" s="4">
        <v>149074.13</v>
      </c>
      <c r="L7" s="4">
        <f t="shared" si="1"/>
        <v>54929596.740000002</v>
      </c>
      <c r="M7" s="4">
        <f>P7+S7</f>
        <v>403.25999999791384</v>
      </c>
      <c r="N7" s="4"/>
      <c r="O7" s="4">
        <f t="shared" si="2"/>
        <v>0</v>
      </c>
      <c r="P7" s="4">
        <f t="shared" si="3"/>
        <v>403.25999999791384</v>
      </c>
      <c r="Q7" s="4"/>
      <c r="R7" s="4"/>
      <c r="S7" s="4">
        <f t="shared" si="4"/>
        <v>0</v>
      </c>
      <c r="T7" s="4">
        <f t="shared" si="5"/>
        <v>0</v>
      </c>
      <c r="U7" s="4">
        <f t="shared" si="6"/>
        <v>0</v>
      </c>
      <c r="V7" s="4">
        <f t="shared" si="7"/>
        <v>0</v>
      </c>
      <c r="W7" s="4"/>
      <c r="X7" s="4"/>
      <c r="Y7" s="4"/>
      <c r="Z7" s="3"/>
      <c r="AA7" s="3"/>
      <c r="AB7" s="3">
        <v>746000</v>
      </c>
      <c r="AC7" s="619"/>
      <c r="AD7" s="52"/>
      <c r="AE7" s="6"/>
      <c r="AF7" s="6"/>
    </row>
    <row r="8" spans="1:32" s="5" customFormat="1" ht="30" customHeight="1">
      <c r="A8" s="3">
        <f t="shared" ref="A8:A72" si="8">A7+1</f>
        <v>3</v>
      </c>
      <c r="B8" s="3">
        <v>507</v>
      </c>
      <c r="C8" s="3" t="s">
        <v>49</v>
      </c>
      <c r="D8" s="4">
        <v>2310000</v>
      </c>
      <c r="E8" s="4">
        <v>2310000</v>
      </c>
      <c r="F8" s="4">
        <f t="shared" si="0"/>
        <v>0</v>
      </c>
      <c r="G8" s="4">
        <v>1765000</v>
      </c>
      <c r="H8" s="4">
        <v>1653104.23</v>
      </c>
      <c r="I8" s="4"/>
      <c r="J8" s="4"/>
      <c r="K8" s="4">
        <v>0</v>
      </c>
      <c r="L8" s="4">
        <f t="shared" si="1"/>
        <v>1653104.23</v>
      </c>
      <c r="M8" s="4">
        <f t="shared" ref="M8:M68" si="9">P8+S8</f>
        <v>161895.77000000002</v>
      </c>
      <c r="N8" s="4">
        <f>300000-150000</f>
        <v>150000</v>
      </c>
      <c r="O8" s="4">
        <f t="shared" si="2"/>
        <v>345000</v>
      </c>
      <c r="P8" s="4">
        <f t="shared" si="3"/>
        <v>111895.77000000002</v>
      </c>
      <c r="Q8" s="4">
        <v>50000</v>
      </c>
      <c r="R8" s="4"/>
      <c r="S8" s="4">
        <f t="shared" si="4"/>
        <v>50000</v>
      </c>
      <c r="T8" s="4">
        <f t="shared" si="5"/>
        <v>0</v>
      </c>
      <c r="U8" s="4">
        <f t="shared" si="6"/>
        <v>150000</v>
      </c>
      <c r="V8" s="4">
        <f t="shared" si="7"/>
        <v>150000</v>
      </c>
      <c r="W8" s="4"/>
      <c r="X8" s="4"/>
      <c r="Y8" s="4"/>
      <c r="Z8" s="3"/>
      <c r="AA8" s="3" t="s">
        <v>1102</v>
      </c>
      <c r="AB8" s="3">
        <v>742000</v>
      </c>
      <c r="AC8" s="619"/>
      <c r="AD8" s="52"/>
      <c r="AE8" s="6"/>
      <c r="AF8" s="6"/>
    </row>
    <row r="9" spans="1:32" s="5" customFormat="1" ht="30" customHeight="1">
      <c r="A9" s="3">
        <f t="shared" si="8"/>
        <v>4</v>
      </c>
      <c r="B9" s="3">
        <v>546</v>
      </c>
      <c r="C9" s="3" t="s">
        <v>50</v>
      </c>
      <c r="D9" s="4">
        <f>2920000+1300000-1300000</f>
        <v>2920000</v>
      </c>
      <c r="E9" s="4">
        <v>2920000</v>
      </c>
      <c r="F9" s="4">
        <f t="shared" si="0"/>
        <v>0</v>
      </c>
      <c r="G9" s="4">
        <v>2920000</v>
      </c>
      <c r="H9" s="4">
        <v>2895703.4</v>
      </c>
      <c r="I9" s="4"/>
      <c r="J9" s="4">
        <v>18052.75</v>
      </c>
      <c r="K9" s="4">
        <v>18052.75</v>
      </c>
      <c r="L9" s="4">
        <f t="shared" si="1"/>
        <v>2913756.15</v>
      </c>
      <c r="M9" s="4">
        <f t="shared" si="9"/>
        <v>6243.8500000000931</v>
      </c>
      <c r="N9" s="4"/>
      <c r="O9" s="4">
        <f t="shared" si="2"/>
        <v>0</v>
      </c>
      <c r="P9" s="4">
        <f t="shared" si="3"/>
        <v>6243.8500000000931</v>
      </c>
      <c r="Q9" s="4"/>
      <c r="R9" s="4"/>
      <c r="S9" s="4">
        <f t="shared" si="4"/>
        <v>0</v>
      </c>
      <c r="T9" s="4">
        <f t="shared" si="5"/>
        <v>0</v>
      </c>
      <c r="U9" s="4">
        <f t="shared" si="6"/>
        <v>0</v>
      </c>
      <c r="V9" s="4">
        <f t="shared" si="7"/>
        <v>0</v>
      </c>
      <c r="W9" s="4"/>
      <c r="X9" s="4"/>
      <c r="Y9" s="4"/>
      <c r="Z9" s="3"/>
      <c r="AA9" s="3"/>
      <c r="AB9" s="3">
        <v>742000</v>
      </c>
      <c r="AC9" s="619"/>
      <c r="AD9" s="52"/>
    </row>
    <row r="10" spans="1:32" s="5" customFormat="1" ht="30" customHeight="1">
      <c r="A10" s="3">
        <f t="shared" si="8"/>
        <v>5</v>
      </c>
      <c r="B10" s="3">
        <v>592</v>
      </c>
      <c r="C10" s="3" t="s">
        <v>26</v>
      </c>
      <c r="D10" s="4">
        <v>54893000</v>
      </c>
      <c r="E10" s="4">
        <v>54893000</v>
      </c>
      <c r="F10" s="4">
        <f t="shared" si="0"/>
        <v>0</v>
      </c>
      <c r="G10" s="4">
        <f>18720000+2000000</f>
        <v>20720000</v>
      </c>
      <c r="H10" s="4">
        <v>17898437.039999999</v>
      </c>
      <c r="I10" s="4">
        <v>149113.19</v>
      </c>
      <c r="J10" s="4">
        <v>2319961.1</v>
      </c>
      <c r="K10" s="4">
        <v>2469074.29</v>
      </c>
      <c r="L10" s="4">
        <f t="shared" si="1"/>
        <v>20367511.329999998</v>
      </c>
      <c r="M10" s="4">
        <f t="shared" si="9"/>
        <v>352488.67000000179</v>
      </c>
      <c r="N10" s="4">
        <v>1300000</v>
      </c>
      <c r="O10" s="4">
        <f t="shared" si="2"/>
        <v>32873000</v>
      </c>
      <c r="P10" s="4">
        <f t="shared" si="3"/>
        <v>352488.67000000179</v>
      </c>
      <c r="Q10" s="4"/>
      <c r="R10" s="4"/>
      <c r="S10" s="4">
        <f t="shared" si="4"/>
        <v>0</v>
      </c>
      <c r="T10" s="4">
        <f t="shared" si="5"/>
        <v>0</v>
      </c>
      <c r="U10" s="4">
        <f t="shared" si="6"/>
        <v>1300000</v>
      </c>
      <c r="V10" s="4">
        <f t="shared" si="7"/>
        <v>1300000</v>
      </c>
      <c r="W10" s="4"/>
      <c r="X10" s="4"/>
      <c r="Y10" s="4"/>
      <c r="Z10" s="3"/>
      <c r="AA10" s="3" t="s">
        <v>1285</v>
      </c>
      <c r="AB10" s="3">
        <v>742000</v>
      </c>
      <c r="AC10" s="619"/>
      <c r="AD10" s="52"/>
      <c r="AE10" s="6"/>
      <c r="AF10" s="6"/>
    </row>
    <row r="11" spans="1:32" s="5" customFormat="1" ht="30" customHeight="1">
      <c r="A11" s="3">
        <f t="shared" si="8"/>
        <v>6</v>
      </c>
      <c r="B11" s="3">
        <v>608</v>
      </c>
      <c r="C11" s="3" t="s">
        <v>34</v>
      </c>
      <c r="D11" s="4">
        <v>8300000</v>
      </c>
      <c r="E11" s="4">
        <v>8300000</v>
      </c>
      <c r="F11" s="4">
        <f t="shared" si="0"/>
        <v>0</v>
      </c>
      <c r="G11" s="4">
        <v>6200000</v>
      </c>
      <c r="H11" s="4">
        <v>5233021.67</v>
      </c>
      <c r="I11" s="4"/>
      <c r="J11" s="4">
        <v>366573.76</v>
      </c>
      <c r="K11" s="4">
        <v>366573.76</v>
      </c>
      <c r="L11" s="4">
        <f t="shared" si="1"/>
        <v>5599595.4299999997</v>
      </c>
      <c r="M11" s="4">
        <f>P11+S11-200000</f>
        <v>400404.5700000003</v>
      </c>
      <c r="N11" s="4">
        <v>200000</v>
      </c>
      <c r="O11" s="4">
        <f t="shared" si="2"/>
        <v>2100000</v>
      </c>
      <c r="P11" s="4">
        <f t="shared" si="3"/>
        <v>600404.5700000003</v>
      </c>
      <c r="Q11" s="4"/>
      <c r="R11" s="4"/>
      <c r="S11" s="4">
        <f t="shared" si="4"/>
        <v>0</v>
      </c>
      <c r="T11" s="4">
        <f t="shared" si="5"/>
        <v>200000</v>
      </c>
      <c r="U11" s="4">
        <f t="shared" si="6"/>
        <v>0</v>
      </c>
      <c r="V11" s="4">
        <f t="shared" si="7"/>
        <v>0</v>
      </c>
      <c r="W11" s="4"/>
      <c r="X11" s="4"/>
      <c r="Y11" s="4"/>
      <c r="Z11" s="3"/>
      <c r="AA11" s="3" t="s">
        <v>413</v>
      </c>
      <c r="AB11" s="3">
        <v>745000</v>
      </c>
      <c r="AC11" s="619"/>
      <c r="AD11" s="52"/>
    </row>
    <row r="12" spans="1:32" s="6" customFormat="1" ht="30" customHeight="1">
      <c r="A12" s="3">
        <f t="shared" si="8"/>
        <v>7</v>
      </c>
      <c r="B12" s="3">
        <v>626</v>
      </c>
      <c r="C12" s="3" t="s">
        <v>935</v>
      </c>
      <c r="D12" s="4">
        <f>20025000+5170000</f>
        <v>25195000</v>
      </c>
      <c r="E12" s="4">
        <v>20025000</v>
      </c>
      <c r="F12" s="4">
        <f t="shared" si="0"/>
        <v>5170000</v>
      </c>
      <c r="G12" s="4">
        <f>14525000+250000</f>
        <v>14775000</v>
      </c>
      <c r="H12" s="4">
        <v>13572560.42</v>
      </c>
      <c r="I12" s="4">
        <v>277593.86</v>
      </c>
      <c r="J12" s="4">
        <v>64255.41</v>
      </c>
      <c r="K12" s="4">
        <v>341849.27</v>
      </c>
      <c r="L12" s="4">
        <f t="shared" si="1"/>
        <v>13914409.689999999</v>
      </c>
      <c r="M12" s="4">
        <f t="shared" si="9"/>
        <v>860590.31000000052</v>
      </c>
      <c r="N12" s="4">
        <f>10420000-7420000</f>
        <v>3000000</v>
      </c>
      <c r="O12" s="4">
        <f t="shared" si="2"/>
        <v>7420000</v>
      </c>
      <c r="P12" s="4">
        <f t="shared" si="3"/>
        <v>860590.31000000052</v>
      </c>
      <c r="Q12" s="4"/>
      <c r="R12" s="4"/>
      <c r="S12" s="4">
        <f t="shared" si="4"/>
        <v>0</v>
      </c>
      <c r="T12" s="4">
        <f t="shared" si="5"/>
        <v>0</v>
      </c>
      <c r="U12" s="4">
        <f t="shared" si="6"/>
        <v>3000000</v>
      </c>
      <c r="V12" s="4">
        <f t="shared" si="7"/>
        <v>3000000</v>
      </c>
      <c r="W12" s="4"/>
      <c r="X12" s="4"/>
      <c r="Y12" s="4"/>
      <c r="Z12" s="4"/>
      <c r="AA12" s="3" t="s">
        <v>1306</v>
      </c>
      <c r="AB12" s="3">
        <v>732000</v>
      </c>
      <c r="AC12" s="620"/>
      <c r="AD12" s="52"/>
      <c r="AE12" s="5"/>
      <c r="AF12" s="5"/>
    </row>
    <row r="13" spans="1:32" s="5" customFormat="1" ht="30" customHeight="1">
      <c r="A13" s="3">
        <f t="shared" si="8"/>
        <v>8</v>
      </c>
      <c r="B13" s="3">
        <v>638</v>
      </c>
      <c r="C13" s="3" t="s">
        <v>867</v>
      </c>
      <c r="D13" s="4">
        <v>7000000</v>
      </c>
      <c r="E13" s="4">
        <v>7000000</v>
      </c>
      <c r="F13" s="4">
        <f t="shared" si="0"/>
        <v>0</v>
      </c>
      <c r="G13" s="4">
        <v>4600000</v>
      </c>
      <c r="H13" s="4">
        <v>3454838.96</v>
      </c>
      <c r="I13" s="4"/>
      <c r="J13" s="4">
        <v>480319.16</v>
      </c>
      <c r="K13" s="4">
        <v>480319.16</v>
      </c>
      <c r="L13" s="4">
        <f t="shared" si="1"/>
        <v>3935158.12</v>
      </c>
      <c r="M13" s="4">
        <f t="shared" si="9"/>
        <v>664841.87999999989</v>
      </c>
      <c r="N13" s="4"/>
      <c r="O13" s="4">
        <f t="shared" si="2"/>
        <v>2400000</v>
      </c>
      <c r="P13" s="4">
        <f t="shared" si="3"/>
        <v>664841.87999999989</v>
      </c>
      <c r="Q13" s="4"/>
      <c r="R13" s="4"/>
      <c r="S13" s="4">
        <f t="shared" si="4"/>
        <v>0</v>
      </c>
      <c r="T13" s="4">
        <f t="shared" si="5"/>
        <v>0</v>
      </c>
      <c r="U13" s="4">
        <f t="shared" si="6"/>
        <v>0</v>
      </c>
      <c r="V13" s="4">
        <f t="shared" si="7"/>
        <v>0</v>
      </c>
      <c r="W13" s="4"/>
      <c r="X13" s="4"/>
      <c r="Y13" s="4"/>
      <c r="Z13" s="3"/>
      <c r="AA13" s="3" t="s">
        <v>1393</v>
      </c>
      <c r="AB13" s="3">
        <v>742000</v>
      </c>
      <c r="AC13" s="618"/>
      <c r="AD13" s="52"/>
    </row>
    <row r="14" spans="1:32" s="5" customFormat="1" ht="30" customHeight="1">
      <c r="A14" s="3">
        <f t="shared" si="8"/>
        <v>9</v>
      </c>
      <c r="B14" s="3">
        <v>1018</v>
      </c>
      <c r="C14" s="3" t="s">
        <v>27</v>
      </c>
      <c r="D14" s="4">
        <v>31900000</v>
      </c>
      <c r="E14" s="4">
        <v>31900000</v>
      </c>
      <c r="F14" s="4">
        <f t="shared" si="0"/>
        <v>0</v>
      </c>
      <c r="G14" s="4">
        <v>5100000</v>
      </c>
      <c r="H14" s="4">
        <v>3059670.79</v>
      </c>
      <c r="I14" s="4">
        <v>84192.99</v>
      </c>
      <c r="J14" s="4"/>
      <c r="K14" s="4">
        <v>84192.99</v>
      </c>
      <c r="L14" s="4">
        <f t="shared" si="1"/>
        <v>3143863.7800000003</v>
      </c>
      <c r="M14" s="4">
        <f>P14+S14-1400000</f>
        <v>556136.21999999974</v>
      </c>
      <c r="N14" s="4"/>
      <c r="O14" s="4">
        <f t="shared" si="2"/>
        <v>28200000</v>
      </c>
      <c r="P14" s="4">
        <f t="shared" si="3"/>
        <v>1956136.2199999997</v>
      </c>
      <c r="Q14" s="4"/>
      <c r="R14" s="4"/>
      <c r="S14" s="4">
        <f t="shared" si="4"/>
        <v>0</v>
      </c>
      <c r="T14" s="4">
        <f t="shared" si="5"/>
        <v>1400000</v>
      </c>
      <c r="U14" s="4">
        <f t="shared" si="6"/>
        <v>-1400000</v>
      </c>
      <c r="V14" s="4">
        <f t="shared" si="7"/>
        <v>-1400000</v>
      </c>
      <c r="W14" s="4"/>
      <c r="X14" s="4"/>
      <c r="Y14" s="4"/>
      <c r="Z14" s="3"/>
      <c r="AA14" s="3" t="s">
        <v>1103</v>
      </c>
      <c r="AB14" s="3">
        <v>742000</v>
      </c>
      <c r="AC14" s="618"/>
      <c r="AD14" s="52"/>
    </row>
    <row r="15" spans="1:32" s="5" customFormat="1" ht="30" customHeight="1">
      <c r="A15" s="3">
        <f t="shared" si="8"/>
        <v>10</v>
      </c>
      <c r="B15" s="3">
        <v>1100</v>
      </c>
      <c r="C15" s="3" t="s">
        <v>17</v>
      </c>
      <c r="D15" s="4">
        <v>7000000</v>
      </c>
      <c r="E15" s="4">
        <v>7000000</v>
      </c>
      <c r="F15" s="4">
        <f t="shared" si="0"/>
        <v>0</v>
      </c>
      <c r="G15" s="4">
        <f>5750000+150000</f>
        <v>5900000</v>
      </c>
      <c r="H15" s="4">
        <v>3232572.1</v>
      </c>
      <c r="I15" s="4">
        <v>1951485.78</v>
      </c>
      <c r="J15" s="4">
        <v>142466.79</v>
      </c>
      <c r="K15" s="4">
        <v>2093952.57</v>
      </c>
      <c r="L15" s="4">
        <f t="shared" si="1"/>
        <v>5326524.67</v>
      </c>
      <c r="M15" s="4">
        <f t="shared" si="9"/>
        <v>573475.33000000007</v>
      </c>
      <c r="N15" s="4">
        <v>400000</v>
      </c>
      <c r="O15" s="4">
        <f t="shared" si="2"/>
        <v>700000</v>
      </c>
      <c r="P15" s="4">
        <f t="shared" si="3"/>
        <v>573475.33000000007</v>
      </c>
      <c r="Q15" s="4"/>
      <c r="R15" s="4"/>
      <c r="S15" s="4">
        <f t="shared" si="4"/>
        <v>0</v>
      </c>
      <c r="T15" s="4">
        <f t="shared" si="5"/>
        <v>0</v>
      </c>
      <c r="U15" s="4">
        <f t="shared" si="6"/>
        <v>400000</v>
      </c>
      <c r="V15" s="4">
        <f t="shared" si="7"/>
        <v>400000</v>
      </c>
      <c r="W15" s="4"/>
      <c r="X15" s="4"/>
      <c r="Y15" s="4"/>
      <c r="Z15" s="3"/>
      <c r="AA15" s="3" t="s">
        <v>1386</v>
      </c>
      <c r="AB15" s="3">
        <v>732000</v>
      </c>
      <c r="AC15" s="619"/>
      <c r="AD15" s="52"/>
    </row>
    <row r="16" spans="1:32" s="6" customFormat="1" ht="30" customHeight="1">
      <c r="A16" s="3">
        <f t="shared" si="8"/>
        <v>11</v>
      </c>
      <c r="B16" s="3">
        <v>1129</v>
      </c>
      <c r="C16" s="3" t="s">
        <v>35</v>
      </c>
      <c r="D16" s="4">
        <v>7000000</v>
      </c>
      <c r="E16" s="4">
        <v>7000000</v>
      </c>
      <c r="F16" s="4">
        <f t="shared" si="0"/>
        <v>0</v>
      </c>
      <c r="G16" s="4">
        <v>5991771</v>
      </c>
      <c r="H16" s="4">
        <v>5064670.47</v>
      </c>
      <c r="I16" s="4"/>
      <c r="J16" s="4">
        <v>229476.89</v>
      </c>
      <c r="K16" s="4">
        <v>229476.89</v>
      </c>
      <c r="L16" s="4">
        <f t="shared" si="1"/>
        <v>5294147.3599999994</v>
      </c>
      <c r="M16" s="4">
        <f>P16+S16-500000</f>
        <v>197623.6400000006</v>
      </c>
      <c r="N16" s="4">
        <v>500000</v>
      </c>
      <c r="O16" s="4">
        <f t="shared" si="2"/>
        <v>1008229</v>
      </c>
      <c r="P16" s="4">
        <f t="shared" si="3"/>
        <v>697623.6400000006</v>
      </c>
      <c r="Q16" s="4"/>
      <c r="R16" s="4"/>
      <c r="S16" s="4">
        <f t="shared" si="4"/>
        <v>0</v>
      </c>
      <c r="T16" s="4">
        <f t="shared" si="5"/>
        <v>500000</v>
      </c>
      <c r="U16" s="4">
        <f t="shared" si="6"/>
        <v>0</v>
      </c>
      <c r="V16" s="4">
        <f t="shared" si="7"/>
        <v>0</v>
      </c>
      <c r="W16" s="4"/>
      <c r="X16" s="4"/>
      <c r="Y16" s="4"/>
      <c r="Z16" s="3"/>
      <c r="AA16" s="3" t="s">
        <v>670</v>
      </c>
      <c r="AB16" s="3">
        <v>742000</v>
      </c>
      <c r="AC16" s="618"/>
      <c r="AD16" s="52"/>
      <c r="AE16" s="5"/>
      <c r="AF16" s="5"/>
    </row>
    <row r="17" spans="1:32" s="5" customFormat="1" ht="30" customHeight="1">
      <c r="A17" s="3">
        <f t="shared" si="8"/>
        <v>12</v>
      </c>
      <c r="B17" s="3">
        <v>1220</v>
      </c>
      <c r="C17" s="3" t="s">
        <v>37</v>
      </c>
      <c r="D17" s="4">
        <v>7000000</v>
      </c>
      <c r="E17" s="4">
        <v>7000000</v>
      </c>
      <c r="F17" s="4">
        <f t="shared" si="0"/>
        <v>0</v>
      </c>
      <c r="G17" s="4">
        <v>5600000</v>
      </c>
      <c r="H17" s="4">
        <v>4582039.07</v>
      </c>
      <c r="I17" s="4">
        <v>104327.73</v>
      </c>
      <c r="J17" s="4">
        <v>313039.26</v>
      </c>
      <c r="K17" s="4">
        <v>417366.99</v>
      </c>
      <c r="L17" s="4">
        <f t="shared" si="1"/>
        <v>4999406.0600000005</v>
      </c>
      <c r="M17" s="4">
        <f t="shared" si="9"/>
        <v>600593.93999999948</v>
      </c>
      <c r="N17" s="4">
        <v>700000</v>
      </c>
      <c r="O17" s="4">
        <f t="shared" si="2"/>
        <v>700000</v>
      </c>
      <c r="P17" s="4">
        <f t="shared" si="3"/>
        <v>600593.93999999948</v>
      </c>
      <c r="Q17" s="4"/>
      <c r="R17" s="4"/>
      <c r="S17" s="4">
        <f t="shared" si="4"/>
        <v>0</v>
      </c>
      <c r="T17" s="4">
        <f t="shared" si="5"/>
        <v>0</v>
      </c>
      <c r="U17" s="4">
        <f t="shared" si="6"/>
        <v>700000</v>
      </c>
      <c r="V17" s="4">
        <f t="shared" si="7"/>
        <v>700000</v>
      </c>
      <c r="W17" s="4"/>
      <c r="X17" s="4"/>
      <c r="Y17" s="4"/>
      <c r="Z17" s="3"/>
      <c r="AA17" s="3" t="s">
        <v>671</v>
      </c>
      <c r="AB17" s="3">
        <v>732000</v>
      </c>
      <c r="AC17" s="619"/>
      <c r="AD17" s="52"/>
    </row>
    <row r="18" spans="1:32" s="5" customFormat="1" ht="30" customHeight="1">
      <c r="A18" s="3">
        <f t="shared" si="8"/>
        <v>13</v>
      </c>
      <c r="B18" s="3">
        <v>1320</v>
      </c>
      <c r="C18" s="3" t="s">
        <v>52</v>
      </c>
      <c r="D18" s="4">
        <v>23500000</v>
      </c>
      <c r="E18" s="4">
        <v>23500000</v>
      </c>
      <c r="F18" s="4">
        <f t="shared" si="0"/>
        <v>0</v>
      </c>
      <c r="G18" s="4">
        <v>21550000</v>
      </c>
      <c r="H18" s="4">
        <v>21339439.079999998</v>
      </c>
      <c r="I18" s="4">
        <v>204226.2</v>
      </c>
      <c r="J18" s="4"/>
      <c r="K18" s="4">
        <v>204226.2</v>
      </c>
      <c r="L18" s="4">
        <f t="shared" si="1"/>
        <v>21543665.279999997</v>
      </c>
      <c r="M18" s="4">
        <f t="shared" si="9"/>
        <v>6334.7200000025332</v>
      </c>
      <c r="N18" s="4"/>
      <c r="O18" s="4">
        <f t="shared" si="2"/>
        <v>1950000</v>
      </c>
      <c r="P18" s="4">
        <f t="shared" si="3"/>
        <v>6334.7200000025332</v>
      </c>
      <c r="Q18" s="4"/>
      <c r="R18" s="4"/>
      <c r="S18" s="4">
        <f t="shared" si="4"/>
        <v>0</v>
      </c>
      <c r="T18" s="4">
        <f t="shared" si="5"/>
        <v>0</v>
      </c>
      <c r="U18" s="4">
        <f t="shared" si="6"/>
        <v>0</v>
      </c>
      <c r="V18" s="4">
        <f t="shared" si="7"/>
        <v>0</v>
      </c>
      <c r="W18" s="4"/>
      <c r="X18" s="4"/>
      <c r="Y18" s="4"/>
      <c r="Z18" s="3"/>
      <c r="AA18" s="3"/>
      <c r="AB18" s="3">
        <v>746000</v>
      </c>
      <c r="AC18" s="619"/>
      <c r="AD18" s="52"/>
      <c r="AE18" s="6"/>
      <c r="AF18" s="6"/>
    </row>
    <row r="19" spans="1:32" s="5" customFormat="1" ht="30" customHeight="1">
      <c r="A19" s="3">
        <f t="shared" si="8"/>
        <v>14</v>
      </c>
      <c r="B19" s="3">
        <v>1324</v>
      </c>
      <c r="C19" s="3" t="s">
        <v>53</v>
      </c>
      <c r="D19" s="4">
        <v>180000</v>
      </c>
      <c r="E19" s="4">
        <v>180000</v>
      </c>
      <c r="F19" s="4">
        <f t="shared" si="0"/>
        <v>0</v>
      </c>
      <c r="G19" s="4">
        <v>180000</v>
      </c>
      <c r="H19" s="4">
        <v>120629.48</v>
      </c>
      <c r="I19" s="4"/>
      <c r="J19" s="4">
        <v>38760</v>
      </c>
      <c r="K19" s="4">
        <v>38760</v>
      </c>
      <c r="L19" s="4">
        <f t="shared" si="1"/>
        <v>159389.47999999998</v>
      </c>
      <c r="M19" s="4">
        <f t="shared" si="9"/>
        <v>20610.520000000019</v>
      </c>
      <c r="N19" s="4"/>
      <c r="O19" s="4">
        <f t="shared" si="2"/>
        <v>0</v>
      </c>
      <c r="P19" s="4">
        <f t="shared" si="3"/>
        <v>20610.520000000019</v>
      </c>
      <c r="Q19" s="4"/>
      <c r="R19" s="4"/>
      <c r="S19" s="4">
        <f t="shared" si="4"/>
        <v>0</v>
      </c>
      <c r="T19" s="4">
        <f t="shared" si="5"/>
        <v>0</v>
      </c>
      <c r="U19" s="4">
        <f t="shared" si="6"/>
        <v>0</v>
      </c>
      <c r="V19" s="4">
        <f t="shared" si="7"/>
        <v>0</v>
      </c>
      <c r="W19" s="4"/>
      <c r="X19" s="4"/>
      <c r="Y19" s="4"/>
      <c r="Z19" s="3"/>
      <c r="AA19" s="3"/>
      <c r="AB19" s="3">
        <v>742000</v>
      </c>
      <c r="AC19" s="619"/>
      <c r="AD19" s="52"/>
      <c r="AE19" s="6"/>
      <c r="AF19" s="6"/>
    </row>
    <row r="20" spans="1:32" s="5" customFormat="1" ht="30" customHeight="1">
      <c r="A20" s="3">
        <f t="shared" si="8"/>
        <v>15</v>
      </c>
      <c r="B20" s="3">
        <v>1363</v>
      </c>
      <c r="C20" s="3" t="s">
        <v>40</v>
      </c>
      <c r="D20" s="4">
        <v>15500000</v>
      </c>
      <c r="E20" s="4">
        <v>15500000</v>
      </c>
      <c r="F20" s="4">
        <f t="shared" si="0"/>
        <v>0</v>
      </c>
      <c r="G20" s="4">
        <v>6050000</v>
      </c>
      <c r="H20" s="4">
        <v>934884.96</v>
      </c>
      <c r="I20" s="4">
        <v>72509.899999999994</v>
      </c>
      <c r="J20" s="4">
        <v>283872.08</v>
      </c>
      <c r="K20" s="4">
        <v>356381.98</v>
      </c>
      <c r="L20" s="4">
        <f t="shared" si="1"/>
        <v>1291266.94</v>
      </c>
      <c r="M20" s="4">
        <f t="shared" si="9"/>
        <v>6758733.0600000005</v>
      </c>
      <c r="N20" s="4"/>
      <c r="O20" s="4">
        <f t="shared" si="2"/>
        <v>7450000</v>
      </c>
      <c r="P20" s="4">
        <f t="shared" si="3"/>
        <v>4758733.0600000005</v>
      </c>
      <c r="Q20" s="4">
        <v>2000000</v>
      </c>
      <c r="R20" s="4"/>
      <c r="S20" s="4">
        <f t="shared" si="4"/>
        <v>2000000</v>
      </c>
      <c r="T20" s="4">
        <f t="shared" si="5"/>
        <v>0</v>
      </c>
      <c r="U20" s="4">
        <f t="shared" si="6"/>
        <v>0</v>
      </c>
      <c r="V20" s="4">
        <f t="shared" si="7"/>
        <v>0</v>
      </c>
      <c r="W20" s="4"/>
      <c r="X20" s="4"/>
      <c r="Y20" s="4"/>
      <c r="Z20" s="3"/>
      <c r="AA20" s="3" t="s">
        <v>715</v>
      </c>
      <c r="AB20" s="3">
        <v>742000</v>
      </c>
      <c r="AC20" s="619"/>
      <c r="AD20" s="52"/>
      <c r="AE20" s="6"/>
      <c r="AF20" s="6"/>
    </row>
    <row r="21" spans="1:32" s="6" customFormat="1" ht="30" customHeight="1">
      <c r="A21" s="3">
        <f t="shared" si="8"/>
        <v>16</v>
      </c>
      <c r="B21" s="3">
        <v>1366</v>
      </c>
      <c r="C21" s="3" t="s">
        <v>41</v>
      </c>
      <c r="D21" s="4">
        <v>1500000</v>
      </c>
      <c r="E21" s="4">
        <v>1500000</v>
      </c>
      <c r="F21" s="4">
        <f t="shared" si="0"/>
        <v>0</v>
      </c>
      <c r="G21" s="4">
        <v>846000</v>
      </c>
      <c r="H21" s="4">
        <v>740835.72</v>
      </c>
      <c r="I21" s="4"/>
      <c r="J21" s="4">
        <v>1755.22</v>
      </c>
      <c r="K21" s="4">
        <v>1755.22</v>
      </c>
      <c r="L21" s="4">
        <f t="shared" si="1"/>
        <v>742590.94</v>
      </c>
      <c r="M21" s="4">
        <f t="shared" si="9"/>
        <v>103409.06000000006</v>
      </c>
      <c r="N21" s="4"/>
      <c r="O21" s="4">
        <f t="shared" si="2"/>
        <v>654000</v>
      </c>
      <c r="P21" s="4">
        <f t="shared" si="3"/>
        <v>103409.06000000006</v>
      </c>
      <c r="Q21" s="4"/>
      <c r="R21" s="4"/>
      <c r="S21" s="4">
        <f t="shared" si="4"/>
        <v>0</v>
      </c>
      <c r="T21" s="4">
        <f t="shared" si="5"/>
        <v>0</v>
      </c>
      <c r="U21" s="4">
        <f t="shared" si="6"/>
        <v>0</v>
      </c>
      <c r="V21" s="4">
        <f t="shared" si="7"/>
        <v>0</v>
      </c>
      <c r="W21" s="4"/>
      <c r="X21" s="4"/>
      <c r="Y21" s="4"/>
      <c r="Z21" s="3"/>
      <c r="AA21" s="3" t="s">
        <v>716</v>
      </c>
      <c r="AB21" s="3">
        <v>742000</v>
      </c>
      <c r="AC21" s="620"/>
      <c r="AD21" s="52"/>
      <c r="AE21" s="5"/>
      <c r="AF21" s="5"/>
    </row>
    <row r="22" spans="1:32" s="6" customFormat="1" ht="30" customHeight="1">
      <c r="A22" s="3">
        <f t="shared" si="8"/>
        <v>17</v>
      </c>
      <c r="B22" s="3">
        <v>1406</v>
      </c>
      <c r="C22" s="3" t="s">
        <v>152</v>
      </c>
      <c r="D22" s="4">
        <f>1300000+100000</f>
        <v>1400000</v>
      </c>
      <c r="E22" s="4">
        <v>1300000</v>
      </c>
      <c r="F22" s="4">
        <f t="shared" si="0"/>
        <v>100000</v>
      </c>
      <c r="G22" s="4">
        <v>1300000</v>
      </c>
      <c r="H22" s="4">
        <v>833530.52</v>
      </c>
      <c r="I22" s="4">
        <v>33785.1</v>
      </c>
      <c r="J22" s="4">
        <v>15530.64</v>
      </c>
      <c r="K22" s="4">
        <v>49315.74</v>
      </c>
      <c r="L22" s="4">
        <f t="shared" si="1"/>
        <v>882846.26</v>
      </c>
      <c r="M22" s="4">
        <f t="shared" si="9"/>
        <v>417153.74</v>
      </c>
      <c r="N22" s="4">
        <v>100000</v>
      </c>
      <c r="O22" s="4">
        <f t="shared" si="2"/>
        <v>0</v>
      </c>
      <c r="P22" s="4">
        <f t="shared" si="3"/>
        <v>417153.74</v>
      </c>
      <c r="Q22" s="4"/>
      <c r="R22" s="4"/>
      <c r="S22" s="4">
        <f t="shared" si="4"/>
        <v>0</v>
      </c>
      <c r="T22" s="4">
        <f t="shared" si="5"/>
        <v>0</v>
      </c>
      <c r="U22" s="4">
        <f t="shared" si="6"/>
        <v>100000</v>
      </c>
      <c r="V22" s="4">
        <f t="shared" si="7"/>
        <v>100000</v>
      </c>
      <c r="W22" s="4"/>
      <c r="X22" s="4"/>
      <c r="Y22" s="4"/>
      <c r="Z22" s="3"/>
      <c r="AA22" s="3" t="s">
        <v>672</v>
      </c>
      <c r="AB22" s="3">
        <v>732000</v>
      </c>
      <c r="AC22" s="620"/>
      <c r="AD22" s="52"/>
      <c r="AE22" s="5"/>
      <c r="AF22" s="5"/>
    </row>
    <row r="23" spans="1:32" s="6" customFormat="1" ht="30" customHeight="1">
      <c r="A23" s="3">
        <f t="shared" si="8"/>
        <v>18</v>
      </c>
      <c r="B23" s="3">
        <v>1407</v>
      </c>
      <c r="C23" s="3" t="s">
        <v>18</v>
      </c>
      <c r="D23" s="4">
        <v>4895000</v>
      </c>
      <c r="E23" s="4">
        <v>4895000</v>
      </c>
      <c r="F23" s="4">
        <f t="shared" si="0"/>
        <v>0</v>
      </c>
      <c r="G23" s="4">
        <v>3795000</v>
      </c>
      <c r="H23" s="4">
        <v>2554334.1800000002</v>
      </c>
      <c r="I23" s="4">
        <v>107604.98</v>
      </c>
      <c r="J23" s="4">
        <v>699067.14</v>
      </c>
      <c r="K23" s="4">
        <v>806672.12</v>
      </c>
      <c r="L23" s="4">
        <f t="shared" si="1"/>
        <v>3361006.3000000003</v>
      </c>
      <c r="M23" s="4">
        <f t="shared" si="9"/>
        <v>433993.69999999972</v>
      </c>
      <c r="N23" s="4">
        <f>500000-200000+400000+400000-300000</f>
        <v>800000</v>
      </c>
      <c r="O23" s="4">
        <f t="shared" si="2"/>
        <v>300000</v>
      </c>
      <c r="P23" s="4">
        <f t="shared" si="3"/>
        <v>433993.69999999972</v>
      </c>
      <c r="Q23" s="4"/>
      <c r="R23" s="4"/>
      <c r="S23" s="4">
        <f t="shared" si="4"/>
        <v>0</v>
      </c>
      <c r="T23" s="4">
        <f t="shared" si="5"/>
        <v>0</v>
      </c>
      <c r="U23" s="4">
        <f t="shared" si="6"/>
        <v>800000</v>
      </c>
      <c r="V23" s="4">
        <f t="shared" si="7"/>
        <v>800000</v>
      </c>
      <c r="W23" s="4"/>
      <c r="X23" s="4"/>
      <c r="Y23" s="4"/>
      <c r="Z23" s="3"/>
      <c r="AA23" s="3" t="s">
        <v>673</v>
      </c>
      <c r="AB23" s="3">
        <v>732000</v>
      </c>
      <c r="AC23" s="620"/>
      <c r="AD23" s="52"/>
    </row>
    <row r="24" spans="1:32" s="5" customFormat="1" ht="30" customHeight="1">
      <c r="A24" s="3">
        <f t="shared" si="8"/>
        <v>19</v>
      </c>
      <c r="B24" s="3">
        <v>1409</v>
      </c>
      <c r="C24" s="39" t="s">
        <v>1104</v>
      </c>
      <c r="D24" s="4">
        <v>7680000</v>
      </c>
      <c r="E24" s="4">
        <v>7680000</v>
      </c>
      <c r="F24" s="4">
        <f t="shared" si="0"/>
        <v>0</v>
      </c>
      <c r="G24" s="4">
        <v>7680000</v>
      </c>
      <c r="H24" s="4">
        <v>3947924.35</v>
      </c>
      <c r="I24" s="4">
        <v>2279160</v>
      </c>
      <c r="J24" s="4">
        <v>8716.5</v>
      </c>
      <c r="K24" s="4">
        <v>2287876.5</v>
      </c>
      <c r="L24" s="4">
        <f t="shared" si="1"/>
        <v>6235800.8499999996</v>
      </c>
      <c r="M24" s="4">
        <f t="shared" si="9"/>
        <v>1444199.1500000004</v>
      </c>
      <c r="N24" s="4"/>
      <c r="O24" s="4">
        <f t="shared" si="2"/>
        <v>0</v>
      </c>
      <c r="P24" s="4">
        <f t="shared" si="3"/>
        <v>1444199.1500000004</v>
      </c>
      <c r="Q24" s="4"/>
      <c r="R24" s="4"/>
      <c r="S24" s="4">
        <f t="shared" si="4"/>
        <v>0</v>
      </c>
      <c r="T24" s="4">
        <f t="shared" si="5"/>
        <v>0</v>
      </c>
      <c r="U24" s="4">
        <f t="shared" si="6"/>
        <v>0</v>
      </c>
      <c r="V24" s="4">
        <f t="shared" si="7"/>
        <v>0</v>
      </c>
      <c r="W24" s="4"/>
      <c r="X24" s="4"/>
      <c r="Y24" s="4"/>
      <c r="Z24" s="3"/>
      <c r="AA24" s="3" t="s">
        <v>418</v>
      </c>
      <c r="AB24" s="3">
        <v>732000</v>
      </c>
      <c r="AC24" s="619"/>
      <c r="AD24" s="52"/>
      <c r="AE24" s="6"/>
      <c r="AF24" s="6"/>
    </row>
    <row r="25" spans="1:32" s="5" customFormat="1" ht="30" customHeight="1">
      <c r="A25" s="3">
        <f t="shared" si="8"/>
        <v>20</v>
      </c>
      <c r="B25" s="3">
        <v>1457</v>
      </c>
      <c r="C25" s="3" t="s">
        <v>214</v>
      </c>
      <c r="D25" s="4">
        <v>1100000</v>
      </c>
      <c r="E25" s="4">
        <v>1100000</v>
      </c>
      <c r="F25" s="4">
        <f t="shared" si="0"/>
        <v>0</v>
      </c>
      <c r="G25" s="4">
        <v>430000</v>
      </c>
      <c r="H25" s="4">
        <v>163760.09</v>
      </c>
      <c r="I25" s="4"/>
      <c r="J25" s="4">
        <v>12899.24</v>
      </c>
      <c r="K25" s="4">
        <v>12899.24</v>
      </c>
      <c r="L25" s="4">
        <f t="shared" si="1"/>
        <v>176659.33</v>
      </c>
      <c r="M25" s="4">
        <f>P25+S25-200000</f>
        <v>53340.670000000013</v>
      </c>
      <c r="N25" s="4">
        <f>500000-300000</f>
        <v>200000</v>
      </c>
      <c r="O25" s="4">
        <f t="shared" si="2"/>
        <v>670000</v>
      </c>
      <c r="P25" s="4">
        <f t="shared" si="3"/>
        <v>253340.67</v>
      </c>
      <c r="Q25" s="4"/>
      <c r="R25" s="4"/>
      <c r="S25" s="4">
        <f t="shared" si="4"/>
        <v>0</v>
      </c>
      <c r="T25" s="4">
        <f t="shared" si="5"/>
        <v>200000</v>
      </c>
      <c r="U25" s="4">
        <f t="shared" si="6"/>
        <v>0</v>
      </c>
      <c r="V25" s="4">
        <f t="shared" si="7"/>
        <v>0</v>
      </c>
      <c r="W25" s="4"/>
      <c r="X25" s="4"/>
      <c r="Y25" s="4"/>
      <c r="Z25" s="3"/>
      <c r="AA25" s="3" t="s">
        <v>419</v>
      </c>
      <c r="AB25" s="3">
        <v>742000</v>
      </c>
      <c r="AC25" s="618"/>
      <c r="AD25" s="52"/>
    </row>
    <row r="26" spans="1:32" s="5" customFormat="1" ht="30" customHeight="1">
      <c r="A26" s="3">
        <f t="shared" si="8"/>
        <v>21</v>
      </c>
      <c r="B26" s="3">
        <v>1466</v>
      </c>
      <c r="C26" s="3" t="s">
        <v>19</v>
      </c>
      <c r="D26" s="4">
        <v>2200000</v>
      </c>
      <c r="E26" s="4">
        <v>2200000</v>
      </c>
      <c r="F26" s="4">
        <f t="shared" si="0"/>
        <v>0</v>
      </c>
      <c r="G26" s="4">
        <v>1500000</v>
      </c>
      <c r="H26" s="4">
        <v>1218739.8899999999</v>
      </c>
      <c r="I26" s="4"/>
      <c r="J26" s="4">
        <v>25974</v>
      </c>
      <c r="K26" s="4">
        <v>25974</v>
      </c>
      <c r="L26" s="4">
        <f t="shared" si="1"/>
        <v>1244713.8899999999</v>
      </c>
      <c r="M26" s="4">
        <f>P26+S26-100000</f>
        <v>155286.1100000001</v>
      </c>
      <c r="N26" s="4">
        <v>100000</v>
      </c>
      <c r="O26" s="4">
        <f t="shared" si="2"/>
        <v>700000</v>
      </c>
      <c r="P26" s="4">
        <f t="shared" si="3"/>
        <v>255286.1100000001</v>
      </c>
      <c r="Q26" s="4"/>
      <c r="R26" s="4"/>
      <c r="S26" s="4">
        <f t="shared" si="4"/>
        <v>0</v>
      </c>
      <c r="T26" s="4">
        <f t="shared" si="5"/>
        <v>100000</v>
      </c>
      <c r="U26" s="4">
        <f t="shared" si="6"/>
        <v>0</v>
      </c>
      <c r="V26" s="4">
        <f t="shared" si="7"/>
        <v>0</v>
      </c>
      <c r="W26" s="4"/>
      <c r="X26" s="4"/>
      <c r="Y26" s="4"/>
      <c r="Z26" s="3"/>
      <c r="AA26" s="3" t="s">
        <v>420</v>
      </c>
      <c r="AB26" s="3">
        <v>732000</v>
      </c>
      <c r="AC26" s="619"/>
      <c r="AD26" s="52"/>
      <c r="AE26" s="6"/>
      <c r="AF26" s="6"/>
    </row>
    <row r="27" spans="1:32" s="5" customFormat="1" ht="30" customHeight="1">
      <c r="A27" s="3">
        <f t="shared" si="8"/>
        <v>22</v>
      </c>
      <c r="B27" s="3">
        <v>1511</v>
      </c>
      <c r="C27" s="3" t="s">
        <v>43</v>
      </c>
      <c r="D27" s="4">
        <v>960000</v>
      </c>
      <c r="E27" s="4">
        <v>960000</v>
      </c>
      <c r="F27" s="4">
        <f t="shared" si="0"/>
        <v>0</v>
      </c>
      <c r="G27" s="4">
        <v>100000</v>
      </c>
      <c r="H27" s="4">
        <v>17284</v>
      </c>
      <c r="I27" s="4"/>
      <c r="J27" s="4"/>
      <c r="K27" s="4">
        <v>0</v>
      </c>
      <c r="L27" s="4">
        <f t="shared" si="1"/>
        <v>17284</v>
      </c>
      <c r="M27" s="4">
        <f t="shared" si="9"/>
        <v>82716</v>
      </c>
      <c r="N27" s="4"/>
      <c r="O27" s="4">
        <f t="shared" si="2"/>
        <v>860000</v>
      </c>
      <c r="P27" s="4">
        <f t="shared" si="3"/>
        <v>82716</v>
      </c>
      <c r="Q27" s="4"/>
      <c r="R27" s="4"/>
      <c r="S27" s="4">
        <f t="shared" si="4"/>
        <v>0</v>
      </c>
      <c r="T27" s="4">
        <f t="shared" si="5"/>
        <v>0</v>
      </c>
      <c r="U27" s="4">
        <f t="shared" si="6"/>
        <v>0</v>
      </c>
      <c r="V27" s="4">
        <f t="shared" si="7"/>
        <v>0</v>
      </c>
      <c r="W27" s="4"/>
      <c r="X27" s="4"/>
      <c r="Y27" s="4"/>
      <c r="Z27" s="3"/>
      <c r="AA27" s="3" t="s">
        <v>1447</v>
      </c>
      <c r="AB27" s="3">
        <v>742000</v>
      </c>
      <c r="AC27" s="619"/>
      <c r="AD27" s="52"/>
    </row>
    <row r="28" spans="1:32" s="5" customFormat="1" ht="30" customHeight="1">
      <c r="A28" s="3">
        <f t="shared" si="8"/>
        <v>23</v>
      </c>
      <c r="B28" s="3">
        <v>1527</v>
      </c>
      <c r="C28" s="3" t="s">
        <v>939</v>
      </c>
      <c r="D28" s="4">
        <v>3000000</v>
      </c>
      <c r="E28" s="4">
        <v>3000000</v>
      </c>
      <c r="F28" s="4">
        <f t="shared" si="0"/>
        <v>0</v>
      </c>
      <c r="G28" s="4">
        <v>850000</v>
      </c>
      <c r="H28" s="4">
        <v>821144.02</v>
      </c>
      <c r="I28" s="4"/>
      <c r="J28" s="4">
        <v>526.5</v>
      </c>
      <c r="K28" s="4">
        <v>526.5</v>
      </c>
      <c r="L28" s="4">
        <f t="shared" si="1"/>
        <v>821670.52</v>
      </c>
      <c r="M28" s="4">
        <f t="shared" si="9"/>
        <v>28329.479999999981</v>
      </c>
      <c r="N28" s="4">
        <f>100000+250000</f>
        <v>350000</v>
      </c>
      <c r="O28" s="4">
        <f t="shared" si="2"/>
        <v>1800000</v>
      </c>
      <c r="P28" s="4">
        <f t="shared" si="3"/>
        <v>28329.479999999981</v>
      </c>
      <c r="Q28" s="4"/>
      <c r="R28" s="4"/>
      <c r="S28" s="4">
        <f t="shared" si="4"/>
        <v>0</v>
      </c>
      <c r="T28" s="4">
        <f t="shared" si="5"/>
        <v>0</v>
      </c>
      <c r="U28" s="4">
        <f t="shared" si="6"/>
        <v>350000</v>
      </c>
      <c r="V28" s="4">
        <f t="shared" si="7"/>
        <v>350000</v>
      </c>
      <c r="W28" s="4"/>
      <c r="X28" s="4"/>
      <c r="Y28" s="4"/>
      <c r="Z28" s="3"/>
      <c r="AA28" s="3" t="s">
        <v>1387</v>
      </c>
      <c r="AB28" s="3">
        <v>732000</v>
      </c>
      <c r="AC28" s="618"/>
      <c r="AD28" s="52"/>
    </row>
    <row r="29" spans="1:32" s="5" customFormat="1" ht="30" customHeight="1">
      <c r="A29" s="3">
        <f t="shared" si="8"/>
        <v>24</v>
      </c>
      <c r="B29" s="3">
        <v>1529</v>
      </c>
      <c r="C29" s="3" t="s">
        <v>55</v>
      </c>
      <c r="D29" s="4">
        <v>500000</v>
      </c>
      <c r="E29" s="4">
        <v>400000</v>
      </c>
      <c r="F29" s="4">
        <f t="shared" si="0"/>
        <v>100000</v>
      </c>
      <c r="G29" s="4">
        <v>400000</v>
      </c>
      <c r="H29" s="4">
        <v>346975.05</v>
      </c>
      <c r="I29" s="4"/>
      <c r="J29" s="4">
        <v>25400.7</v>
      </c>
      <c r="K29" s="4">
        <v>25400.7</v>
      </c>
      <c r="L29" s="4">
        <f t="shared" si="1"/>
        <v>372375.75</v>
      </c>
      <c r="M29" s="4">
        <f t="shared" si="9"/>
        <v>27624.25</v>
      </c>
      <c r="N29" s="4">
        <v>100000</v>
      </c>
      <c r="O29" s="4">
        <f t="shared" si="2"/>
        <v>0</v>
      </c>
      <c r="P29" s="4">
        <f t="shared" si="3"/>
        <v>27624.25</v>
      </c>
      <c r="Q29" s="4"/>
      <c r="R29" s="4"/>
      <c r="S29" s="4">
        <f t="shared" si="4"/>
        <v>0</v>
      </c>
      <c r="T29" s="4">
        <f t="shared" si="5"/>
        <v>0</v>
      </c>
      <c r="U29" s="4">
        <f t="shared" si="6"/>
        <v>100000</v>
      </c>
      <c r="V29" s="4">
        <f t="shared" si="7"/>
        <v>100000</v>
      </c>
      <c r="W29" s="4"/>
      <c r="X29" s="4"/>
      <c r="Y29" s="4"/>
      <c r="Z29" s="3"/>
      <c r="AA29" s="3" t="s">
        <v>626</v>
      </c>
      <c r="AB29" s="3">
        <v>760000</v>
      </c>
      <c r="AC29" s="619"/>
      <c r="AD29" s="52"/>
    </row>
    <row r="30" spans="1:32" s="5" customFormat="1" ht="30" customHeight="1">
      <c r="A30" s="3">
        <f t="shared" si="8"/>
        <v>25</v>
      </c>
      <c r="B30" s="3">
        <v>1551</v>
      </c>
      <c r="C30" s="3" t="s">
        <v>126</v>
      </c>
      <c r="D30" s="4">
        <v>525240</v>
      </c>
      <c r="E30" s="4">
        <v>525240</v>
      </c>
      <c r="F30" s="4">
        <f t="shared" si="0"/>
        <v>0</v>
      </c>
      <c r="G30" s="4">
        <v>375240</v>
      </c>
      <c r="H30" s="4">
        <v>204671</v>
      </c>
      <c r="I30" s="4"/>
      <c r="J30" s="4">
        <v>19855</v>
      </c>
      <c r="K30" s="4">
        <v>19855</v>
      </c>
      <c r="L30" s="4">
        <f t="shared" si="1"/>
        <v>224526</v>
      </c>
      <c r="M30" s="4">
        <f t="shared" si="9"/>
        <v>150714</v>
      </c>
      <c r="N30" s="4">
        <v>150000</v>
      </c>
      <c r="O30" s="4">
        <f t="shared" si="2"/>
        <v>0</v>
      </c>
      <c r="P30" s="4">
        <f t="shared" si="3"/>
        <v>150714</v>
      </c>
      <c r="Q30" s="4"/>
      <c r="R30" s="4"/>
      <c r="S30" s="4">
        <f t="shared" si="4"/>
        <v>0</v>
      </c>
      <c r="T30" s="4">
        <f t="shared" si="5"/>
        <v>0</v>
      </c>
      <c r="U30" s="4">
        <f t="shared" si="6"/>
        <v>150000</v>
      </c>
      <c r="V30" s="4">
        <f t="shared" si="7"/>
        <v>150000</v>
      </c>
      <c r="W30" s="4"/>
      <c r="X30" s="4"/>
      <c r="Y30" s="4"/>
      <c r="Z30" s="3"/>
      <c r="AA30" s="3" t="s">
        <v>675</v>
      </c>
      <c r="AB30" s="3">
        <v>732000</v>
      </c>
      <c r="AC30" s="620"/>
      <c r="AD30" s="52"/>
    </row>
    <row r="31" spans="1:32" s="6" customFormat="1" ht="30" customHeight="1">
      <c r="A31" s="3">
        <f t="shared" si="8"/>
        <v>26</v>
      </c>
      <c r="B31" s="3">
        <v>1568</v>
      </c>
      <c r="C31" s="3" t="s">
        <v>56</v>
      </c>
      <c r="D31" s="4">
        <v>46375301</v>
      </c>
      <c r="E31" s="4">
        <v>46375301</v>
      </c>
      <c r="F31" s="4">
        <f t="shared" si="0"/>
        <v>0</v>
      </c>
      <c r="G31" s="4">
        <v>28875301</v>
      </c>
      <c r="H31" s="4">
        <v>27763907.309999999</v>
      </c>
      <c r="I31" s="4">
        <v>822126.24</v>
      </c>
      <c r="J31" s="4">
        <v>55293.26</v>
      </c>
      <c r="K31" s="4">
        <v>877419.5</v>
      </c>
      <c r="L31" s="4">
        <f t="shared" si="1"/>
        <v>28641326.809999999</v>
      </c>
      <c r="M31" s="4">
        <f t="shared" si="9"/>
        <v>233974.19000000134</v>
      </c>
      <c r="N31" s="4"/>
      <c r="O31" s="4">
        <f t="shared" si="2"/>
        <v>17500000</v>
      </c>
      <c r="P31" s="4">
        <f t="shared" si="3"/>
        <v>233974.19000000134</v>
      </c>
      <c r="Q31" s="4"/>
      <c r="R31" s="4"/>
      <c r="S31" s="4">
        <f t="shared" si="4"/>
        <v>0</v>
      </c>
      <c r="T31" s="4">
        <f t="shared" si="5"/>
        <v>0</v>
      </c>
      <c r="U31" s="4">
        <f t="shared" si="6"/>
        <v>0</v>
      </c>
      <c r="V31" s="4">
        <f t="shared" si="7"/>
        <v>0</v>
      </c>
      <c r="W31" s="4"/>
      <c r="X31" s="4"/>
      <c r="Y31" s="4"/>
      <c r="Z31" s="3"/>
      <c r="AA31" s="3"/>
      <c r="AB31" s="3">
        <v>746000</v>
      </c>
      <c r="AC31" s="620"/>
      <c r="AD31" s="52"/>
      <c r="AE31" s="5"/>
      <c r="AF31" s="5"/>
    </row>
    <row r="32" spans="1:32" s="6" customFormat="1" ht="30" customHeight="1">
      <c r="A32" s="3">
        <f t="shared" si="8"/>
        <v>27</v>
      </c>
      <c r="B32" s="3">
        <v>1576</v>
      </c>
      <c r="C32" s="3" t="s">
        <v>57</v>
      </c>
      <c r="D32" s="4">
        <v>1000000</v>
      </c>
      <c r="E32" s="4">
        <v>1000000</v>
      </c>
      <c r="F32" s="4">
        <f t="shared" si="0"/>
        <v>0</v>
      </c>
      <c r="G32" s="4">
        <v>420000</v>
      </c>
      <c r="H32" s="4">
        <v>363674.17</v>
      </c>
      <c r="I32" s="4">
        <v>35099</v>
      </c>
      <c r="J32" s="4"/>
      <c r="K32" s="4">
        <v>35099</v>
      </c>
      <c r="L32" s="4">
        <f t="shared" si="1"/>
        <v>398773.17</v>
      </c>
      <c r="M32" s="4">
        <f t="shared" si="9"/>
        <v>21226.830000000016</v>
      </c>
      <c r="N32" s="4">
        <v>30000</v>
      </c>
      <c r="O32" s="4">
        <f t="shared" si="2"/>
        <v>550000</v>
      </c>
      <c r="P32" s="4">
        <f t="shared" si="3"/>
        <v>21226.830000000016</v>
      </c>
      <c r="Q32" s="4"/>
      <c r="R32" s="4"/>
      <c r="S32" s="4">
        <f t="shared" si="4"/>
        <v>0</v>
      </c>
      <c r="T32" s="4">
        <f t="shared" si="5"/>
        <v>0</v>
      </c>
      <c r="U32" s="4">
        <f t="shared" si="6"/>
        <v>30000</v>
      </c>
      <c r="V32" s="4">
        <f t="shared" si="7"/>
        <v>30000</v>
      </c>
      <c r="W32" s="4"/>
      <c r="X32" s="4"/>
      <c r="Y32" s="4"/>
      <c r="Z32" s="3"/>
      <c r="AA32" s="3" t="s">
        <v>676</v>
      </c>
      <c r="AB32" s="3">
        <v>732000</v>
      </c>
      <c r="AC32" s="619"/>
      <c r="AD32" s="52"/>
      <c r="AE32" s="5"/>
      <c r="AF32" s="5"/>
    </row>
    <row r="33" spans="1:32" s="5" customFormat="1" ht="30" customHeight="1">
      <c r="A33" s="3">
        <f t="shared" si="8"/>
        <v>28</v>
      </c>
      <c r="B33" s="3">
        <v>1587</v>
      </c>
      <c r="C33" s="3" t="s">
        <v>128</v>
      </c>
      <c r="D33" s="4">
        <v>34200000</v>
      </c>
      <c r="E33" s="4">
        <v>34200000</v>
      </c>
      <c r="F33" s="4">
        <f t="shared" si="0"/>
        <v>0</v>
      </c>
      <c r="G33" s="4">
        <v>11550000</v>
      </c>
      <c r="H33" s="4">
        <v>8929257.1899999995</v>
      </c>
      <c r="I33" s="4">
        <v>799141.59</v>
      </c>
      <c r="J33" s="4">
        <v>1096116.3400000001</v>
      </c>
      <c r="K33" s="4">
        <v>1895257.9300000002</v>
      </c>
      <c r="L33" s="4">
        <f t="shared" si="1"/>
        <v>10824515.119999999</v>
      </c>
      <c r="M33" s="4">
        <f t="shared" si="9"/>
        <v>725484.88000000082</v>
      </c>
      <c r="N33" s="4">
        <f>11300000-4300000-3000000</f>
        <v>4000000</v>
      </c>
      <c r="O33" s="4">
        <f t="shared" si="2"/>
        <v>18650000</v>
      </c>
      <c r="P33" s="4">
        <f t="shared" si="3"/>
        <v>725484.88000000082</v>
      </c>
      <c r="Q33" s="4"/>
      <c r="R33" s="4"/>
      <c r="S33" s="4">
        <f t="shared" si="4"/>
        <v>0</v>
      </c>
      <c r="T33" s="4">
        <f t="shared" si="5"/>
        <v>0</v>
      </c>
      <c r="U33" s="4">
        <f t="shared" si="6"/>
        <v>4000000</v>
      </c>
      <c r="V33" s="4">
        <f t="shared" si="7"/>
        <v>4000000</v>
      </c>
      <c r="W33" s="4"/>
      <c r="X33" s="4"/>
      <c r="Y33" s="4"/>
      <c r="Z33" s="3"/>
      <c r="AA33" s="3" t="s">
        <v>1307</v>
      </c>
      <c r="AB33" s="3">
        <v>742000</v>
      </c>
      <c r="AC33" s="620"/>
      <c r="AD33" s="52"/>
    </row>
    <row r="34" spans="1:32" s="6" customFormat="1" ht="30" customHeight="1">
      <c r="A34" s="3">
        <f t="shared" si="8"/>
        <v>29</v>
      </c>
      <c r="B34" s="3">
        <v>1601</v>
      </c>
      <c r="C34" s="3" t="s">
        <v>45</v>
      </c>
      <c r="D34" s="4">
        <v>700000</v>
      </c>
      <c r="E34" s="4">
        <v>700000</v>
      </c>
      <c r="F34" s="4">
        <f t="shared" si="0"/>
        <v>0</v>
      </c>
      <c r="G34" s="4">
        <v>650000</v>
      </c>
      <c r="H34" s="4">
        <v>512755.34</v>
      </c>
      <c r="I34" s="4"/>
      <c r="J34" s="4">
        <v>20613.2</v>
      </c>
      <c r="K34" s="4">
        <v>20613.2</v>
      </c>
      <c r="L34" s="4">
        <f t="shared" si="1"/>
        <v>533368.54</v>
      </c>
      <c r="M34" s="4">
        <f t="shared" si="9"/>
        <v>116631.45999999996</v>
      </c>
      <c r="N34" s="4"/>
      <c r="O34" s="4">
        <f t="shared" si="2"/>
        <v>50000</v>
      </c>
      <c r="P34" s="4">
        <f t="shared" si="3"/>
        <v>116631.45999999996</v>
      </c>
      <c r="Q34" s="4"/>
      <c r="R34" s="4"/>
      <c r="S34" s="4">
        <f t="shared" si="4"/>
        <v>0</v>
      </c>
      <c r="T34" s="4">
        <f t="shared" si="5"/>
        <v>0</v>
      </c>
      <c r="U34" s="4">
        <f t="shared" si="6"/>
        <v>0</v>
      </c>
      <c r="V34" s="4">
        <f t="shared" si="7"/>
        <v>0</v>
      </c>
      <c r="W34" s="4"/>
      <c r="X34" s="4"/>
      <c r="Y34" s="4"/>
      <c r="Z34" s="3"/>
      <c r="AA34" s="3"/>
      <c r="AB34" s="3">
        <v>742000</v>
      </c>
      <c r="AC34" s="619"/>
      <c r="AD34" s="52"/>
      <c r="AE34" s="5"/>
      <c r="AF34" s="5"/>
    </row>
    <row r="35" spans="1:32" s="5" customFormat="1" ht="30" customHeight="1">
      <c r="A35" s="3">
        <f t="shared" si="8"/>
        <v>30</v>
      </c>
      <c r="B35" s="3">
        <v>1602</v>
      </c>
      <c r="C35" s="3" t="s">
        <v>29</v>
      </c>
      <c r="D35" s="4">
        <f>29500000+3000000</f>
        <v>32500000</v>
      </c>
      <c r="E35" s="4">
        <v>29500000</v>
      </c>
      <c r="F35" s="4">
        <f t="shared" si="0"/>
        <v>3000000</v>
      </c>
      <c r="G35" s="4">
        <v>32500000</v>
      </c>
      <c r="H35" s="4">
        <v>29008286.469999999</v>
      </c>
      <c r="I35" s="4">
        <v>2652256.21</v>
      </c>
      <c r="J35" s="4">
        <v>150108.25</v>
      </c>
      <c r="K35" s="4">
        <v>2802364.46</v>
      </c>
      <c r="L35" s="4">
        <f t="shared" si="1"/>
        <v>31810650.93</v>
      </c>
      <c r="M35" s="4">
        <f t="shared" si="9"/>
        <v>689349.0700000003</v>
      </c>
      <c r="N35" s="4"/>
      <c r="O35" s="4">
        <f t="shared" si="2"/>
        <v>0</v>
      </c>
      <c r="P35" s="4">
        <f t="shared" si="3"/>
        <v>689349.0700000003</v>
      </c>
      <c r="Q35" s="4"/>
      <c r="R35" s="4"/>
      <c r="S35" s="4">
        <f t="shared" si="4"/>
        <v>0</v>
      </c>
      <c r="T35" s="4">
        <f t="shared" si="5"/>
        <v>0</v>
      </c>
      <c r="U35" s="4">
        <f t="shared" si="6"/>
        <v>0</v>
      </c>
      <c r="V35" s="4">
        <f t="shared" si="7"/>
        <v>0</v>
      </c>
      <c r="W35" s="4"/>
      <c r="X35" s="4"/>
      <c r="Y35" s="4"/>
      <c r="Z35" s="3"/>
      <c r="AA35" s="3" t="s">
        <v>1452</v>
      </c>
      <c r="AB35" s="3">
        <v>742000</v>
      </c>
      <c r="AC35" s="619"/>
      <c r="AD35" s="52"/>
    </row>
    <row r="36" spans="1:32" s="5" customFormat="1" ht="30" customHeight="1">
      <c r="A36" s="3">
        <f t="shared" si="8"/>
        <v>31</v>
      </c>
      <c r="B36" s="3">
        <v>1619</v>
      </c>
      <c r="C36" s="3" t="s">
        <v>127</v>
      </c>
      <c r="D36" s="4">
        <v>250000</v>
      </c>
      <c r="E36" s="4">
        <v>250000</v>
      </c>
      <c r="F36" s="4">
        <f t="shared" si="0"/>
        <v>0</v>
      </c>
      <c r="G36" s="4">
        <v>200000</v>
      </c>
      <c r="H36" s="4">
        <v>90207</v>
      </c>
      <c r="I36" s="4"/>
      <c r="J36" s="4">
        <v>10580.9</v>
      </c>
      <c r="K36" s="4">
        <v>10580.9</v>
      </c>
      <c r="L36" s="4">
        <f t="shared" si="1"/>
        <v>100787.9</v>
      </c>
      <c r="M36" s="4">
        <f t="shared" si="9"/>
        <v>99212.1</v>
      </c>
      <c r="N36" s="4"/>
      <c r="O36" s="4">
        <f t="shared" si="2"/>
        <v>50000</v>
      </c>
      <c r="P36" s="4">
        <f t="shared" si="3"/>
        <v>99212.1</v>
      </c>
      <c r="Q36" s="4"/>
      <c r="R36" s="4"/>
      <c r="S36" s="4">
        <f t="shared" si="4"/>
        <v>0</v>
      </c>
      <c r="T36" s="4">
        <f t="shared" si="5"/>
        <v>0</v>
      </c>
      <c r="U36" s="4">
        <f t="shared" si="6"/>
        <v>0</v>
      </c>
      <c r="V36" s="4">
        <f t="shared" si="7"/>
        <v>0</v>
      </c>
      <c r="W36" s="4"/>
      <c r="X36" s="4"/>
      <c r="Y36" s="4"/>
      <c r="Z36" s="3"/>
      <c r="AA36" s="3" t="s">
        <v>678</v>
      </c>
      <c r="AB36" s="3">
        <v>732000</v>
      </c>
      <c r="AC36" s="619"/>
      <c r="AD36" s="52"/>
    </row>
    <row r="37" spans="1:32" s="5" customFormat="1" ht="30" customHeight="1">
      <c r="A37" s="3">
        <f t="shared" si="8"/>
        <v>32</v>
      </c>
      <c r="B37" s="3">
        <v>1620</v>
      </c>
      <c r="C37" s="39" t="s">
        <v>1105</v>
      </c>
      <c r="D37" s="4">
        <v>1000000</v>
      </c>
      <c r="E37" s="4">
        <v>1000000</v>
      </c>
      <c r="F37" s="4">
        <f t="shared" si="0"/>
        <v>0</v>
      </c>
      <c r="G37" s="4">
        <v>300000</v>
      </c>
      <c r="H37" s="4">
        <v>0</v>
      </c>
      <c r="I37" s="4"/>
      <c r="J37" s="4"/>
      <c r="K37" s="4">
        <v>0</v>
      </c>
      <c r="L37" s="4">
        <f t="shared" si="1"/>
        <v>0</v>
      </c>
      <c r="M37" s="4">
        <f>P37+S37-300000</f>
        <v>0</v>
      </c>
      <c r="N37" s="4">
        <v>300000</v>
      </c>
      <c r="O37" s="4">
        <f t="shared" si="2"/>
        <v>700000</v>
      </c>
      <c r="P37" s="4">
        <f t="shared" si="3"/>
        <v>300000</v>
      </c>
      <c r="Q37" s="4"/>
      <c r="R37" s="4"/>
      <c r="S37" s="4">
        <f t="shared" si="4"/>
        <v>0</v>
      </c>
      <c r="T37" s="4">
        <f t="shared" si="5"/>
        <v>300000</v>
      </c>
      <c r="U37" s="4">
        <f t="shared" si="6"/>
        <v>0</v>
      </c>
      <c r="V37" s="4">
        <f t="shared" si="7"/>
        <v>0</v>
      </c>
      <c r="W37" s="4"/>
      <c r="X37" s="4"/>
      <c r="Y37" s="4"/>
      <c r="Z37" s="3"/>
      <c r="AA37" s="3" t="s">
        <v>871</v>
      </c>
      <c r="AB37" s="3">
        <v>732000</v>
      </c>
      <c r="AC37" s="619"/>
      <c r="AD37" s="52"/>
    </row>
    <row r="38" spans="1:32" s="5" customFormat="1" ht="30" customHeight="1">
      <c r="A38" s="3">
        <f t="shared" si="8"/>
        <v>33</v>
      </c>
      <c r="B38" s="3">
        <v>1660</v>
      </c>
      <c r="C38" s="3" t="s">
        <v>20</v>
      </c>
      <c r="D38" s="4">
        <v>2000000</v>
      </c>
      <c r="E38" s="4">
        <v>2000000</v>
      </c>
      <c r="F38" s="4">
        <f t="shared" si="0"/>
        <v>0</v>
      </c>
      <c r="G38" s="4">
        <v>600000</v>
      </c>
      <c r="H38" s="4">
        <v>120082.5</v>
      </c>
      <c r="I38" s="4"/>
      <c r="J38" s="4">
        <v>16103.59</v>
      </c>
      <c r="K38" s="4">
        <v>16103.59</v>
      </c>
      <c r="L38" s="4">
        <f t="shared" si="1"/>
        <v>136186.09</v>
      </c>
      <c r="M38" s="4">
        <f t="shared" si="9"/>
        <v>463813.91000000003</v>
      </c>
      <c r="N38" s="4">
        <f>500000+500000-500000</f>
        <v>500000</v>
      </c>
      <c r="O38" s="4">
        <f t="shared" si="2"/>
        <v>900000</v>
      </c>
      <c r="P38" s="4">
        <f t="shared" si="3"/>
        <v>463813.91000000003</v>
      </c>
      <c r="Q38" s="4"/>
      <c r="R38" s="4"/>
      <c r="S38" s="4">
        <f t="shared" si="4"/>
        <v>0</v>
      </c>
      <c r="T38" s="4">
        <f t="shared" si="5"/>
        <v>0</v>
      </c>
      <c r="U38" s="4">
        <f t="shared" si="6"/>
        <v>500000</v>
      </c>
      <c r="V38" s="4">
        <f t="shared" si="7"/>
        <v>500000</v>
      </c>
      <c r="W38" s="4"/>
      <c r="X38" s="4"/>
      <c r="Y38" s="4"/>
      <c r="Z38" s="3"/>
      <c r="AA38" s="3" t="s">
        <v>1106</v>
      </c>
      <c r="AB38" s="3">
        <v>732000</v>
      </c>
      <c r="AC38" s="620"/>
      <c r="AD38" s="52"/>
    </row>
    <row r="39" spans="1:32" s="6" customFormat="1" ht="30" customHeight="1">
      <c r="A39" s="3">
        <f t="shared" si="8"/>
        <v>34</v>
      </c>
      <c r="B39" s="3">
        <v>1670</v>
      </c>
      <c r="C39" s="3" t="s">
        <v>129</v>
      </c>
      <c r="D39" s="4">
        <v>12500000</v>
      </c>
      <c r="E39" s="4">
        <v>12500000</v>
      </c>
      <c r="F39" s="4">
        <f t="shared" si="0"/>
        <v>0</v>
      </c>
      <c r="G39" s="4">
        <v>850000</v>
      </c>
      <c r="H39" s="4">
        <v>168571</v>
      </c>
      <c r="I39" s="4">
        <v>195569.65</v>
      </c>
      <c r="J39" s="4">
        <v>43446.1</v>
      </c>
      <c r="K39" s="4">
        <v>239015.75</v>
      </c>
      <c r="L39" s="4">
        <f t="shared" si="1"/>
        <v>407586.75</v>
      </c>
      <c r="M39" s="4">
        <f t="shared" si="9"/>
        <v>442413.25</v>
      </c>
      <c r="N39" s="4">
        <f>1000000-300000</f>
        <v>700000</v>
      </c>
      <c r="O39" s="4">
        <f t="shared" si="2"/>
        <v>10950000</v>
      </c>
      <c r="P39" s="4">
        <f t="shared" si="3"/>
        <v>442413.25</v>
      </c>
      <c r="Q39" s="4"/>
      <c r="R39" s="4"/>
      <c r="S39" s="4">
        <f t="shared" si="4"/>
        <v>0</v>
      </c>
      <c r="T39" s="4">
        <f t="shared" si="5"/>
        <v>0</v>
      </c>
      <c r="U39" s="4">
        <f t="shared" si="6"/>
        <v>700000</v>
      </c>
      <c r="V39" s="4">
        <f t="shared" si="7"/>
        <v>700000</v>
      </c>
      <c r="W39" s="4"/>
      <c r="X39" s="4"/>
      <c r="Y39" s="4"/>
      <c r="Z39" s="3"/>
      <c r="AA39" s="3" t="s">
        <v>717</v>
      </c>
      <c r="AB39" s="3">
        <v>742000</v>
      </c>
      <c r="AC39" s="619"/>
      <c r="AD39" s="52"/>
      <c r="AE39" s="5"/>
      <c r="AF39" s="5"/>
    </row>
    <row r="40" spans="1:32" s="5" customFormat="1" ht="30" customHeight="1">
      <c r="A40" s="3">
        <f t="shared" si="8"/>
        <v>35</v>
      </c>
      <c r="B40" s="3">
        <v>1674</v>
      </c>
      <c r="C40" s="3" t="s">
        <v>21</v>
      </c>
      <c r="D40" s="4">
        <f>2700000+100000-500000-500000</f>
        <v>1800000</v>
      </c>
      <c r="E40" s="4">
        <v>2300000</v>
      </c>
      <c r="F40" s="4">
        <f t="shared" si="0"/>
        <v>-500000</v>
      </c>
      <c r="G40" s="4">
        <f>2200000+100000</f>
        <v>2300000</v>
      </c>
      <c r="H40" s="4">
        <v>1414819.69</v>
      </c>
      <c r="I40" s="4">
        <v>300189.64</v>
      </c>
      <c r="J40" s="4">
        <v>13969.8</v>
      </c>
      <c r="K40" s="4">
        <v>314159.44</v>
      </c>
      <c r="L40" s="4">
        <f t="shared" si="1"/>
        <v>1728979.13</v>
      </c>
      <c r="M40" s="4">
        <f>P40+S40-500000</f>
        <v>71020.870000000112</v>
      </c>
      <c r="N40" s="4">
        <f>500000-500000</f>
        <v>0</v>
      </c>
      <c r="O40" s="4">
        <f t="shared" si="2"/>
        <v>0</v>
      </c>
      <c r="P40" s="4">
        <f t="shared" si="3"/>
        <v>571020.87000000011</v>
      </c>
      <c r="Q40" s="4"/>
      <c r="R40" s="4"/>
      <c r="S40" s="4">
        <f t="shared" si="4"/>
        <v>0</v>
      </c>
      <c r="T40" s="4">
        <f t="shared" si="5"/>
        <v>500000</v>
      </c>
      <c r="U40" s="4">
        <f t="shared" si="6"/>
        <v>-500000</v>
      </c>
      <c r="V40" s="4">
        <f t="shared" si="7"/>
        <v>-500000</v>
      </c>
      <c r="W40" s="4"/>
      <c r="X40" s="4"/>
      <c r="Y40" s="4"/>
      <c r="Z40" s="4"/>
      <c r="AA40" s="3" t="s">
        <v>1107</v>
      </c>
      <c r="AB40" s="3">
        <v>732000</v>
      </c>
      <c r="AC40" s="620"/>
      <c r="AD40" s="52"/>
      <c r="AE40" s="7"/>
      <c r="AF40" s="7"/>
    </row>
    <row r="41" spans="1:32" s="6" customFormat="1" ht="30" customHeight="1">
      <c r="A41" s="3">
        <f t="shared" si="8"/>
        <v>36</v>
      </c>
      <c r="B41" s="3">
        <v>1692</v>
      </c>
      <c r="C41" s="3" t="s">
        <v>22</v>
      </c>
      <c r="D41" s="4">
        <v>2450000</v>
      </c>
      <c r="E41" s="4">
        <v>2450000</v>
      </c>
      <c r="F41" s="4">
        <f t="shared" si="0"/>
        <v>0</v>
      </c>
      <c r="G41" s="4">
        <v>1439186</v>
      </c>
      <c r="H41" s="4">
        <v>578670.81000000006</v>
      </c>
      <c r="I41" s="4">
        <v>128716.16</v>
      </c>
      <c r="J41" s="4">
        <v>186.56</v>
      </c>
      <c r="K41" s="4">
        <v>128902.72</v>
      </c>
      <c r="L41" s="4">
        <f t="shared" si="1"/>
        <v>707573.53</v>
      </c>
      <c r="M41" s="4">
        <f t="shared" si="9"/>
        <v>1038935.47</v>
      </c>
      <c r="N41" s="4"/>
      <c r="O41" s="4">
        <f t="shared" si="2"/>
        <v>703491</v>
      </c>
      <c r="P41" s="4">
        <f t="shared" si="3"/>
        <v>731612.47</v>
      </c>
      <c r="Q41" s="4">
        <v>307323</v>
      </c>
      <c r="R41" s="4"/>
      <c r="S41" s="4">
        <f t="shared" si="4"/>
        <v>307323</v>
      </c>
      <c r="T41" s="4">
        <f t="shared" si="5"/>
        <v>0</v>
      </c>
      <c r="U41" s="4">
        <f t="shared" si="6"/>
        <v>0</v>
      </c>
      <c r="V41" s="4">
        <f t="shared" si="7"/>
        <v>0</v>
      </c>
      <c r="W41" s="4"/>
      <c r="X41" s="4"/>
      <c r="Y41" s="4"/>
      <c r="Z41" s="4"/>
      <c r="AA41" s="3" t="s">
        <v>679</v>
      </c>
      <c r="AB41" s="3">
        <v>732000</v>
      </c>
      <c r="AC41" s="619"/>
      <c r="AD41" s="52"/>
      <c r="AE41" s="5"/>
      <c r="AF41" s="5"/>
    </row>
    <row r="42" spans="1:32" s="5" customFormat="1" ht="30" customHeight="1">
      <c r="A42" s="3">
        <f t="shared" si="8"/>
        <v>37</v>
      </c>
      <c r="B42" s="3">
        <v>1693</v>
      </c>
      <c r="C42" s="3" t="s">
        <v>153</v>
      </c>
      <c r="D42" s="4">
        <v>4500000</v>
      </c>
      <c r="E42" s="4">
        <v>4500000</v>
      </c>
      <c r="F42" s="4">
        <f t="shared" si="0"/>
        <v>0</v>
      </c>
      <c r="G42" s="4">
        <v>2235481</v>
      </c>
      <c r="H42" s="4">
        <v>312538.53000000003</v>
      </c>
      <c r="I42" s="4">
        <v>48062.98</v>
      </c>
      <c r="J42" s="4"/>
      <c r="K42" s="4">
        <v>48062.98</v>
      </c>
      <c r="L42" s="4">
        <f t="shared" si="1"/>
        <v>360601.51</v>
      </c>
      <c r="M42" s="4">
        <f t="shared" si="9"/>
        <v>1874879.49</v>
      </c>
      <c r="N42" s="4"/>
      <c r="O42" s="4">
        <f t="shared" si="2"/>
        <v>2264519</v>
      </c>
      <c r="P42" s="4">
        <f t="shared" si="3"/>
        <v>1874879.49</v>
      </c>
      <c r="Q42" s="4"/>
      <c r="R42" s="4"/>
      <c r="S42" s="4">
        <f t="shared" si="4"/>
        <v>0</v>
      </c>
      <c r="T42" s="4">
        <f t="shared" si="5"/>
        <v>0</v>
      </c>
      <c r="U42" s="4">
        <f t="shared" si="6"/>
        <v>0</v>
      </c>
      <c r="V42" s="4">
        <f t="shared" si="7"/>
        <v>0</v>
      </c>
      <c r="W42" s="4"/>
      <c r="X42" s="4"/>
      <c r="Y42" s="4"/>
      <c r="Z42" s="4"/>
      <c r="AA42" s="3" t="s">
        <v>1448</v>
      </c>
      <c r="AB42" s="3">
        <v>732000</v>
      </c>
      <c r="AC42" s="619"/>
      <c r="AD42" s="52"/>
    </row>
    <row r="43" spans="1:32" s="5" customFormat="1" ht="30" customHeight="1">
      <c r="A43" s="3">
        <f t="shared" si="8"/>
        <v>38</v>
      </c>
      <c r="B43" s="3">
        <v>1701</v>
      </c>
      <c r="C43" s="3" t="s">
        <v>424</v>
      </c>
      <c r="D43" s="4">
        <v>1250000</v>
      </c>
      <c r="E43" s="4">
        <v>1250000</v>
      </c>
      <c r="F43" s="4">
        <f t="shared" si="0"/>
        <v>0</v>
      </c>
      <c r="G43" s="4">
        <v>850000</v>
      </c>
      <c r="H43" s="4">
        <v>137148</v>
      </c>
      <c r="I43" s="4">
        <v>75117.320000000007</v>
      </c>
      <c r="J43" s="4">
        <v>150530.28</v>
      </c>
      <c r="K43" s="4">
        <v>225647.6</v>
      </c>
      <c r="L43" s="4">
        <f t="shared" si="1"/>
        <v>362795.6</v>
      </c>
      <c r="M43" s="4">
        <f t="shared" si="9"/>
        <v>487204.4</v>
      </c>
      <c r="N43" s="4">
        <f>200000+200000-200000+200000</f>
        <v>400000</v>
      </c>
      <c r="O43" s="4">
        <f t="shared" si="2"/>
        <v>0</v>
      </c>
      <c r="P43" s="4">
        <f t="shared" si="3"/>
        <v>487204.4</v>
      </c>
      <c r="Q43" s="4"/>
      <c r="R43" s="4"/>
      <c r="S43" s="4">
        <f t="shared" si="4"/>
        <v>0</v>
      </c>
      <c r="T43" s="4">
        <f t="shared" si="5"/>
        <v>0</v>
      </c>
      <c r="U43" s="4">
        <f t="shared" si="6"/>
        <v>400000</v>
      </c>
      <c r="V43" s="4">
        <f t="shared" si="7"/>
        <v>400000</v>
      </c>
      <c r="W43" s="4"/>
      <c r="X43" s="4"/>
      <c r="Y43" s="4"/>
      <c r="Z43" s="3"/>
      <c r="AA43" s="3" t="s">
        <v>729</v>
      </c>
      <c r="AB43" s="3">
        <v>732000</v>
      </c>
      <c r="AC43" s="619"/>
      <c r="AD43" s="52"/>
    </row>
    <row r="44" spans="1:32" s="5" customFormat="1" ht="30" customHeight="1">
      <c r="A44" s="3">
        <f t="shared" si="8"/>
        <v>39</v>
      </c>
      <c r="B44" s="3">
        <v>1722</v>
      </c>
      <c r="C44" s="3" t="s">
        <v>47</v>
      </c>
      <c r="D44" s="4">
        <v>2400000</v>
      </c>
      <c r="E44" s="4">
        <v>2400000</v>
      </c>
      <c r="F44" s="4">
        <f t="shared" si="0"/>
        <v>0</v>
      </c>
      <c r="G44" s="4">
        <v>300000</v>
      </c>
      <c r="H44" s="4">
        <v>98067.4</v>
      </c>
      <c r="I44" s="4">
        <v>67052.7</v>
      </c>
      <c r="J44" s="4">
        <v>45473.93</v>
      </c>
      <c r="K44" s="4">
        <v>112526.63</v>
      </c>
      <c r="L44" s="4">
        <f t="shared" si="1"/>
        <v>210594.03</v>
      </c>
      <c r="M44" s="4">
        <f t="shared" si="9"/>
        <v>89405.97</v>
      </c>
      <c r="N44" s="4"/>
      <c r="O44" s="4">
        <f t="shared" si="2"/>
        <v>2100000</v>
      </c>
      <c r="P44" s="4">
        <f t="shared" si="3"/>
        <v>89405.97</v>
      </c>
      <c r="Q44" s="4"/>
      <c r="R44" s="4"/>
      <c r="S44" s="4">
        <f t="shared" si="4"/>
        <v>0</v>
      </c>
      <c r="T44" s="4">
        <f t="shared" si="5"/>
        <v>0</v>
      </c>
      <c r="U44" s="4">
        <f t="shared" si="6"/>
        <v>0</v>
      </c>
      <c r="V44" s="4">
        <f t="shared" si="7"/>
        <v>0</v>
      </c>
      <c r="W44" s="4"/>
      <c r="X44" s="4"/>
      <c r="Y44" s="4"/>
      <c r="Z44" s="3"/>
      <c r="AA44" s="3" t="s">
        <v>425</v>
      </c>
      <c r="AB44" s="3">
        <v>742000</v>
      </c>
      <c r="AC44" s="619"/>
      <c r="AD44" s="52"/>
    </row>
    <row r="45" spans="1:32" s="5" customFormat="1" ht="30" customHeight="1">
      <c r="A45" s="3">
        <f t="shared" si="8"/>
        <v>40</v>
      </c>
      <c r="B45" s="3">
        <v>1744</v>
      </c>
      <c r="C45" s="3" t="s">
        <v>48</v>
      </c>
      <c r="D45" s="4">
        <v>13000000</v>
      </c>
      <c r="E45" s="4">
        <v>13000000</v>
      </c>
      <c r="F45" s="4">
        <f t="shared" si="0"/>
        <v>0</v>
      </c>
      <c r="G45" s="4">
        <v>8200000</v>
      </c>
      <c r="H45" s="4">
        <v>4928998.92</v>
      </c>
      <c r="I45" s="4"/>
      <c r="J45" s="4">
        <v>2338045.5699999998</v>
      </c>
      <c r="K45" s="4">
        <v>2338045.5699999998</v>
      </c>
      <c r="L45" s="4">
        <f t="shared" si="1"/>
        <v>7267044.4900000002</v>
      </c>
      <c r="M45" s="4">
        <f t="shared" si="9"/>
        <v>932955.50999999978</v>
      </c>
      <c r="N45" s="4">
        <v>4800000</v>
      </c>
      <c r="O45" s="4">
        <f t="shared" si="2"/>
        <v>0</v>
      </c>
      <c r="P45" s="4">
        <f t="shared" si="3"/>
        <v>932955.50999999978</v>
      </c>
      <c r="Q45" s="4"/>
      <c r="R45" s="4"/>
      <c r="S45" s="4">
        <f t="shared" si="4"/>
        <v>0</v>
      </c>
      <c r="T45" s="4">
        <f t="shared" si="5"/>
        <v>0</v>
      </c>
      <c r="U45" s="4">
        <f t="shared" si="6"/>
        <v>4800000</v>
      </c>
      <c r="V45" s="4">
        <f t="shared" si="7"/>
        <v>4800000</v>
      </c>
      <c r="W45" s="4"/>
      <c r="X45" s="4"/>
      <c r="Y45" s="4"/>
      <c r="Z45" s="3"/>
      <c r="AA45" s="3" t="s">
        <v>1388</v>
      </c>
      <c r="AB45" s="3">
        <v>742000</v>
      </c>
      <c r="AC45" s="619"/>
      <c r="AD45" s="52"/>
    </row>
    <row r="46" spans="1:32" s="5" customFormat="1" ht="30" customHeight="1">
      <c r="A46" s="3">
        <f t="shared" si="8"/>
        <v>41</v>
      </c>
      <c r="B46" s="3">
        <v>1746</v>
      </c>
      <c r="C46" s="3" t="s">
        <v>32</v>
      </c>
      <c r="D46" s="4">
        <v>55000000</v>
      </c>
      <c r="E46" s="4">
        <v>55000000</v>
      </c>
      <c r="F46" s="4">
        <f t="shared" si="0"/>
        <v>0</v>
      </c>
      <c r="G46" s="4">
        <v>0</v>
      </c>
      <c r="H46" s="4">
        <v>0</v>
      </c>
      <c r="I46" s="4"/>
      <c r="J46" s="4"/>
      <c r="K46" s="4">
        <v>0</v>
      </c>
      <c r="L46" s="4">
        <f t="shared" si="1"/>
        <v>0</v>
      </c>
      <c r="M46" s="4">
        <f t="shared" si="9"/>
        <v>0</v>
      </c>
      <c r="N46" s="4">
        <f>3000000-3000000</f>
        <v>0</v>
      </c>
      <c r="O46" s="4">
        <f t="shared" si="2"/>
        <v>55000000</v>
      </c>
      <c r="P46" s="4">
        <f t="shared" si="3"/>
        <v>0</v>
      </c>
      <c r="Q46" s="4"/>
      <c r="R46" s="4"/>
      <c r="S46" s="4">
        <f t="shared" si="4"/>
        <v>0</v>
      </c>
      <c r="T46" s="4">
        <f t="shared" si="5"/>
        <v>0</v>
      </c>
      <c r="U46" s="4">
        <f t="shared" si="6"/>
        <v>0</v>
      </c>
      <c r="V46" s="4">
        <f t="shared" si="7"/>
        <v>0</v>
      </c>
      <c r="W46" s="4"/>
      <c r="X46" s="4"/>
      <c r="Y46" s="4"/>
      <c r="Z46" s="3"/>
      <c r="AA46" s="3" t="s">
        <v>1108</v>
      </c>
      <c r="AB46" s="3">
        <v>742000</v>
      </c>
      <c r="AC46" s="621"/>
      <c r="AD46" s="52"/>
    </row>
    <row r="47" spans="1:32" s="5" customFormat="1" ht="30" customHeight="1">
      <c r="A47" s="3">
        <f t="shared" si="8"/>
        <v>42</v>
      </c>
      <c r="B47" s="3">
        <v>1748</v>
      </c>
      <c r="C47" s="3" t="s">
        <v>426</v>
      </c>
      <c r="D47" s="4">
        <v>120000</v>
      </c>
      <c r="E47" s="4">
        <v>120000</v>
      </c>
      <c r="F47" s="4">
        <f t="shared" si="0"/>
        <v>0</v>
      </c>
      <c r="G47" s="4">
        <v>120000</v>
      </c>
      <c r="H47" s="4">
        <v>89830.86</v>
      </c>
      <c r="I47" s="4">
        <v>29280.55</v>
      </c>
      <c r="J47" s="4"/>
      <c r="K47" s="4">
        <v>29280.55</v>
      </c>
      <c r="L47" s="4">
        <f t="shared" si="1"/>
        <v>119111.41</v>
      </c>
      <c r="M47" s="4">
        <f t="shared" si="9"/>
        <v>888.58999999999651</v>
      </c>
      <c r="N47" s="4"/>
      <c r="O47" s="4">
        <f t="shared" si="2"/>
        <v>0</v>
      </c>
      <c r="P47" s="4">
        <f t="shared" si="3"/>
        <v>888.58999999999651</v>
      </c>
      <c r="Q47" s="4"/>
      <c r="R47" s="4"/>
      <c r="S47" s="4">
        <f t="shared" si="4"/>
        <v>0</v>
      </c>
      <c r="T47" s="4">
        <f t="shared" si="5"/>
        <v>0</v>
      </c>
      <c r="U47" s="4">
        <f t="shared" si="6"/>
        <v>0</v>
      </c>
      <c r="V47" s="4">
        <f t="shared" si="7"/>
        <v>0</v>
      </c>
      <c r="W47" s="4"/>
      <c r="X47" s="4"/>
      <c r="Y47" s="4"/>
      <c r="Z47" s="3"/>
      <c r="AA47" s="3"/>
      <c r="AB47" s="3">
        <v>732000</v>
      </c>
      <c r="AC47" s="621"/>
      <c r="AD47" s="52"/>
    </row>
    <row r="48" spans="1:32" s="5" customFormat="1" ht="30" customHeight="1">
      <c r="A48" s="3">
        <f t="shared" si="8"/>
        <v>43</v>
      </c>
      <c r="B48" s="3">
        <v>1755</v>
      </c>
      <c r="C48" s="3" t="s">
        <v>25</v>
      </c>
      <c r="D48" s="4">
        <v>200000</v>
      </c>
      <c r="E48" s="4">
        <v>200000</v>
      </c>
      <c r="F48" s="4">
        <f t="shared" si="0"/>
        <v>0</v>
      </c>
      <c r="G48" s="4">
        <v>100000</v>
      </c>
      <c r="H48" s="4">
        <v>69371.839999999997</v>
      </c>
      <c r="I48" s="4"/>
      <c r="J48" s="4">
        <v>10700.37</v>
      </c>
      <c r="K48" s="4">
        <v>10700.37</v>
      </c>
      <c r="L48" s="4">
        <f t="shared" si="1"/>
        <v>80072.209999999992</v>
      </c>
      <c r="M48" s="4">
        <f t="shared" si="9"/>
        <v>19927.790000000008</v>
      </c>
      <c r="N48" s="4"/>
      <c r="O48" s="4">
        <f t="shared" si="2"/>
        <v>100000</v>
      </c>
      <c r="P48" s="4">
        <f t="shared" si="3"/>
        <v>19927.790000000008</v>
      </c>
      <c r="Q48" s="4"/>
      <c r="R48" s="4"/>
      <c r="S48" s="4">
        <f t="shared" si="4"/>
        <v>0</v>
      </c>
      <c r="T48" s="4">
        <f t="shared" si="5"/>
        <v>0</v>
      </c>
      <c r="U48" s="4">
        <f t="shared" si="6"/>
        <v>0</v>
      </c>
      <c r="V48" s="4">
        <f t="shared" si="7"/>
        <v>0</v>
      </c>
      <c r="W48" s="4"/>
      <c r="X48" s="4"/>
      <c r="Y48" s="4"/>
      <c r="Z48" s="3"/>
      <c r="AA48" s="3" t="s">
        <v>680</v>
      </c>
      <c r="AB48" s="3">
        <v>732000</v>
      </c>
      <c r="AC48" s="621"/>
      <c r="AD48" s="52"/>
    </row>
    <row r="49" spans="1:32" s="6" customFormat="1" ht="41.4">
      <c r="A49" s="3">
        <f t="shared" si="8"/>
        <v>44</v>
      </c>
      <c r="B49" s="3">
        <v>1756</v>
      </c>
      <c r="C49" s="3" t="s">
        <v>1109</v>
      </c>
      <c r="D49" s="4">
        <v>1400000</v>
      </c>
      <c r="E49" s="4">
        <v>800000</v>
      </c>
      <c r="F49" s="4">
        <f t="shared" si="0"/>
        <v>600000</v>
      </c>
      <c r="G49" s="4">
        <v>400000</v>
      </c>
      <c r="H49" s="4">
        <v>239672</v>
      </c>
      <c r="I49" s="4"/>
      <c r="J49" s="4">
        <v>44604</v>
      </c>
      <c r="K49" s="4">
        <v>44604</v>
      </c>
      <c r="L49" s="4">
        <f t="shared" si="1"/>
        <v>284276</v>
      </c>
      <c r="M49" s="4">
        <f t="shared" si="9"/>
        <v>115724</v>
      </c>
      <c r="N49" s="4">
        <v>1000000</v>
      </c>
      <c r="O49" s="4">
        <f t="shared" si="2"/>
        <v>0</v>
      </c>
      <c r="P49" s="4">
        <f t="shared" si="3"/>
        <v>115724</v>
      </c>
      <c r="Q49" s="4"/>
      <c r="R49" s="4"/>
      <c r="S49" s="4">
        <f t="shared" si="4"/>
        <v>0</v>
      </c>
      <c r="T49" s="4">
        <f t="shared" si="5"/>
        <v>0</v>
      </c>
      <c r="U49" s="4">
        <f t="shared" si="6"/>
        <v>1000000</v>
      </c>
      <c r="V49" s="4">
        <f t="shared" si="7"/>
        <v>1000000</v>
      </c>
      <c r="W49" s="4"/>
      <c r="X49" s="4"/>
      <c r="Y49" s="4"/>
      <c r="Z49" s="4"/>
      <c r="AA49" s="3" t="s">
        <v>1110</v>
      </c>
      <c r="AB49" s="3">
        <v>732000</v>
      </c>
      <c r="AC49" s="621"/>
      <c r="AD49" s="52"/>
      <c r="AE49" s="5"/>
      <c r="AF49" s="5"/>
    </row>
    <row r="50" spans="1:32" s="6" customFormat="1" ht="30" customHeight="1">
      <c r="A50" s="3">
        <f t="shared" si="8"/>
        <v>45</v>
      </c>
      <c r="B50" s="3">
        <v>1757</v>
      </c>
      <c r="C50" s="3" t="s">
        <v>24</v>
      </c>
      <c r="D50" s="4">
        <v>300000</v>
      </c>
      <c r="E50" s="4">
        <v>300000</v>
      </c>
      <c r="F50" s="4">
        <f t="shared" si="0"/>
        <v>0</v>
      </c>
      <c r="G50" s="4">
        <v>110000</v>
      </c>
      <c r="H50" s="4">
        <v>10908.07</v>
      </c>
      <c r="I50" s="4">
        <v>908.93</v>
      </c>
      <c r="J50" s="4"/>
      <c r="K50" s="4">
        <v>908.93</v>
      </c>
      <c r="L50" s="4">
        <f t="shared" si="1"/>
        <v>11817</v>
      </c>
      <c r="M50" s="4">
        <f t="shared" si="9"/>
        <v>98183</v>
      </c>
      <c r="N50" s="4"/>
      <c r="O50" s="4">
        <f t="shared" si="2"/>
        <v>190000</v>
      </c>
      <c r="P50" s="4">
        <f t="shared" si="3"/>
        <v>98183</v>
      </c>
      <c r="Q50" s="4"/>
      <c r="R50" s="4"/>
      <c r="S50" s="4">
        <f t="shared" si="4"/>
        <v>0</v>
      </c>
      <c r="T50" s="4">
        <f t="shared" si="5"/>
        <v>0</v>
      </c>
      <c r="U50" s="4">
        <f t="shared" si="6"/>
        <v>0</v>
      </c>
      <c r="V50" s="4">
        <f t="shared" si="7"/>
        <v>0</v>
      </c>
      <c r="W50" s="4"/>
      <c r="X50" s="4"/>
      <c r="Y50" s="4"/>
      <c r="Z50" s="4"/>
      <c r="AA50" s="3"/>
      <c r="AB50" s="3">
        <v>732000</v>
      </c>
      <c r="AC50" s="621"/>
      <c r="AD50" s="52"/>
      <c r="AE50" s="5"/>
      <c r="AF50" s="5"/>
    </row>
    <row r="51" spans="1:32" s="6" customFormat="1" ht="30" customHeight="1">
      <c r="A51" s="3">
        <f t="shared" si="8"/>
        <v>46</v>
      </c>
      <c r="B51" s="3">
        <v>1758</v>
      </c>
      <c r="C51" s="3" t="s">
        <v>125</v>
      </c>
      <c r="D51" s="4">
        <v>300000</v>
      </c>
      <c r="E51" s="4">
        <v>300000</v>
      </c>
      <c r="F51" s="4">
        <f t="shared" si="0"/>
        <v>0</v>
      </c>
      <c r="G51" s="4">
        <v>16000</v>
      </c>
      <c r="H51" s="4">
        <v>10908.07</v>
      </c>
      <c r="I51" s="4">
        <v>4828.43</v>
      </c>
      <c r="J51" s="4"/>
      <c r="K51" s="4">
        <v>4828.43</v>
      </c>
      <c r="L51" s="4">
        <f t="shared" si="1"/>
        <v>15736.5</v>
      </c>
      <c r="M51" s="4">
        <f t="shared" si="9"/>
        <v>263.5</v>
      </c>
      <c r="N51" s="4"/>
      <c r="O51" s="4">
        <f t="shared" si="2"/>
        <v>284000</v>
      </c>
      <c r="P51" s="4">
        <f t="shared" si="3"/>
        <v>263.5</v>
      </c>
      <c r="Q51" s="4"/>
      <c r="R51" s="4"/>
      <c r="S51" s="4">
        <f t="shared" si="4"/>
        <v>0</v>
      </c>
      <c r="T51" s="4">
        <f t="shared" si="5"/>
        <v>0</v>
      </c>
      <c r="U51" s="4">
        <f t="shared" si="6"/>
        <v>0</v>
      </c>
      <c r="V51" s="4">
        <f t="shared" si="7"/>
        <v>0</v>
      </c>
      <c r="W51" s="4"/>
      <c r="X51" s="4"/>
      <c r="Y51" s="4"/>
      <c r="Z51" s="4"/>
      <c r="AA51" s="3"/>
      <c r="AB51" s="3">
        <v>732000</v>
      </c>
      <c r="AC51" s="621"/>
      <c r="AD51" s="52"/>
      <c r="AE51" s="5"/>
      <c r="AF51" s="5"/>
    </row>
    <row r="52" spans="1:32" s="5" customFormat="1" ht="30" customHeight="1">
      <c r="A52" s="3">
        <f t="shared" si="8"/>
        <v>47</v>
      </c>
      <c r="B52" s="3">
        <v>1759</v>
      </c>
      <c r="C52" s="3" t="s">
        <v>1111</v>
      </c>
      <c r="D52" s="4">
        <v>940000</v>
      </c>
      <c r="E52" s="4">
        <v>940000</v>
      </c>
      <c r="F52" s="4">
        <f t="shared" si="0"/>
        <v>0</v>
      </c>
      <c r="G52" s="4">
        <v>940000</v>
      </c>
      <c r="H52" s="4">
        <v>478660</v>
      </c>
      <c r="I52" s="4">
        <v>600</v>
      </c>
      <c r="J52" s="4">
        <v>17151.75</v>
      </c>
      <c r="K52" s="4">
        <v>17751.75</v>
      </c>
      <c r="L52" s="4">
        <f t="shared" si="1"/>
        <v>496411.75</v>
      </c>
      <c r="M52" s="4">
        <f>P52+S52-400000</f>
        <v>43588.25</v>
      </c>
      <c r="N52" s="4"/>
      <c r="O52" s="4">
        <f t="shared" si="2"/>
        <v>400000</v>
      </c>
      <c r="P52" s="4">
        <f t="shared" si="3"/>
        <v>443588.25</v>
      </c>
      <c r="Q52" s="4"/>
      <c r="R52" s="4"/>
      <c r="S52" s="4">
        <f t="shared" si="4"/>
        <v>0</v>
      </c>
      <c r="T52" s="4">
        <f t="shared" si="5"/>
        <v>400000</v>
      </c>
      <c r="U52" s="4">
        <f t="shared" si="6"/>
        <v>-400000</v>
      </c>
      <c r="V52" s="4">
        <f t="shared" si="7"/>
        <v>-400000</v>
      </c>
      <c r="W52" s="4"/>
      <c r="X52" s="4"/>
      <c r="Y52" s="4"/>
      <c r="Z52" s="3"/>
      <c r="AA52" s="3" t="s">
        <v>1112</v>
      </c>
      <c r="AB52" s="3">
        <v>732000</v>
      </c>
      <c r="AC52" s="618"/>
      <c r="AD52" s="52"/>
    </row>
    <row r="53" spans="1:32" s="5" customFormat="1" ht="30" customHeight="1">
      <c r="A53" s="3">
        <f t="shared" si="8"/>
        <v>48</v>
      </c>
      <c r="B53" s="3">
        <v>1760</v>
      </c>
      <c r="C53" s="3" t="s">
        <v>1113</v>
      </c>
      <c r="D53" s="4">
        <v>900000</v>
      </c>
      <c r="E53" s="4">
        <v>900000</v>
      </c>
      <c r="F53" s="4">
        <f t="shared" si="0"/>
        <v>0</v>
      </c>
      <c r="G53" s="4">
        <v>300000</v>
      </c>
      <c r="H53" s="4">
        <v>38898</v>
      </c>
      <c r="I53" s="4"/>
      <c r="J53" s="4">
        <v>1228</v>
      </c>
      <c r="K53" s="4">
        <v>1228</v>
      </c>
      <c r="L53" s="4">
        <f t="shared" si="1"/>
        <v>40126</v>
      </c>
      <c r="M53" s="4">
        <f>P53+S53-150000</f>
        <v>109874</v>
      </c>
      <c r="N53" s="4">
        <v>150000</v>
      </c>
      <c r="O53" s="4">
        <f t="shared" si="2"/>
        <v>600000</v>
      </c>
      <c r="P53" s="4">
        <f t="shared" si="3"/>
        <v>259874</v>
      </c>
      <c r="Q53" s="4">
        <f>100000-100000</f>
        <v>0</v>
      </c>
      <c r="R53" s="4"/>
      <c r="S53" s="4">
        <f t="shared" si="4"/>
        <v>0</v>
      </c>
      <c r="T53" s="4">
        <f t="shared" si="5"/>
        <v>150000</v>
      </c>
      <c r="U53" s="4">
        <f t="shared" si="6"/>
        <v>0</v>
      </c>
      <c r="V53" s="4">
        <f t="shared" si="7"/>
        <v>0</v>
      </c>
      <c r="W53" s="4"/>
      <c r="X53" s="4"/>
      <c r="Y53" s="4"/>
      <c r="Z53" s="3"/>
      <c r="AA53" s="3" t="s">
        <v>879</v>
      </c>
      <c r="AB53" s="3">
        <v>732000</v>
      </c>
      <c r="AC53" s="619"/>
      <c r="AD53" s="52"/>
    </row>
    <row r="54" spans="1:32" s="5" customFormat="1" ht="30" customHeight="1">
      <c r="A54" s="3">
        <f t="shared" si="8"/>
        <v>49</v>
      </c>
      <c r="B54" s="3">
        <v>1799</v>
      </c>
      <c r="C54" s="3" t="s">
        <v>138</v>
      </c>
      <c r="D54" s="4">
        <v>1000000</v>
      </c>
      <c r="E54" s="4">
        <v>1000000</v>
      </c>
      <c r="F54" s="4">
        <f t="shared" si="0"/>
        <v>0</v>
      </c>
      <c r="G54" s="4">
        <v>350000</v>
      </c>
      <c r="H54" s="4">
        <v>28515</v>
      </c>
      <c r="I54" s="4"/>
      <c r="J54" s="4">
        <v>6407.86</v>
      </c>
      <c r="K54" s="4">
        <v>6407.86</v>
      </c>
      <c r="L54" s="4">
        <f t="shared" si="1"/>
        <v>34922.86</v>
      </c>
      <c r="M54" s="4">
        <f>P54+S54-200000</f>
        <v>115077.14000000001</v>
      </c>
      <c r="N54" s="4">
        <f>200000-200000</f>
        <v>0</v>
      </c>
      <c r="O54" s="4">
        <f t="shared" si="2"/>
        <v>850000</v>
      </c>
      <c r="P54" s="4">
        <f t="shared" si="3"/>
        <v>315077.14</v>
      </c>
      <c r="Q54" s="4"/>
      <c r="R54" s="4"/>
      <c r="S54" s="4">
        <f t="shared" si="4"/>
        <v>0</v>
      </c>
      <c r="T54" s="4">
        <f t="shared" si="5"/>
        <v>200000</v>
      </c>
      <c r="U54" s="4">
        <f t="shared" si="6"/>
        <v>-200000</v>
      </c>
      <c r="V54" s="4">
        <f t="shared" si="7"/>
        <v>-200000</v>
      </c>
      <c r="W54" s="4"/>
      <c r="X54" s="4"/>
      <c r="Y54" s="4"/>
      <c r="Z54" s="3"/>
      <c r="AA54" s="3" t="s">
        <v>731</v>
      </c>
      <c r="AB54" s="3">
        <v>732000</v>
      </c>
      <c r="AC54" s="619"/>
      <c r="AD54" s="52"/>
    </row>
    <row r="55" spans="1:32" s="5" customFormat="1" ht="30" customHeight="1">
      <c r="A55" s="3">
        <f t="shared" si="8"/>
        <v>50</v>
      </c>
      <c r="B55" s="3">
        <v>1805</v>
      </c>
      <c r="C55" s="3" t="s">
        <v>140</v>
      </c>
      <c r="D55" s="4">
        <v>1000000</v>
      </c>
      <c r="E55" s="4">
        <v>1000000</v>
      </c>
      <c r="F55" s="4">
        <f t="shared" si="0"/>
        <v>0</v>
      </c>
      <c r="G55" s="4">
        <v>60000</v>
      </c>
      <c r="H55" s="4">
        <v>2677</v>
      </c>
      <c r="I55" s="4"/>
      <c r="J55" s="4"/>
      <c r="K55" s="4">
        <v>0</v>
      </c>
      <c r="L55" s="4">
        <f t="shared" si="1"/>
        <v>2677</v>
      </c>
      <c r="M55" s="4">
        <f t="shared" si="9"/>
        <v>57323</v>
      </c>
      <c r="N55" s="4">
        <v>940000</v>
      </c>
      <c r="O55" s="4">
        <f t="shared" si="2"/>
        <v>0</v>
      </c>
      <c r="P55" s="4">
        <f t="shared" si="3"/>
        <v>57323</v>
      </c>
      <c r="Q55" s="4"/>
      <c r="R55" s="4"/>
      <c r="S55" s="4">
        <f t="shared" si="4"/>
        <v>0</v>
      </c>
      <c r="T55" s="4">
        <f t="shared" si="5"/>
        <v>0</v>
      </c>
      <c r="U55" s="4">
        <f t="shared" si="6"/>
        <v>940000</v>
      </c>
      <c r="V55" s="4">
        <f t="shared" si="7"/>
        <v>940000</v>
      </c>
      <c r="W55" s="4"/>
      <c r="X55" s="4"/>
      <c r="Y55" s="4"/>
      <c r="Z55" s="3"/>
      <c r="AA55" s="3" t="s">
        <v>1114</v>
      </c>
      <c r="AB55" s="3">
        <v>742000</v>
      </c>
      <c r="AC55" s="619"/>
      <c r="AD55" s="52"/>
    </row>
    <row r="56" spans="1:32" s="5" customFormat="1" ht="30" customHeight="1">
      <c r="A56" s="3">
        <f t="shared" si="8"/>
        <v>51</v>
      </c>
      <c r="B56" s="3">
        <v>1811</v>
      </c>
      <c r="C56" s="3" t="s">
        <v>141</v>
      </c>
      <c r="D56" s="4">
        <v>250000</v>
      </c>
      <c r="E56" s="4">
        <v>250000</v>
      </c>
      <c r="F56" s="4">
        <f t="shared" si="0"/>
        <v>0</v>
      </c>
      <c r="G56" s="4">
        <v>250000</v>
      </c>
      <c r="H56" s="4">
        <v>0</v>
      </c>
      <c r="I56" s="4"/>
      <c r="J56" s="4"/>
      <c r="K56" s="4">
        <v>0</v>
      </c>
      <c r="L56" s="4">
        <f t="shared" si="1"/>
        <v>0</v>
      </c>
      <c r="M56" s="4">
        <f t="shared" si="9"/>
        <v>250000</v>
      </c>
      <c r="N56" s="4"/>
      <c r="O56" s="4">
        <f t="shared" si="2"/>
        <v>0</v>
      </c>
      <c r="P56" s="4">
        <f t="shared" si="3"/>
        <v>250000</v>
      </c>
      <c r="Q56" s="4"/>
      <c r="R56" s="4"/>
      <c r="S56" s="4">
        <f t="shared" si="4"/>
        <v>0</v>
      </c>
      <c r="T56" s="4">
        <f t="shared" si="5"/>
        <v>0</v>
      </c>
      <c r="U56" s="4">
        <f t="shared" si="6"/>
        <v>0</v>
      </c>
      <c r="V56" s="4">
        <f t="shared" si="7"/>
        <v>0</v>
      </c>
      <c r="W56" s="4"/>
      <c r="X56" s="4"/>
      <c r="Y56" s="4"/>
      <c r="Z56" s="3"/>
      <c r="AA56" s="3" t="s">
        <v>732</v>
      </c>
      <c r="AB56" s="3">
        <v>732000</v>
      </c>
      <c r="AC56" s="619"/>
      <c r="AD56" s="52"/>
    </row>
    <row r="57" spans="1:32" s="5" customFormat="1" ht="30" customHeight="1">
      <c r="A57" s="3">
        <f t="shared" si="8"/>
        <v>52</v>
      </c>
      <c r="B57" s="3">
        <v>1826</v>
      </c>
      <c r="C57" s="3" t="s">
        <v>145</v>
      </c>
      <c r="D57" s="4">
        <v>1500000</v>
      </c>
      <c r="E57" s="4">
        <v>1500000</v>
      </c>
      <c r="F57" s="4">
        <f t="shared" si="0"/>
        <v>0</v>
      </c>
      <c r="G57" s="4">
        <v>400000</v>
      </c>
      <c r="H57" s="4">
        <v>14227</v>
      </c>
      <c r="I57" s="4"/>
      <c r="J57" s="4"/>
      <c r="K57" s="4">
        <v>0</v>
      </c>
      <c r="L57" s="4">
        <f t="shared" si="1"/>
        <v>14227</v>
      </c>
      <c r="M57" s="4">
        <f t="shared" si="9"/>
        <v>385773</v>
      </c>
      <c r="N57" s="4"/>
      <c r="O57" s="4">
        <f t="shared" si="2"/>
        <v>1100000</v>
      </c>
      <c r="P57" s="4">
        <f t="shared" si="3"/>
        <v>385773</v>
      </c>
      <c r="Q57" s="4"/>
      <c r="R57" s="4"/>
      <c r="S57" s="4">
        <f t="shared" si="4"/>
        <v>0</v>
      </c>
      <c r="T57" s="4">
        <f t="shared" si="5"/>
        <v>0</v>
      </c>
      <c r="U57" s="4">
        <f t="shared" si="6"/>
        <v>0</v>
      </c>
      <c r="V57" s="4">
        <f t="shared" si="7"/>
        <v>0</v>
      </c>
      <c r="W57" s="4"/>
      <c r="X57" s="4"/>
      <c r="Y57" s="4"/>
      <c r="Z57" s="3"/>
      <c r="AA57" s="3" t="s">
        <v>1449</v>
      </c>
      <c r="AB57" s="3">
        <v>742000</v>
      </c>
      <c r="AC57" s="620"/>
      <c r="AD57" s="52"/>
      <c r="AE57" s="6"/>
      <c r="AF57" s="6"/>
    </row>
    <row r="58" spans="1:32" s="5" customFormat="1" ht="30" customHeight="1">
      <c r="A58" s="3">
        <f t="shared" si="8"/>
        <v>53</v>
      </c>
      <c r="B58" s="3">
        <v>1843</v>
      </c>
      <c r="C58" s="3" t="s">
        <v>148</v>
      </c>
      <c r="D58" s="4">
        <v>380000</v>
      </c>
      <c r="E58" s="4">
        <v>380000</v>
      </c>
      <c r="F58" s="4">
        <f t="shared" si="0"/>
        <v>0</v>
      </c>
      <c r="G58" s="4">
        <v>70000</v>
      </c>
      <c r="H58" s="4">
        <v>0</v>
      </c>
      <c r="I58" s="4">
        <v>1.17</v>
      </c>
      <c r="J58" s="4"/>
      <c r="K58" s="4">
        <v>1.17</v>
      </c>
      <c r="L58" s="4">
        <f t="shared" si="1"/>
        <v>1.17</v>
      </c>
      <c r="M58" s="4">
        <f t="shared" si="9"/>
        <v>69998.83</v>
      </c>
      <c r="N58" s="4"/>
      <c r="O58" s="4">
        <f t="shared" si="2"/>
        <v>310000</v>
      </c>
      <c r="P58" s="4">
        <f t="shared" si="3"/>
        <v>69998.83</v>
      </c>
      <c r="Q58" s="4"/>
      <c r="R58" s="4"/>
      <c r="S58" s="4">
        <f t="shared" si="4"/>
        <v>0</v>
      </c>
      <c r="T58" s="4">
        <f t="shared" si="5"/>
        <v>0</v>
      </c>
      <c r="U58" s="4">
        <f t="shared" si="6"/>
        <v>0</v>
      </c>
      <c r="V58" s="4">
        <f t="shared" si="7"/>
        <v>0</v>
      </c>
      <c r="W58" s="4"/>
      <c r="X58" s="4"/>
      <c r="Y58" s="4"/>
      <c r="Z58" s="3"/>
      <c r="AA58" s="3" t="s">
        <v>428</v>
      </c>
      <c r="AB58" s="3">
        <v>732000</v>
      </c>
      <c r="AC58" s="619"/>
      <c r="AD58" s="52"/>
    </row>
    <row r="59" spans="1:32" s="5" customFormat="1" ht="30" customHeight="1">
      <c r="A59" s="3">
        <f t="shared" si="8"/>
        <v>54</v>
      </c>
      <c r="B59" s="3">
        <v>1844</v>
      </c>
      <c r="C59" s="3" t="s">
        <v>725</v>
      </c>
      <c r="D59" s="4">
        <v>2078338</v>
      </c>
      <c r="E59" s="4">
        <v>2078338</v>
      </c>
      <c r="F59" s="4">
        <f t="shared" si="0"/>
        <v>0</v>
      </c>
      <c r="G59" s="4">
        <v>120000</v>
      </c>
      <c r="H59" s="4">
        <v>62477.48</v>
      </c>
      <c r="I59" s="4"/>
      <c r="J59" s="4"/>
      <c r="K59" s="4">
        <v>0</v>
      </c>
      <c r="L59" s="4">
        <f t="shared" si="1"/>
        <v>62477.48</v>
      </c>
      <c r="M59" s="4">
        <f t="shared" si="9"/>
        <v>57522.52</v>
      </c>
      <c r="N59" s="4">
        <v>1958338</v>
      </c>
      <c r="O59" s="4">
        <f t="shared" si="2"/>
        <v>0</v>
      </c>
      <c r="P59" s="4">
        <f t="shared" si="3"/>
        <v>57522.52</v>
      </c>
      <c r="Q59" s="4"/>
      <c r="R59" s="4"/>
      <c r="S59" s="4">
        <f t="shared" si="4"/>
        <v>0</v>
      </c>
      <c r="T59" s="4">
        <f t="shared" si="5"/>
        <v>0</v>
      </c>
      <c r="U59" s="4">
        <f t="shared" si="6"/>
        <v>1958338</v>
      </c>
      <c r="V59" s="4">
        <f t="shared" si="7"/>
        <v>703894</v>
      </c>
      <c r="W59" s="4"/>
      <c r="X59" s="4"/>
      <c r="Y59" s="4"/>
      <c r="Z59" s="4">
        <v>1254444</v>
      </c>
      <c r="AA59" s="3" t="s">
        <v>1286</v>
      </c>
      <c r="AB59" s="3">
        <v>732000</v>
      </c>
      <c r="AC59" s="618"/>
      <c r="AD59" s="52"/>
    </row>
    <row r="60" spans="1:32" s="5" customFormat="1" ht="30" customHeight="1">
      <c r="A60" s="3">
        <f t="shared" si="8"/>
        <v>55</v>
      </c>
      <c r="B60" s="3">
        <v>1882</v>
      </c>
      <c r="C60" s="3" t="s">
        <v>149</v>
      </c>
      <c r="D60" s="4">
        <f>15000000-700000</f>
        <v>14300000</v>
      </c>
      <c r="E60" s="4">
        <v>14300000</v>
      </c>
      <c r="F60" s="4">
        <f t="shared" si="0"/>
        <v>0</v>
      </c>
      <c r="G60" s="4">
        <v>200000</v>
      </c>
      <c r="H60" s="4">
        <v>0</v>
      </c>
      <c r="I60" s="4"/>
      <c r="J60" s="4"/>
      <c r="K60" s="4">
        <v>0</v>
      </c>
      <c r="L60" s="4">
        <f t="shared" si="1"/>
        <v>0</v>
      </c>
      <c r="M60" s="4">
        <f t="shared" si="9"/>
        <v>200000</v>
      </c>
      <c r="N60" s="4">
        <f>1400000-1400000</f>
        <v>0</v>
      </c>
      <c r="O60" s="4">
        <f t="shared" si="2"/>
        <v>14100000</v>
      </c>
      <c r="P60" s="4">
        <f t="shared" si="3"/>
        <v>200000</v>
      </c>
      <c r="Q60" s="4"/>
      <c r="R60" s="4"/>
      <c r="S60" s="4">
        <f t="shared" si="4"/>
        <v>0</v>
      </c>
      <c r="T60" s="4">
        <f t="shared" si="5"/>
        <v>0</v>
      </c>
      <c r="U60" s="4">
        <f t="shared" si="6"/>
        <v>0</v>
      </c>
      <c r="V60" s="4">
        <f t="shared" si="7"/>
        <v>0</v>
      </c>
      <c r="W60" s="4"/>
      <c r="X60" s="4"/>
      <c r="Y60" s="4"/>
      <c r="Z60" s="3"/>
      <c r="AA60" s="3" t="s">
        <v>1450</v>
      </c>
      <c r="AB60" s="3">
        <v>742000</v>
      </c>
      <c r="AC60" s="619"/>
      <c r="AD60" s="52"/>
    </row>
    <row r="61" spans="1:32" s="5" customFormat="1" ht="30" customHeight="1">
      <c r="A61" s="3">
        <f t="shared" si="8"/>
        <v>56</v>
      </c>
      <c r="B61" s="3">
        <v>1937</v>
      </c>
      <c r="C61" s="3" t="s">
        <v>726</v>
      </c>
      <c r="D61" s="4">
        <f>750000+300000</f>
        <v>1050000</v>
      </c>
      <c r="E61" s="4">
        <v>750000</v>
      </c>
      <c r="F61" s="4">
        <f t="shared" si="0"/>
        <v>300000</v>
      </c>
      <c r="G61" s="4">
        <v>750000</v>
      </c>
      <c r="H61" s="4">
        <v>56082</v>
      </c>
      <c r="I61" s="4">
        <v>244936</v>
      </c>
      <c r="J61" s="4">
        <v>40357.54</v>
      </c>
      <c r="K61" s="4">
        <v>285293.53999999998</v>
      </c>
      <c r="L61" s="4">
        <f t="shared" si="1"/>
        <v>341375.54</v>
      </c>
      <c r="M61" s="4">
        <f t="shared" si="9"/>
        <v>408624.46</v>
      </c>
      <c r="N61" s="4">
        <v>300000</v>
      </c>
      <c r="O61" s="4">
        <f t="shared" si="2"/>
        <v>0</v>
      </c>
      <c r="P61" s="4">
        <f t="shared" si="3"/>
        <v>408624.46</v>
      </c>
      <c r="Q61" s="4"/>
      <c r="R61" s="4"/>
      <c r="S61" s="4">
        <f t="shared" si="4"/>
        <v>0</v>
      </c>
      <c r="T61" s="4">
        <f t="shared" si="5"/>
        <v>0</v>
      </c>
      <c r="U61" s="4">
        <f t="shared" si="6"/>
        <v>300000</v>
      </c>
      <c r="V61" s="4">
        <f t="shared" si="7"/>
        <v>300000</v>
      </c>
      <c r="W61" s="4"/>
      <c r="X61" s="4"/>
      <c r="Y61" s="4"/>
      <c r="Z61" s="3"/>
      <c r="AA61" s="3" t="s">
        <v>735</v>
      </c>
      <c r="AB61" s="3">
        <v>732000</v>
      </c>
      <c r="AC61" s="620"/>
      <c r="AD61" s="52"/>
    </row>
    <row r="62" spans="1:32" s="6" customFormat="1" ht="30" customHeight="1">
      <c r="A62" s="3">
        <f t="shared" si="8"/>
        <v>57</v>
      </c>
      <c r="B62" s="3">
        <v>1943</v>
      </c>
      <c r="C62" s="3" t="s">
        <v>212</v>
      </c>
      <c r="D62" s="4">
        <v>6750000</v>
      </c>
      <c r="E62" s="4">
        <v>6750000</v>
      </c>
      <c r="F62" s="4">
        <f t="shared" si="0"/>
        <v>0</v>
      </c>
      <c r="G62" s="4">
        <v>6750000</v>
      </c>
      <c r="H62" s="4">
        <v>4531769.8899999997</v>
      </c>
      <c r="I62" s="4">
        <v>68274.94</v>
      </c>
      <c r="J62" s="4">
        <v>1900030.88</v>
      </c>
      <c r="K62" s="4">
        <v>1968305.8199999998</v>
      </c>
      <c r="L62" s="4">
        <f t="shared" si="1"/>
        <v>6500075.709999999</v>
      </c>
      <c r="M62" s="4">
        <f t="shared" si="9"/>
        <v>249924.29000000097</v>
      </c>
      <c r="N62" s="4"/>
      <c r="O62" s="4">
        <f t="shared" si="2"/>
        <v>0</v>
      </c>
      <c r="P62" s="4">
        <f t="shared" si="3"/>
        <v>249924.29000000097</v>
      </c>
      <c r="Q62" s="4"/>
      <c r="R62" s="4"/>
      <c r="S62" s="4">
        <f t="shared" si="4"/>
        <v>0</v>
      </c>
      <c r="T62" s="4">
        <f t="shared" si="5"/>
        <v>0</v>
      </c>
      <c r="U62" s="4">
        <f t="shared" si="6"/>
        <v>0</v>
      </c>
      <c r="V62" s="4">
        <f t="shared" si="7"/>
        <v>0</v>
      </c>
      <c r="W62" s="4"/>
      <c r="X62" s="4"/>
      <c r="Y62" s="4"/>
      <c r="Z62" s="3"/>
      <c r="AA62" s="3" t="s">
        <v>1287</v>
      </c>
      <c r="AB62" s="3">
        <v>744000</v>
      </c>
      <c r="AC62" s="619"/>
      <c r="AD62" s="52"/>
      <c r="AE62" s="5"/>
      <c r="AF62" s="5"/>
    </row>
    <row r="63" spans="1:32" s="5" customFormat="1" ht="30" customHeight="1">
      <c r="A63" s="3">
        <f t="shared" si="8"/>
        <v>58</v>
      </c>
      <c r="B63" s="3">
        <v>1950</v>
      </c>
      <c r="C63" s="39" t="s">
        <v>429</v>
      </c>
      <c r="D63" s="4">
        <v>500000</v>
      </c>
      <c r="E63" s="4">
        <v>500000</v>
      </c>
      <c r="F63" s="4">
        <f t="shared" si="0"/>
        <v>0</v>
      </c>
      <c r="G63" s="4">
        <v>100000</v>
      </c>
      <c r="H63" s="4">
        <v>0</v>
      </c>
      <c r="I63" s="4"/>
      <c r="J63" s="4"/>
      <c r="K63" s="4">
        <v>0</v>
      </c>
      <c r="L63" s="4">
        <f t="shared" si="1"/>
        <v>0</v>
      </c>
      <c r="M63" s="4">
        <f t="shared" si="9"/>
        <v>100000</v>
      </c>
      <c r="N63" s="4"/>
      <c r="O63" s="4">
        <f t="shared" si="2"/>
        <v>400000</v>
      </c>
      <c r="P63" s="4">
        <f t="shared" si="3"/>
        <v>100000</v>
      </c>
      <c r="Q63" s="4"/>
      <c r="R63" s="4"/>
      <c r="S63" s="4">
        <f t="shared" si="4"/>
        <v>0</v>
      </c>
      <c r="T63" s="4">
        <f t="shared" si="5"/>
        <v>0</v>
      </c>
      <c r="U63" s="4">
        <f t="shared" si="6"/>
        <v>0</v>
      </c>
      <c r="V63" s="4">
        <f t="shared" si="7"/>
        <v>0</v>
      </c>
      <c r="W63" s="4"/>
      <c r="X63" s="4"/>
      <c r="Y63" s="4"/>
      <c r="Z63" s="3"/>
      <c r="AA63" s="3" t="s">
        <v>430</v>
      </c>
      <c r="AB63" s="3">
        <v>732000</v>
      </c>
      <c r="AC63" s="621"/>
      <c r="AD63" s="52"/>
      <c r="AE63" s="6"/>
      <c r="AF63" s="6"/>
    </row>
    <row r="64" spans="1:32" s="5" customFormat="1" ht="30" customHeight="1">
      <c r="A64" s="3">
        <f t="shared" si="8"/>
        <v>59</v>
      </c>
      <c r="B64" s="3">
        <v>1951</v>
      </c>
      <c r="C64" s="39" t="s">
        <v>189</v>
      </c>
      <c r="D64" s="4">
        <v>300000</v>
      </c>
      <c r="E64" s="4">
        <v>300000</v>
      </c>
      <c r="F64" s="4">
        <f t="shared" si="0"/>
        <v>0</v>
      </c>
      <c r="G64" s="4">
        <v>160000</v>
      </c>
      <c r="H64" s="4">
        <v>145805</v>
      </c>
      <c r="I64" s="4">
        <v>12870</v>
      </c>
      <c r="J64" s="4"/>
      <c r="K64" s="4">
        <v>12870</v>
      </c>
      <c r="L64" s="4">
        <f t="shared" si="1"/>
        <v>158675</v>
      </c>
      <c r="M64" s="4">
        <f t="shared" si="9"/>
        <v>1325</v>
      </c>
      <c r="N64" s="4"/>
      <c r="O64" s="4">
        <f t="shared" si="2"/>
        <v>140000</v>
      </c>
      <c r="P64" s="4">
        <f t="shared" si="3"/>
        <v>1325</v>
      </c>
      <c r="Q64" s="4"/>
      <c r="R64" s="4"/>
      <c r="S64" s="4">
        <f t="shared" si="4"/>
        <v>0</v>
      </c>
      <c r="T64" s="4">
        <f t="shared" si="5"/>
        <v>0</v>
      </c>
      <c r="U64" s="4">
        <f t="shared" si="6"/>
        <v>0</v>
      </c>
      <c r="V64" s="4">
        <f t="shared" si="7"/>
        <v>0</v>
      </c>
      <c r="W64" s="4"/>
      <c r="X64" s="4"/>
      <c r="Y64" s="4"/>
      <c r="Z64" s="3"/>
      <c r="AA64" s="3"/>
      <c r="AB64" s="3">
        <v>732000</v>
      </c>
      <c r="AC64" s="621"/>
      <c r="AD64" s="52"/>
      <c r="AE64" s="6"/>
      <c r="AF64" s="6"/>
    </row>
    <row r="65" spans="1:32" s="5" customFormat="1" ht="30" customHeight="1">
      <c r="A65" s="3">
        <f t="shared" si="8"/>
        <v>60</v>
      </c>
      <c r="B65" s="3">
        <v>2007</v>
      </c>
      <c r="C65" s="3" t="s">
        <v>432</v>
      </c>
      <c r="D65" s="4">
        <v>1100000</v>
      </c>
      <c r="E65" s="4">
        <v>1100000</v>
      </c>
      <c r="F65" s="4">
        <f t="shared" si="0"/>
        <v>0</v>
      </c>
      <c r="G65" s="4">
        <v>1100000</v>
      </c>
      <c r="H65" s="4">
        <v>95247.31</v>
      </c>
      <c r="I65" s="4"/>
      <c r="J65" s="4">
        <v>869179.37</v>
      </c>
      <c r="K65" s="4">
        <v>869179.37</v>
      </c>
      <c r="L65" s="4">
        <f t="shared" si="1"/>
        <v>964426.67999999993</v>
      </c>
      <c r="M65" s="4">
        <f t="shared" si="9"/>
        <v>135573.32000000007</v>
      </c>
      <c r="N65" s="4"/>
      <c r="O65" s="4">
        <f t="shared" si="2"/>
        <v>0</v>
      </c>
      <c r="P65" s="4">
        <f t="shared" si="3"/>
        <v>135573.32000000007</v>
      </c>
      <c r="Q65" s="4"/>
      <c r="R65" s="4"/>
      <c r="S65" s="4">
        <f t="shared" si="4"/>
        <v>0</v>
      </c>
      <c r="T65" s="4">
        <f t="shared" si="5"/>
        <v>0</v>
      </c>
      <c r="U65" s="4">
        <f t="shared" si="6"/>
        <v>0</v>
      </c>
      <c r="V65" s="4">
        <f t="shared" si="7"/>
        <v>0</v>
      </c>
      <c r="W65" s="4"/>
      <c r="X65" s="4"/>
      <c r="Y65" s="4"/>
      <c r="Z65" s="3"/>
      <c r="AA65" s="3" t="s">
        <v>1451</v>
      </c>
      <c r="AB65" s="3">
        <v>742000</v>
      </c>
      <c r="AC65" s="618"/>
      <c r="AD65" s="52"/>
    </row>
    <row r="66" spans="1:32" s="5" customFormat="1" ht="30" customHeight="1">
      <c r="A66" s="3">
        <f t="shared" si="8"/>
        <v>61</v>
      </c>
      <c r="B66" s="3">
        <v>2009</v>
      </c>
      <c r="C66" s="3" t="s">
        <v>356</v>
      </c>
      <c r="D66" s="4">
        <v>9000000</v>
      </c>
      <c r="E66" s="4">
        <v>9000000</v>
      </c>
      <c r="F66" s="4">
        <f t="shared" si="0"/>
        <v>0</v>
      </c>
      <c r="G66" s="4">
        <f>1000000</f>
        <v>1000000</v>
      </c>
      <c r="H66" s="4">
        <v>0</v>
      </c>
      <c r="I66" s="4"/>
      <c r="J66" s="4"/>
      <c r="K66" s="4">
        <v>0</v>
      </c>
      <c r="L66" s="4">
        <f t="shared" si="1"/>
        <v>0</v>
      </c>
      <c r="M66" s="4">
        <f t="shared" si="9"/>
        <v>1000000</v>
      </c>
      <c r="N66" s="4">
        <f>8000000-3000000-800000</f>
        <v>4200000</v>
      </c>
      <c r="O66" s="4">
        <f t="shared" si="2"/>
        <v>3800000</v>
      </c>
      <c r="P66" s="4">
        <f t="shared" si="3"/>
        <v>1000000</v>
      </c>
      <c r="Q66" s="4"/>
      <c r="R66" s="4"/>
      <c r="S66" s="4">
        <f t="shared" si="4"/>
        <v>0</v>
      </c>
      <c r="T66" s="4">
        <f t="shared" si="5"/>
        <v>0</v>
      </c>
      <c r="U66" s="4">
        <f t="shared" si="6"/>
        <v>4200000</v>
      </c>
      <c r="V66" s="4">
        <f t="shared" si="7"/>
        <v>4200000</v>
      </c>
      <c r="W66" s="4"/>
      <c r="X66" s="4"/>
      <c r="Y66" s="4"/>
      <c r="Z66" s="3"/>
      <c r="AA66" s="3" t="s">
        <v>1389</v>
      </c>
      <c r="AB66" s="3">
        <v>742000</v>
      </c>
      <c r="AC66" s="619"/>
      <c r="AD66" s="52"/>
    </row>
    <row r="67" spans="1:32" s="5" customFormat="1" ht="30" customHeight="1">
      <c r="A67" s="3">
        <f t="shared" si="8"/>
        <v>62</v>
      </c>
      <c r="B67" s="3">
        <v>2012</v>
      </c>
      <c r="C67" s="3" t="s">
        <v>358</v>
      </c>
      <c r="D67" s="4">
        <v>5000000</v>
      </c>
      <c r="E67" s="4">
        <v>5000000</v>
      </c>
      <c r="F67" s="4">
        <f t="shared" ref="F67:F80" si="10">D67-E67</f>
        <v>0</v>
      </c>
      <c r="G67" s="4">
        <v>200000</v>
      </c>
      <c r="H67" s="4">
        <v>0</v>
      </c>
      <c r="I67" s="4"/>
      <c r="J67" s="4"/>
      <c r="K67" s="4">
        <v>0</v>
      </c>
      <c r="L67" s="4">
        <f t="shared" ref="L67:L80" si="11">H67+K67</f>
        <v>0</v>
      </c>
      <c r="M67" s="4">
        <f>P67+S67-200000</f>
        <v>0</v>
      </c>
      <c r="N67" s="4">
        <v>200000</v>
      </c>
      <c r="O67" s="4">
        <f t="shared" ref="O67:O79" si="12">D67-L67-M67-N67</f>
        <v>4800000</v>
      </c>
      <c r="P67" s="4">
        <f t="shared" si="3"/>
        <v>200000</v>
      </c>
      <c r="Q67" s="4"/>
      <c r="R67" s="4"/>
      <c r="S67" s="4">
        <f t="shared" ref="S67:S79" si="13">SUM(Q67:R67)</f>
        <v>0</v>
      </c>
      <c r="T67" s="4">
        <f t="shared" ref="T67:T79" si="14">P67-M67+S67</f>
        <v>200000</v>
      </c>
      <c r="U67" s="4">
        <f t="shared" ref="U67:U79" si="15">N67-T67</f>
        <v>0</v>
      </c>
      <c r="V67" s="4">
        <f t="shared" ref="V67:V79" si="16">U67-Z67-W67-Y67</f>
        <v>0</v>
      </c>
      <c r="W67" s="4"/>
      <c r="X67" s="4"/>
      <c r="Y67" s="4"/>
      <c r="Z67" s="3"/>
      <c r="AA67" s="3" t="s">
        <v>1115</v>
      </c>
      <c r="AB67" s="3">
        <v>742000</v>
      </c>
      <c r="AC67" s="619"/>
      <c r="AD67" s="52"/>
    </row>
    <row r="68" spans="1:32" s="5" customFormat="1" ht="30" customHeight="1">
      <c r="A68" s="3">
        <f t="shared" si="8"/>
        <v>63</v>
      </c>
      <c r="B68" s="3">
        <v>2014</v>
      </c>
      <c r="C68" s="3" t="s">
        <v>436</v>
      </c>
      <c r="D68" s="4">
        <v>750000</v>
      </c>
      <c r="E68" s="4">
        <v>750000</v>
      </c>
      <c r="F68" s="4">
        <f t="shared" si="10"/>
        <v>0</v>
      </c>
      <c r="G68" s="4">
        <v>100000</v>
      </c>
      <c r="H68" s="4">
        <v>0</v>
      </c>
      <c r="I68" s="4"/>
      <c r="J68" s="4"/>
      <c r="K68" s="4">
        <v>0</v>
      </c>
      <c r="L68" s="4">
        <f t="shared" si="11"/>
        <v>0</v>
      </c>
      <c r="M68" s="4">
        <f t="shared" si="9"/>
        <v>100000</v>
      </c>
      <c r="N68" s="4">
        <f>350000-50000-300000</f>
        <v>0</v>
      </c>
      <c r="O68" s="4">
        <f t="shared" si="12"/>
        <v>650000</v>
      </c>
      <c r="P68" s="4">
        <f t="shared" ref="P68:P79" si="17">G68-L68</f>
        <v>100000</v>
      </c>
      <c r="Q68" s="4"/>
      <c r="R68" s="4"/>
      <c r="S68" s="4">
        <f t="shared" si="13"/>
        <v>0</v>
      </c>
      <c r="T68" s="4">
        <f t="shared" si="14"/>
        <v>0</v>
      </c>
      <c r="U68" s="4">
        <f t="shared" si="15"/>
        <v>0</v>
      </c>
      <c r="V68" s="4">
        <f t="shared" si="16"/>
        <v>0</v>
      </c>
      <c r="W68" s="4"/>
      <c r="X68" s="4"/>
      <c r="Y68" s="4"/>
      <c r="Z68" s="3"/>
      <c r="AA68" s="3" t="s">
        <v>1288</v>
      </c>
      <c r="AB68" s="3">
        <v>732000</v>
      </c>
      <c r="AC68" s="620"/>
      <c r="AD68" s="52"/>
    </row>
    <row r="69" spans="1:32" s="6" customFormat="1" ht="30" customHeight="1">
      <c r="A69" s="3">
        <f t="shared" si="8"/>
        <v>64</v>
      </c>
      <c r="B69" s="39">
        <v>2077</v>
      </c>
      <c r="C69" s="3" t="s">
        <v>439</v>
      </c>
      <c r="D69" s="4">
        <v>4000000</v>
      </c>
      <c r="E69" s="4">
        <v>4000000</v>
      </c>
      <c r="F69" s="4">
        <f t="shared" si="10"/>
        <v>0</v>
      </c>
      <c r="G69" s="4">
        <v>0</v>
      </c>
      <c r="H69" s="4">
        <v>0</v>
      </c>
      <c r="I69" s="4"/>
      <c r="J69" s="4"/>
      <c r="K69" s="4">
        <v>0</v>
      </c>
      <c r="L69" s="4">
        <f t="shared" si="11"/>
        <v>0</v>
      </c>
      <c r="M69" s="4">
        <f t="shared" ref="M69:M79" si="18">P69+S69</f>
        <v>0</v>
      </c>
      <c r="N69" s="4">
        <f>4000000-4000000</f>
        <v>0</v>
      </c>
      <c r="O69" s="4">
        <f t="shared" si="12"/>
        <v>4000000</v>
      </c>
      <c r="P69" s="4">
        <f t="shared" si="17"/>
        <v>0</v>
      </c>
      <c r="Q69" s="4"/>
      <c r="R69" s="4"/>
      <c r="S69" s="4">
        <f t="shared" si="13"/>
        <v>0</v>
      </c>
      <c r="T69" s="4">
        <f t="shared" si="14"/>
        <v>0</v>
      </c>
      <c r="U69" s="4">
        <f t="shared" si="15"/>
        <v>0</v>
      </c>
      <c r="V69" s="4">
        <f t="shared" si="16"/>
        <v>0</v>
      </c>
      <c r="W69" s="4"/>
      <c r="X69" s="4"/>
      <c r="Y69" s="4"/>
      <c r="Z69" s="3"/>
      <c r="AA69" s="325" t="s">
        <v>440</v>
      </c>
      <c r="AB69" s="3">
        <v>742000</v>
      </c>
      <c r="AC69" s="619"/>
      <c r="AD69" s="52"/>
      <c r="AE69" s="5"/>
      <c r="AF69" s="5"/>
    </row>
    <row r="70" spans="1:32" s="5" customFormat="1" ht="30" customHeight="1">
      <c r="A70" s="3">
        <f t="shared" si="8"/>
        <v>65</v>
      </c>
      <c r="B70" s="39">
        <v>2105</v>
      </c>
      <c r="C70" s="3" t="s">
        <v>710</v>
      </c>
      <c r="D70" s="4">
        <v>60000000</v>
      </c>
      <c r="E70" s="4">
        <v>60000000</v>
      </c>
      <c r="F70" s="4">
        <f t="shared" si="10"/>
        <v>0</v>
      </c>
      <c r="G70" s="4">
        <v>0</v>
      </c>
      <c r="H70" s="4">
        <v>0</v>
      </c>
      <c r="I70" s="4"/>
      <c r="J70" s="4"/>
      <c r="K70" s="4">
        <v>0</v>
      </c>
      <c r="L70" s="4">
        <f t="shared" si="11"/>
        <v>0</v>
      </c>
      <c r="M70" s="4">
        <f t="shared" si="18"/>
        <v>0</v>
      </c>
      <c r="N70" s="4">
        <f>5000000-1000000-4000000</f>
        <v>0</v>
      </c>
      <c r="O70" s="4">
        <f t="shared" si="12"/>
        <v>60000000</v>
      </c>
      <c r="P70" s="4">
        <f t="shared" si="17"/>
        <v>0</v>
      </c>
      <c r="Q70" s="4"/>
      <c r="R70" s="4"/>
      <c r="S70" s="4">
        <f t="shared" si="13"/>
        <v>0</v>
      </c>
      <c r="T70" s="4">
        <f t="shared" si="14"/>
        <v>0</v>
      </c>
      <c r="U70" s="4">
        <f t="shared" si="15"/>
        <v>0</v>
      </c>
      <c r="V70" s="4">
        <f t="shared" si="16"/>
        <v>0</v>
      </c>
      <c r="W70" s="4"/>
      <c r="X70" s="4"/>
      <c r="Y70" s="4"/>
      <c r="Z70" s="3"/>
      <c r="AA70" s="3" t="s">
        <v>1390</v>
      </c>
      <c r="AB70" s="3">
        <v>742000</v>
      </c>
      <c r="AC70" s="620"/>
      <c r="AD70" s="52"/>
    </row>
    <row r="71" spans="1:32" s="6" customFormat="1" ht="30" customHeight="1">
      <c r="A71" s="3">
        <f t="shared" si="8"/>
        <v>66</v>
      </c>
      <c r="B71" s="39">
        <v>2107</v>
      </c>
      <c r="C71" s="3" t="s">
        <v>443</v>
      </c>
      <c r="D71" s="4">
        <v>340000</v>
      </c>
      <c r="E71" s="4">
        <v>340000</v>
      </c>
      <c r="F71" s="4">
        <f t="shared" si="10"/>
        <v>0</v>
      </c>
      <c r="G71" s="4">
        <v>0</v>
      </c>
      <c r="H71" s="4">
        <v>0</v>
      </c>
      <c r="I71" s="4"/>
      <c r="J71" s="4"/>
      <c r="K71" s="4">
        <v>0</v>
      </c>
      <c r="L71" s="4">
        <f t="shared" si="11"/>
        <v>0</v>
      </c>
      <c r="M71" s="4">
        <f t="shared" si="18"/>
        <v>0</v>
      </c>
      <c r="N71" s="4">
        <v>340000</v>
      </c>
      <c r="O71" s="4">
        <f t="shared" si="12"/>
        <v>0</v>
      </c>
      <c r="P71" s="4">
        <f t="shared" si="17"/>
        <v>0</v>
      </c>
      <c r="Q71" s="4"/>
      <c r="R71" s="4"/>
      <c r="S71" s="4">
        <f t="shared" si="13"/>
        <v>0</v>
      </c>
      <c r="T71" s="4">
        <f t="shared" si="14"/>
        <v>0</v>
      </c>
      <c r="U71" s="4">
        <f t="shared" si="15"/>
        <v>340000</v>
      </c>
      <c r="V71" s="4">
        <f t="shared" si="16"/>
        <v>340000</v>
      </c>
      <c r="W71" s="4"/>
      <c r="X71" s="4"/>
      <c r="Y71" s="4"/>
      <c r="Z71" s="3"/>
      <c r="AA71" s="3" t="s">
        <v>1453</v>
      </c>
      <c r="AB71" s="3">
        <v>742000</v>
      </c>
      <c r="AC71" s="620"/>
      <c r="AD71" s="52"/>
      <c r="AE71" s="5"/>
      <c r="AF71" s="5"/>
    </row>
    <row r="72" spans="1:32" s="5" customFormat="1" ht="30" customHeight="1">
      <c r="A72" s="3">
        <f t="shared" si="8"/>
        <v>67</v>
      </c>
      <c r="B72" s="39">
        <v>2112</v>
      </c>
      <c r="C72" s="3" t="s">
        <v>875</v>
      </c>
      <c r="D72" s="4">
        <v>7650000</v>
      </c>
      <c r="E72" s="4">
        <v>7650000</v>
      </c>
      <c r="F72" s="4">
        <f t="shared" si="10"/>
        <v>0</v>
      </c>
      <c r="G72" s="4">
        <v>0</v>
      </c>
      <c r="H72" s="4">
        <v>0</v>
      </c>
      <c r="I72" s="4"/>
      <c r="J72" s="4"/>
      <c r="K72" s="4">
        <v>0</v>
      </c>
      <c r="L72" s="4">
        <f t="shared" si="11"/>
        <v>0</v>
      </c>
      <c r="M72" s="4">
        <f t="shared" si="18"/>
        <v>0</v>
      </c>
      <c r="N72" s="4">
        <f>3160000-1000000</f>
        <v>2160000</v>
      </c>
      <c r="O72" s="4">
        <f t="shared" si="12"/>
        <v>5490000</v>
      </c>
      <c r="P72" s="4">
        <f t="shared" si="17"/>
        <v>0</v>
      </c>
      <c r="Q72" s="4"/>
      <c r="R72" s="4"/>
      <c r="S72" s="4">
        <f t="shared" si="13"/>
        <v>0</v>
      </c>
      <c r="T72" s="4">
        <f t="shared" si="14"/>
        <v>0</v>
      </c>
      <c r="U72" s="4">
        <f t="shared" si="15"/>
        <v>2160000</v>
      </c>
      <c r="V72" s="4">
        <f t="shared" si="16"/>
        <v>2160000</v>
      </c>
      <c r="W72" s="4"/>
      <c r="X72" s="4"/>
      <c r="Y72" s="4"/>
      <c r="Z72" s="3"/>
      <c r="AA72" s="325" t="s">
        <v>1391</v>
      </c>
      <c r="AB72" s="3">
        <v>732000</v>
      </c>
      <c r="AC72" s="619"/>
      <c r="AD72" s="52"/>
    </row>
    <row r="73" spans="1:32" s="5" customFormat="1" ht="30" customHeight="1">
      <c r="A73" s="3">
        <f t="shared" ref="A73:A80" si="19">A72+1</f>
        <v>68</v>
      </c>
      <c r="B73" s="39">
        <v>2113</v>
      </c>
      <c r="C73" s="3" t="s">
        <v>448</v>
      </c>
      <c r="D73" s="4">
        <v>2550000</v>
      </c>
      <c r="E73" s="4">
        <v>2550000</v>
      </c>
      <c r="F73" s="4">
        <f t="shared" si="10"/>
        <v>0</v>
      </c>
      <c r="G73" s="4">
        <v>0</v>
      </c>
      <c r="H73" s="4">
        <v>0</v>
      </c>
      <c r="I73" s="4"/>
      <c r="J73" s="4"/>
      <c r="K73" s="4">
        <v>0</v>
      </c>
      <c r="L73" s="4">
        <f t="shared" si="11"/>
        <v>0</v>
      </c>
      <c r="M73" s="4">
        <f t="shared" si="18"/>
        <v>0</v>
      </c>
      <c r="N73" s="4">
        <v>200000</v>
      </c>
      <c r="O73" s="4">
        <f t="shared" si="12"/>
        <v>2350000</v>
      </c>
      <c r="P73" s="4">
        <f t="shared" si="17"/>
        <v>0</v>
      </c>
      <c r="Q73" s="4"/>
      <c r="R73" s="4"/>
      <c r="S73" s="4">
        <f t="shared" si="13"/>
        <v>0</v>
      </c>
      <c r="T73" s="4">
        <f t="shared" si="14"/>
        <v>0</v>
      </c>
      <c r="U73" s="4">
        <f t="shared" si="15"/>
        <v>200000</v>
      </c>
      <c r="V73" s="4">
        <f t="shared" si="16"/>
        <v>200000</v>
      </c>
      <c r="W73" s="4"/>
      <c r="X73" s="4"/>
      <c r="Y73" s="4"/>
      <c r="Z73" s="3"/>
      <c r="AA73" s="325" t="s">
        <v>1392</v>
      </c>
      <c r="AB73" s="3">
        <v>732000</v>
      </c>
      <c r="AC73" s="618"/>
      <c r="AD73" s="52"/>
    </row>
    <row r="74" spans="1:32" s="6" customFormat="1" ht="30" customHeight="1">
      <c r="A74" s="3">
        <f t="shared" si="19"/>
        <v>69</v>
      </c>
      <c r="B74" s="39">
        <v>2114</v>
      </c>
      <c r="C74" s="3" t="s">
        <v>630</v>
      </c>
      <c r="D74" s="4">
        <f>1450000+350000-350000</f>
        <v>1450000</v>
      </c>
      <c r="E74" s="4">
        <v>1450000</v>
      </c>
      <c r="F74" s="4">
        <f t="shared" si="10"/>
        <v>0</v>
      </c>
      <c r="G74" s="4">
        <f>500000+200000</f>
        <v>700000</v>
      </c>
      <c r="H74" s="4">
        <v>0</v>
      </c>
      <c r="I74" s="4"/>
      <c r="J74" s="4"/>
      <c r="K74" s="4">
        <v>0</v>
      </c>
      <c r="L74" s="4">
        <f t="shared" si="11"/>
        <v>0</v>
      </c>
      <c r="M74" s="4">
        <f t="shared" si="18"/>
        <v>700000</v>
      </c>
      <c r="N74" s="4">
        <v>500000</v>
      </c>
      <c r="O74" s="4">
        <f t="shared" si="12"/>
        <v>250000</v>
      </c>
      <c r="P74" s="4">
        <f t="shared" si="17"/>
        <v>700000</v>
      </c>
      <c r="Q74" s="4"/>
      <c r="R74" s="4"/>
      <c r="S74" s="4">
        <f t="shared" si="13"/>
        <v>0</v>
      </c>
      <c r="T74" s="4">
        <f t="shared" si="14"/>
        <v>0</v>
      </c>
      <c r="U74" s="4">
        <f t="shared" si="15"/>
        <v>500000</v>
      </c>
      <c r="V74" s="4">
        <f t="shared" si="16"/>
        <v>500000</v>
      </c>
      <c r="W74" s="4"/>
      <c r="X74" s="4"/>
      <c r="Y74" s="4"/>
      <c r="Z74" s="3"/>
      <c r="AA74" s="3" t="s">
        <v>629</v>
      </c>
      <c r="AB74" s="3">
        <v>732000</v>
      </c>
      <c r="AC74" s="618"/>
      <c r="AD74" s="52"/>
      <c r="AE74" s="5"/>
      <c r="AF74" s="5"/>
    </row>
    <row r="75" spans="1:32" s="6" customFormat="1" ht="30" customHeight="1">
      <c r="A75" s="3">
        <f t="shared" si="19"/>
        <v>70</v>
      </c>
      <c r="B75" s="39">
        <v>2116</v>
      </c>
      <c r="C75" s="3" t="s">
        <v>450</v>
      </c>
      <c r="D75" s="4">
        <v>1700000</v>
      </c>
      <c r="E75" s="4">
        <v>1700000</v>
      </c>
      <c r="F75" s="4">
        <f t="shared" si="10"/>
        <v>0</v>
      </c>
      <c r="G75" s="4">
        <v>300000</v>
      </c>
      <c r="H75" s="9">
        <v>0</v>
      </c>
      <c r="I75" s="9"/>
      <c r="J75" s="9"/>
      <c r="K75" s="4">
        <v>0</v>
      </c>
      <c r="L75" s="4">
        <f t="shared" si="11"/>
        <v>0</v>
      </c>
      <c r="M75" s="4">
        <f t="shared" si="18"/>
        <v>300000</v>
      </c>
      <c r="N75" s="4">
        <f>300000-300000</f>
        <v>0</v>
      </c>
      <c r="O75" s="4">
        <f t="shared" si="12"/>
        <v>1400000</v>
      </c>
      <c r="P75" s="4">
        <f t="shared" si="17"/>
        <v>300000</v>
      </c>
      <c r="Q75" s="4"/>
      <c r="R75" s="4"/>
      <c r="S75" s="4">
        <f t="shared" si="13"/>
        <v>0</v>
      </c>
      <c r="T75" s="4">
        <f t="shared" si="14"/>
        <v>0</v>
      </c>
      <c r="U75" s="4">
        <f t="shared" si="15"/>
        <v>0</v>
      </c>
      <c r="V75" s="4">
        <f t="shared" si="16"/>
        <v>0</v>
      </c>
      <c r="W75" s="9"/>
      <c r="X75" s="9"/>
      <c r="Y75" s="9"/>
      <c r="Z75" s="9"/>
      <c r="AA75" s="3" t="s">
        <v>451</v>
      </c>
      <c r="AB75" s="3">
        <v>732000</v>
      </c>
      <c r="AC75" s="620"/>
      <c r="AD75" s="52"/>
    </row>
    <row r="76" spans="1:32" s="6" customFormat="1" ht="30" customHeight="1">
      <c r="A76" s="3">
        <f t="shared" si="19"/>
        <v>71</v>
      </c>
      <c r="B76" s="39">
        <v>2117</v>
      </c>
      <c r="C76" s="3" t="s">
        <v>452</v>
      </c>
      <c r="D76" s="4">
        <v>600000</v>
      </c>
      <c r="E76" s="4">
        <v>600000</v>
      </c>
      <c r="F76" s="4">
        <f t="shared" si="10"/>
        <v>0</v>
      </c>
      <c r="G76" s="4">
        <v>300000</v>
      </c>
      <c r="H76" s="4">
        <v>0</v>
      </c>
      <c r="I76" s="4"/>
      <c r="J76" s="4"/>
      <c r="K76" s="4">
        <v>0</v>
      </c>
      <c r="L76" s="4">
        <f t="shared" si="11"/>
        <v>0</v>
      </c>
      <c r="M76" s="4">
        <f>P76+S76-300000</f>
        <v>0</v>
      </c>
      <c r="N76" s="4">
        <f>300000+300000</f>
        <v>600000</v>
      </c>
      <c r="O76" s="4">
        <f t="shared" si="12"/>
        <v>0</v>
      </c>
      <c r="P76" s="4">
        <f t="shared" si="17"/>
        <v>300000</v>
      </c>
      <c r="Q76" s="4"/>
      <c r="R76" s="4"/>
      <c r="S76" s="4">
        <f t="shared" si="13"/>
        <v>0</v>
      </c>
      <c r="T76" s="4">
        <f t="shared" si="14"/>
        <v>300000</v>
      </c>
      <c r="U76" s="4">
        <f t="shared" si="15"/>
        <v>300000</v>
      </c>
      <c r="V76" s="4">
        <f t="shared" si="16"/>
        <v>300000</v>
      </c>
      <c r="W76" s="9"/>
      <c r="X76" s="9"/>
      <c r="Y76" s="9"/>
      <c r="Z76" s="9"/>
      <c r="AA76" s="3" t="s">
        <v>1454</v>
      </c>
      <c r="AB76" s="3">
        <v>732000</v>
      </c>
      <c r="AC76" s="620"/>
      <c r="AD76" s="52"/>
    </row>
    <row r="77" spans="1:32" s="5" customFormat="1" ht="30" customHeight="1">
      <c r="A77" s="3">
        <f t="shared" si="19"/>
        <v>72</v>
      </c>
      <c r="B77" s="39">
        <v>2119</v>
      </c>
      <c r="C77" s="3" t="s">
        <v>455</v>
      </c>
      <c r="D77" s="4">
        <v>1400000</v>
      </c>
      <c r="E77" s="4">
        <v>1400000</v>
      </c>
      <c r="F77" s="4">
        <f t="shared" si="10"/>
        <v>0</v>
      </c>
      <c r="G77" s="4">
        <v>0</v>
      </c>
      <c r="H77" s="4">
        <v>0</v>
      </c>
      <c r="I77" s="4"/>
      <c r="J77" s="4"/>
      <c r="K77" s="4">
        <v>0</v>
      </c>
      <c r="L77" s="4">
        <f t="shared" si="11"/>
        <v>0</v>
      </c>
      <c r="M77" s="4">
        <f t="shared" si="18"/>
        <v>0</v>
      </c>
      <c r="N77" s="4">
        <f>1400000-300000</f>
        <v>1100000</v>
      </c>
      <c r="O77" s="4">
        <f t="shared" si="12"/>
        <v>300000</v>
      </c>
      <c r="P77" s="4">
        <f t="shared" si="17"/>
        <v>0</v>
      </c>
      <c r="Q77" s="4"/>
      <c r="R77" s="4"/>
      <c r="S77" s="4">
        <f t="shared" si="13"/>
        <v>0</v>
      </c>
      <c r="T77" s="4">
        <f t="shared" si="14"/>
        <v>0</v>
      </c>
      <c r="U77" s="4">
        <f t="shared" si="15"/>
        <v>1100000</v>
      </c>
      <c r="V77" s="4">
        <f t="shared" si="16"/>
        <v>1100000</v>
      </c>
      <c r="W77" s="4"/>
      <c r="X77" s="4"/>
      <c r="Y77" s="4"/>
      <c r="Z77" s="3"/>
      <c r="AA77" s="3" t="s">
        <v>456</v>
      </c>
      <c r="AB77" s="3">
        <v>742000</v>
      </c>
      <c r="AC77" s="618"/>
      <c r="AD77" s="52"/>
      <c r="AE77" s="6"/>
      <c r="AF77" s="6"/>
    </row>
    <row r="78" spans="1:32" s="5" customFormat="1" ht="30" customHeight="1">
      <c r="A78" s="3">
        <f t="shared" si="19"/>
        <v>73</v>
      </c>
      <c r="B78" s="39">
        <v>2120</v>
      </c>
      <c r="C78" s="3" t="s">
        <v>689</v>
      </c>
      <c r="D78" s="4">
        <v>1000000</v>
      </c>
      <c r="E78" s="4">
        <v>1000000</v>
      </c>
      <c r="F78" s="4">
        <f t="shared" si="10"/>
        <v>0</v>
      </c>
      <c r="G78" s="4">
        <v>0</v>
      </c>
      <c r="H78" s="4">
        <v>0</v>
      </c>
      <c r="I78" s="4"/>
      <c r="J78" s="4"/>
      <c r="K78" s="4">
        <v>0</v>
      </c>
      <c r="L78" s="4">
        <f t="shared" si="11"/>
        <v>0</v>
      </c>
      <c r="M78" s="4">
        <f t="shared" si="18"/>
        <v>0</v>
      </c>
      <c r="N78" s="4">
        <f>1000000-1000000</f>
        <v>0</v>
      </c>
      <c r="O78" s="4">
        <f t="shared" si="12"/>
        <v>1000000</v>
      </c>
      <c r="P78" s="4">
        <f t="shared" si="17"/>
        <v>0</v>
      </c>
      <c r="Q78" s="4"/>
      <c r="R78" s="4"/>
      <c r="S78" s="4">
        <f t="shared" si="13"/>
        <v>0</v>
      </c>
      <c r="T78" s="4">
        <f t="shared" si="14"/>
        <v>0</v>
      </c>
      <c r="U78" s="4">
        <f t="shared" si="15"/>
        <v>0</v>
      </c>
      <c r="V78" s="4">
        <f t="shared" si="16"/>
        <v>0</v>
      </c>
      <c r="W78" s="4"/>
      <c r="X78" s="4"/>
      <c r="Y78" s="4"/>
      <c r="Z78" s="3"/>
      <c r="AA78" s="3" t="s">
        <v>688</v>
      </c>
      <c r="AB78" s="3">
        <v>732000</v>
      </c>
      <c r="AC78" s="618"/>
      <c r="AD78" s="52"/>
      <c r="AE78" s="6"/>
      <c r="AF78" s="6"/>
    </row>
    <row r="79" spans="1:32" s="5" customFormat="1" ht="30" customHeight="1">
      <c r="A79" s="3">
        <f t="shared" si="19"/>
        <v>74</v>
      </c>
      <c r="B79" s="39">
        <v>2121</v>
      </c>
      <c r="C79" s="3" t="s">
        <v>711</v>
      </c>
      <c r="D79" s="4">
        <v>300000</v>
      </c>
      <c r="E79" s="4">
        <v>300000</v>
      </c>
      <c r="F79" s="4">
        <f t="shared" si="10"/>
        <v>0</v>
      </c>
      <c r="G79" s="4">
        <v>300000</v>
      </c>
      <c r="H79" s="4">
        <v>0</v>
      </c>
      <c r="I79" s="4"/>
      <c r="J79" s="4">
        <v>30864.6</v>
      </c>
      <c r="K79" s="4">
        <v>30864.6</v>
      </c>
      <c r="L79" s="4">
        <f t="shared" si="11"/>
        <v>30864.6</v>
      </c>
      <c r="M79" s="4">
        <f t="shared" si="18"/>
        <v>269135.40000000002</v>
      </c>
      <c r="N79" s="4"/>
      <c r="O79" s="4">
        <f t="shared" si="12"/>
        <v>0</v>
      </c>
      <c r="P79" s="4">
        <f t="shared" si="17"/>
        <v>269135.40000000002</v>
      </c>
      <c r="Q79" s="4"/>
      <c r="R79" s="4"/>
      <c r="S79" s="4">
        <f t="shared" si="13"/>
        <v>0</v>
      </c>
      <c r="T79" s="4">
        <f t="shared" si="14"/>
        <v>0</v>
      </c>
      <c r="U79" s="4">
        <f t="shared" si="15"/>
        <v>0</v>
      </c>
      <c r="V79" s="4">
        <f t="shared" si="16"/>
        <v>0</v>
      </c>
      <c r="W79" s="4"/>
      <c r="X79" s="4"/>
      <c r="Y79" s="4"/>
      <c r="Z79" s="4"/>
      <c r="AA79" s="3" t="s">
        <v>720</v>
      </c>
      <c r="AB79" s="3">
        <v>742000</v>
      </c>
      <c r="AC79" s="618"/>
      <c r="AD79" s="52"/>
      <c r="AE79" s="6"/>
      <c r="AF79" s="6"/>
    </row>
    <row r="80" spans="1:32" s="5" customFormat="1" ht="30" customHeight="1">
      <c r="A80" s="3">
        <f t="shared" si="19"/>
        <v>75</v>
      </c>
      <c r="B80" s="39">
        <v>2123</v>
      </c>
      <c r="C80" s="3" t="s">
        <v>870</v>
      </c>
      <c r="D80" s="4">
        <v>750000</v>
      </c>
      <c r="E80" s="4">
        <v>750000</v>
      </c>
      <c r="F80" s="4">
        <f t="shared" si="10"/>
        <v>0</v>
      </c>
      <c r="G80" s="4">
        <v>0</v>
      </c>
      <c r="H80" s="4">
        <v>0</v>
      </c>
      <c r="I80" s="4"/>
      <c r="J80" s="4"/>
      <c r="K80" s="4">
        <v>0</v>
      </c>
      <c r="L80" s="4">
        <f t="shared" si="11"/>
        <v>0</v>
      </c>
      <c r="M80" s="4">
        <f>P80+S80-700000</f>
        <v>50000</v>
      </c>
      <c r="N80" s="4">
        <v>700000</v>
      </c>
      <c r="O80" s="4">
        <f>D80-L80-M80-N80</f>
        <v>0</v>
      </c>
      <c r="P80" s="4">
        <f>G80-L80</f>
        <v>0</v>
      </c>
      <c r="Q80" s="4">
        <v>750000</v>
      </c>
      <c r="R80" s="4"/>
      <c r="S80" s="4">
        <f>SUM(Q80:R80)</f>
        <v>750000</v>
      </c>
      <c r="T80" s="4">
        <f>P80-M80+S80</f>
        <v>700000</v>
      </c>
      <c r="U80" s="4">
        <f>N80-T80</f>
        <v>0</v>
      </c>
      <c r="V80" s="4">
        <f>U80-Z80-W80-Y80</f>
        <v>0</v>
      </c>
      <c r="W80" s="4"/>
      <c r="X80" s="4"/>
      <c r="Y80" s="4"/>
      <c r="Z80" s="4"/>
      <c r="AA80" s="3" t="s">
        <v>743</v>
      </c>
      <c r="AB80" s="3">
        <v>742000</v>
      </c>
      <c r="AC80" s="618"/>
      <c r="AD80" s="52"/>
      <c r="AE80" s="6"/>
      <c r="AF80" s="6"/>
    </row>
    <row r="81" spans="1:32" s="5" customFormat="1" ht="30" customHeight="1">
      <c r="A81" s="3">
        <f>A80+1</f>
        <v>76</v>
      </c>
      <c r="B81" s="39">
        <v>2141</v>
      </c>
      <c r="C81" s="3" t="s">
        <v>1117</v>
      </c>
      <c r="D81" s="4">
        <v>640000</v>
      </c>
      <c r="E81" s="4"/>
      <c r="F81" s="4">
        <f t="shared" ref="F81:F82" si="20">D81-E81</f>
        <v>640000</v>
      </c>
      <c r="G81" s="4">
        <v>0</v>
      </c>
      <c r="H81" s="4">
        <v>0</v>
      </c>
      <c r="I81" s="4"/>
      <c r="J81" s="4"/>
      <c r="K81" s="4">
        <f t="shared" ref="K81:K82" si="21">SUM(I81:J81)</f>
        <v>0</v>
      </c>
      <c r="L81" s="4">
        <f t="shared" ref="L81:L82" si="22">H81+K81</f>
        <v>0</v>
      </c>
      <c r="M81" s="4">
        <f t="shared" ref="M81:M82" si="23">P81+S81</f>
        <v>0</v>
      </c>
      <c r="N81" s="4">
        <v>350000</v>
      </c>
      <c r="O81" s="4">
        <f t="shared" ref="O81:O82" si="24">D81-L81-M81-N81</f>
        <v>290000</v>
      </c>
      <c r="P81" s="4">
        <f t="shared" ref="P81:P82" si="25">G81-L81</f>
        <v>0</v>
      </c>
      <c r="Q81" s="4"/>
      <c r="R81" s="4"/>
      <c r="S81" s="4">
        <f t="shared" ref="S81:S82" si="26">SUM(Q81:R81)</f>
        <v>0</v>
      </c>
      <c r="T81" s="4">
        <f t="shared" ref="T81:T82" si="27">P81-M81+S81</f>
        <v>0</v>
      </c>
      <c r="U81" s="4">
        <f t="shared" ref="U81:U82" si="28">N81-T81</f>
        <v>350000</v>
      </c>
      <c r="V81" s="4">
        <f t="shared" ref="V81:V82" si="29">U81-Z81-W81-Y81</f>
        <v>350000</v>
      </c>
      <c r="W81" s="4"/>
      <c r="X81" s="4"/>
      <c r="Y81" s="4"/>
      <c r="Z81" s="4"/>
      <c r="AA81" s="3" t="s">
        <v>1308</v>
      </c>
      <c r="AB81" s="3">
        <v>732000</v>
      </c>
      <c r="AC81" s="618"/>
      <c r="AD81" s="52"/>
      <c r="AE81" s="6"/>
      <c r="AF81" s="6"/>
    </row>
    <row r="82" spans="1:32" s="5" customFormat="1" ht="30" customHeight="1">
      <c r="A82" s="3">
        <f>A81+1</f>
        <v>77</v>
      </c>
      <c r="B82" s="39">
        <v>2142</v>
      </c>
      <c r="C82" s="3" t="s">
        <v>1234</v>
      </c>
      <c r="D82" s="4">
        <v>2400000</v>
      </c>
      <c r="E82" s="4"/>
      <c r="F82" s="4">
        <f t="shared" si="20"/>
        <v>2400000</v>
      </c>
      <c r="G82" s="4">
        <v>0</v>
      </c>
      <c r="H82" s="4">
        <v>0</v>
      </c>
      <c r="I82" s="4"/>
      <c r="J82" s="4"/>
      <c r="K82" s="4">
        <f t="shared" si="21"/>
        <v>0</v>
      </c>
      <c r="L82" s="4">
        <f t="shared" si="22"/>
        <v>0</v>
      </c>
      <c r="M82" s="4">
        <f t="shared" si="23"/>
        <v>0</v>
      </c>
      <c r="N82" s="4">
        <v>2400000</v>
      </c>
      <c r="O82" s="4">
        <f t="shared" si="24"/>
        <v>0</v>
      </c>
      <c r="P82" s="4">
        <f t="shared" si="25"/>
        <v>0</v>
      </c>
      <c r="Q82" s="4"/>
      <c r="R82" s="4"/>
      <c r="S82" s="4">
        <f t="shared" si="26"/>
        <v>0</v>
      </c>
      <c r="T82" s="4">
        <f t="shared" si="27"/>
        <v>0</v>
      </c>
      <c r="U82" s="4">
        <f t="shared" si="28"/>
        <v>2400000</v>
      </c>
      <c r="V82" s="4">
        <f t="shared" si="29"/>
        <v>2400000</v>
      </c>
      <c r="W82" s="4"/>
      <c r="X82" s="4"/>
      <c r="Y82" s="4"/>
      <c r="Z82" s="4"/>
      <c r="AA82" s="3" t="s">
        <v>1235</v>
      </c>
      <c r="AB82" s="3">
        <v>742000</v>
      </c>
      <c r="AC82" s="618"/>
      <c r="AD82" s="52"/>
      <c r="AE82" s="6"/>
      <c r="AF82" s="6"/>
    </row>
    <row r="83" spans="1:32" s="5" customFormat="1" ht="30" customHeight="1">
      <c r="A83" s="3">
        <f>A82+1</f>
        <v>78</v>
      </c>
      <c r="B83" s="39">
        <v>2143</v>
      </c>
      <c r="C83" s="3" t="s">
        <v>1236</v>
      </c>
      <c r="D83" s="4">
        <v>500000</v>
      </c>
      <c r="E83" s="4"/>
      <c r="F83" s="4">
        <f t="shared" ref="F83:F86" si="30">D83-E83</f>
        <v>500000</v>
      </c>
      <c r="G83" s="4">
        <v>0</v>
      </c>
      <c r="H83" s="4">
        <v>0</v>
      </c>
      <c r="I83" s="4"/>
      <c r="J83" s="4"/>
      <c r="K83" s="4">
        <f t="shared" ref="K83" si="31">SUM(I83:J83)</f>
        <v>0</v>
      </c>
      <c r="L83" s="4">
        <f t="shared" ref="L83:L86" si="32">H83+K83</f>
        <v>0</v>
      </c>
      <c r="M83" s="4">
        <f t="shared" ref="M83:M86" si="33">P83+S83</f>
        <v>0</v>
      </c>
      <c r="N83" s="4">
        <v>500000</v>
      </c>
      <c r="O83" s="4">
        <f t="shared" ref="O83:O86" si="34">D83-L83-M83-N83</f>
        <v>0</v>
      </c>
      <c r="P83" s="4">
        <f t="shared" ref="P83:P86" si="35">G83-L83</f>
        <v>0</v>
      </c>
      <c r="Q83" s="4"/>
      <c r="R83" s="4"/>
      <c r="S83" s="4">
        <f t="shared" ref="S83:S86" si="36">SUM(Q83:R83)</f>
        <v>0</v>
      </c>
      <c r="T83" s="4">
        <f t="shared" ref="T83:T86" si="37">P83-M83+S83</f>
        <v>0</v>
      </c>
      <c r="U83" s="4">
        <f t="shared" ref="U83:U86" si="38">N83-T83</f>
        <v>500000</v>
      </c>
      <c r="V83" s="4">
        <f t="shared" ref="V83:V86" si="39">U83-Z83-W83-Y83</f>
        <v>500000</v>
      </c>
      <c r="W83" s="4"/>
      <c r="X83" s="4"/>
      <c r="Y83" s="4"/>
      <c r="Z83" s="4"/>
      <c r="AA83" s="3" t="s">
        <v>1455</v>
      </c>
      <c r="AB83" s="3">
        <v>732000</v>
      </c>
      <c r="AC83" s="618"/>
      <c r="AD83" s="52"/>
      <c r="AE83" s="6"/>
      <c r="AF83" s="6"/>
    </row>
    <row r="84" spans="1:32" s="5" customFormat="1" ht="30" customHeight="1">
      <c r="A84" s="3">
        <f t="shared" ref="A84:A86" si="40">A83+1</f>
        <v>79</v>
      </c>
      <c r="B84" s="39">
        <v>2144</v>
      </c>
      <c r="C84" s="3" t="s">
        <v>1283</v>
      </c>
      <c r="D84" s="4">
        <v>500000</v>
      </c>
      <c r="E84" s="4"/>
      <c r="F84" s="4">
        <f t="shared" si="30"/>
        <v>500000</v>
      </c>
      <c r="G84" s="4">
        <v>0</v>
      </c>
      <c r="H84" s="4">
        <v>0</v>
      </c>
      <c r="I84" s="4"/>
      <c r="J84" s="4"/>
      <c r="K84" s="4">
        <f t="shared" ref="K84:K85" si="41">SUM(I84:J84)</f>
        <v>0</v>
      </c>
      <c r="L84" s="4">
        <f t="shared" si="32"/>
        <v>0</v>
      </c>
      <c r="M84" s="4">
        <f t="shared" si="33"/>
        <v>0</v>
      </c>
      <c r="N84" s="4">
        <v>500000</v>
      </c>
      <c r="O84" s="4">
        <f t="shared" si="34"/>
        <v>0</v>
      </c>
      <c r="P84" s="4">
        <f t="shared" si="35"/>
        <v>0</v>
      </c>
      <c r="Q84" s="4"/>
      <c r="R84" s="4"/>
      <c r="S84" s="4">
        <f t="shared" si="36"/>
        <v>0</v>
      </c>
      <c r="T84" s="4">
        <f t="shared" si="37"/>
        <v>0</v>
      </c>
      <c r="U84" s="4">
        <f t="shared" si="38"/>
        <v>500000</v>
      </c>
      <c r="V84" s="4">
        <f t="shared" si="39"/>
        <v>500000</v>
      </c>
      <c r="W84" s="4"/>
      <c r="X84" s="4"/>
      <c r="Y84" s="4"/>
      <c r="Z84" s="4"/>
      <c r="AA84" s="3" t="s">
        <v>1456</v>
      </c>
      <c r="AB84" s="3">
        <v>732000</v>
      </c>
      <c r="AC84" s="618"/>
      <c r="AD84" s="52"/>
      <c r="AE84" s="6"/>
      <c r="AF84" s="6"/>
    </row>
    <row r="85" spans="1:32" s="5" customFormat="1" ht="30" customHeight="1">
      <c r="A85" s="3">
        <f t="shared" si="40"/>
        <v>80</v>
      </c>
      <c r="B85" s="39">
        <v>2145</v>
      </c>
      <c r="C85" s="3" t="s">
        <v>1299</v>
      </c>
      <c r="D85" s="4">
        <v>2050000</v>
      </c>
      <c r="E85" s="4"/>
      <c r="F85" s="4">
        <f t="shared" si="30"/>
        <v>2050000</v>
      </c>
      <c r="G85" s="4">
        <v>0</v>
      </c>
      <c r="H85" s="4">
        <v>0</v>
      </c>
      <c r="I85" s="4"/>
      <c r="J85" s="4"/>
      <c r="K85" s="4">
        <f t="shared" si="41"/>
        <v>0</v>
      </c>
      <c r="L85" s="4">
        <f t="shared" si="32"/>
        <v>0</v>
      </c>
      <c r="M85" s="4">
        <f t="shared" si="33"/>
        <v>0</v>
      </c>
      <c r="N85" s="4">
        <f>900000-400000</f>
        <v>500000</v>
      </c>
      <c r="O85" s="4">
        <f t="shared" si="34"/>
        <v>1550000</v>
      </c>
      <c r="P85" s="4">
        <f t="shared" si="35"/>
        <v>0</v>
      </c>
      <c r="Q85" s="4"/>
      <c r="R85" s="4"/>
      <c r="S85" s="4">
        <f t="shared" si="36"/>
        <v>0</v>
      </c>
      <c r="T85" s="4">
        <f t="shared" si="37"/>
        <v>0</v>
      </c>
      <c r="U85" s="4">
        <f t="shared" si="38"/>
        <v>500000</v>
      </c>
      <c r="V85" s="4">
        <f t="shared" si="39"/>
        <v>500000</v>
      </c>
      <c r="W85" s="4"/>
      <c r="X85" s="4"/>
      <c r="Y85" s="4"/>
      <c r="Z85" s="4"/>
      <c r="AA85" s="3" t="s">
        <v>1300</v>
      </c>
      <c r="AB85" s="3">
        <v>742000</v>
      </c>
      <c r="AC85" s="618"/>
      <c r="AD85" s="52"/>
      <c r="AE85" s="6"/>
      <c r="AF85" s="6"/>
    </row>
    <row r="86" spans="1:32" s="5" customFormat="1" ht="30" customHeight="1">
      <c r="A86" s="3">
        <f t="shared" si="40"/>
        <v>81</v>
      </c>
      <c r="B86" s="39">
        <v>2146</v>
      </c>
      <c r="C86" s="3" t="s">
        <v>1301</v>
      </c>
      <c r="D86" s="4">
        <v>220000</v>
      </c>
      <c r="E86" s="4"/>
      <c r="F86" s="4">
        <f t="shared" si="30"/>
        <v>220000</v>
      </c>
      <c r="G86" s="4">
        <v>0</v>
      </c>
      <c r="H86" s="4">
        <v>0</v>
      </c>
      <c r="I86" s="4"/>
      <c r="J86" s="4"/>
      <c r="K86" s="4">
        <f t="shared" ref="K86" si="42">SUM(I86:J86)</f>
        <v>0</v>
      </c>
      <c r="L86" s="4">
        <f t="shared" si="32"/>
        <v>0</v>
      </c>
      <c r="M86" s="4">
        <f t="shared" si="33"/>
        <v>0</v>
      </c>
      <c r="N86" s="4">
        <v>130000</v>
      </c>
      <c r="O86" s="4">
        <f t="shared" si="34"/>
        <v>90000</v>
      </c>
      <c r="P86" s="4">
        <f t="shared" si="35"/>
        <v>0</v>
      </c>
      <c r="Q86" s="4"/>
      <c r="R86" s="4"/>
      <c r="S86" s="4">
        <f t="shared" si="36"/>
        <v>0</v>
      </c>
      <c r="T86" s="4">
        <f t="shared" si="37"/>
        <v>0</v>
      </c>
      <c r="U86" s="4">
        <f t="shared" si="38"/>
        <v>130000</v>
      </c>
      <c r="V86" s="4">
        <f t="shared" si="39"/>
        <v>130000</v>
      </c>
      <c r="W86" s="4"/>
      <c r="X86" s="4"/>
      <c r="Y86" s="4"/>
      <c r="Z86" s="4"/>
      <c r="AA86" s="3" t="s">
        <v>1302</v>
      </c>
      <c r="AB86" s="3">
        <v>732000</v>
      </c>
      <c r="AC86" s="618"/>
      <c r="AD86" s="52"/>
      <c r="AE86" s="6"/>
      <c r="AF86" s="6"/>
    </row>
    <row r="87" spans="1:32" s="84" customFormat="1" ht="30" customHeight="1">
      <c r="A87" s="41">
        <f>A86</f>
        <v>81</v>
      </c>
      <c r="B87" s="41"/>
      <c r="C87" s="41" t="s">
        <v>666</v>
      </c>
      <c r="D87" s="88">
        <f>SUM(D6:D86)</f>
        <v>622652129</v>
      </c>
      <c r="E87" s="88">
        <f t="shared" ref="E87:Z87" si="43">SUM(E6:E86)</f>
        <v>607401879</v>
      </c>
      <c r="F87" s="88">
        <f t="shared" si="43"/>
        <v>15250250</v>
      </c>
      <c r="G87" s="88">
        <f t="shared" si="43"/>
        <v>282994229</v>
      </c>
      <c r="H87" s="88">
        <f t="shared" si="43"/>
        <v>231832205.63999996</v>
      </c>
      <c r="I87" s="88">
        <f t="shared" si="43"/>
        <v>10898105.370000001</v>
      </c>
      <c r="J87" s="88">
        <f t="shared" si="43"/>
        <v>11954790.389999997</v>
      </c>
      <c r="K87" s="88">
        <f t="shared" si="43"/>
        <v>22852895.760000002</v>
      </c>
      <c r="L87" s="88">
        <f t="shared" si="43"/>
        <v>254685101.39999998</v>
      </c>
      <c r="M87" s="88">
        <f t="shared" si="43"/>
        <v>26266450.599999994</v>
      </c>
      <c r="N87" s="88">
        <f t="shared" si="43"/>
        <v>37708338</v>
      </c>
      <c r="O87" s="88">
        <f t="shared" si="43"/>
        <v>303992239</v>
      </c>
      <c r="P87" s="88">
        <f t="shared" si="43"/>
        <v>28309127.599999994</v>
      </c>
      <c r="Q87" s="88">
        <f t="shared" si="43"/>
        <v>3107323</v>
      </c>
      <c r="R87" s="88">
        <f t="shared" si="43"/>
        <v>0</v>
      </c>
      <c r="S87" s="88">
        <f t="shared" si="43"/>
        <v>3107323</v>
      </c>
      <c r="T87" s="88">
        <f t="shared" si="43"/>
        <v>5150000</v>
      </c>
      <c r="U87" s="88">
        <f t="shared" si="43"/>
        <v>32558338</v>
      </c>
      <c r="V87" s="88">
        <f t="shared" si="43"/>
        <v>31303894</v>
      </c>
      <c r="W87" s="88">
        <f t="shared" si="43"/>
        <v>0</v>
      </c>
      <c r="X87" s="88">
        <f t="shared" si="43"/>
        <v>0</v>
      </c>
      <c r="Y87" s="88">
        <f t="shared" si="43"/>
        <v>0</v>
      </c>
      <c r="Z87" s="88">
        <f t="shared" si="43"/>
        <v>1254444</v>
      </c>
      <c r="AA87" s="41"/>
      <c r="AB87" s="41"/>
      <c r="AC87" s="622"/>
      <c r="AD87" s="438"/>
    </row>
    <row r="88" spans="1:32" hidden="1">
      <c r="L88" s="16">
        <f>K87+H87</f>
        <v>254685101.39999995</v>
      </c>
      <c r="M88" s="16">
        <f>P88+S87-T87</f>
        <v>26266450.600000054</v>
      </c>
      <c r="P88" s="16">
        <f>G87-L88</f>
        <v>28309127.600000054</v>
      </c>
      <c r="U88" s="16">
        <f>N87-T87</f>
        <v>32558338</v>
      </c>
    </row>
    <row r="89" spans="1:32">
      <c r="U89" s="16"/>
    </row>
    <row r="91" spans="1:32">
      <c r="U91" s="16"/>
      <c r="V91" s="16"/>
    </row>
    <row r="92" spans="1:32">
      <c r="U92" s="16"/>
      <c r="V92" s="16"/>
    </row>
    <row r="93" spans="1:32">
      <c r="U93" s="16"/>
      <c r="V93" s="16"/>
    </row>
    <row r="94" spans="1:32">
      <c r="U94" s="16"/>
      <c r="V94" s="1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94"/>
  <sheetViews>
    <sheetView showZeros="0" rightToLeft="1" tabSelected="1" zoomScaleNormal="100" workbookViewId="0">
      <pane xSplit="3" ySplit="4" topLeftCell="D5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44140625" defaultRowHeight="13.8"/>
  <cols>
    <col min="1" max="1" width="3.33203125" style="14" customWidth="1"/>
    <col min="2" max="2" width="4.77734375" style="26" customWidth="1"/>
    <col min="3" max="3" width="29.5546875" style="408" customWidth="1"/>
    <col min="4" max="4" width="10.77734375" style="16" customWidth="1"/>
    <col min="5" max="5" width="12.33203125" style="16" hidden="1" customWidth="1"/>
    <col min="6" max="6" width="11.44140625" style="16" hidden="1" customWidth="1"/>
    <col min="7" max="10" width="13" style="16" hidden="1" customWidth="1"/>
    <col min="11" max="11" width="11.6640625" style="16" hidden="1" customWidth="1"/>
    <col min="12" max="12" width="10.33203125" style="16" customWidth="1"/>
    <col min="13" max="14" width="9.77734375" style="16" customWidth="1"/>
    <col min="15" max="15" width="10.77734375" style="16" customWidth="1"/>
    <col min="16" max="16" width="11.44140625" style="16" hidden="1" customWidth="1"/>
    <col min="17" max="17" width="16.33203125" style="16" hidden="1" customWidth="1"/>
    <col min="18" max="18" width="12.33203125" style="16" hidden="1" customWidth="1"/>
    <col min="19" max="19" width="12" style="16" hidden="1" customWidth="1"/>
    <col min="20" max="20" width="9.77734375" style="16" customWidth="1"/>
    <col min="21" max="22" width="9.77734375" style="14" customWidth="1"/>
    <col min="23" max="23" width="7.109375" style="14" hidden="1" customWidth="1"/>
    <col min="24" max="25" width="5" style="14" hidden="1" customWidth="1"/>
    <col min="26" max="26" width="9.21875" style="14" customWidth="1"/>
    <col min="27" max="27" width="41.21875" style="408" customWidth="1"/>
    <col min="28" max="28" width="8.109375" style="14" hidden="1" customWidth="1"/>
    <col min="29" max="29" width="15.77734375" style="618" customWidth="1"/>
    <col min="30" max="30" width="10.88671875" style="20" bestFit="1" customWidth="1"/>
    <col min="31" max="16384" width="9.44140625" style="14"/>
  </cols>
  <sheetData>
    <row r="1" spans="1:32" s="36" customFormat="1" ht="18">
      <c r="A1" s="35"/>
      <c r="B1" s="774"/>
      <c r="C1" s="70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04"/>
      <c r="AC1" s="618"/>
      <c r="AD1" s="20"/>
    </row>
    <row r="2" spans="1:32" ht="18">
      <c r="A2" s="86" t="s">
        <v>668</v>
      </c>
      <c r="B2" s="774"/>
      <c r="C2" s="704"/>
      <c r="D2" s="700"/>
      <c r="E2" s="35"/>
      <c r="F2" s="35"/>
      <c r="G2" s="35"/>
      <c r="H2" s="35"/>
      <c r="I2" s="35"/>
      <c r="J2" s="35"/>
      <c r="K2" s="35"/>
      <c r="L2" s="700"/>
      <c r="M2" s="700"/>
      <c r="N2" s="700"/>
      <c r="O2" s="700"/>
      <c r="P2" s="700"/>
      <c r="Q2" s="700"/>
      <c r="R2" s="700"/>
      <c r="S2" s="700"/>
      <c r="T2" s="700"/>
      <c r="U2" s="702"/>
      <c r="V2" s="700"/>
      <c r="W2" s="700"/>
      <c r="X2" s="700"/>
      <c r="Y2" s="700"/>
      <c r="Z2" s="700"/>
    </row>
    <row r="3" spans="1:32" ht="24.6" customHeight="1">
      <c r="D3" s="701"/>
      <c r="E3" s="15"/>
      <c r="F3" s="15"/>
      <c r="G3" s="15"/>
      <c r="H3" s="15"/>
      <c r="I3" s="15"/>
      <c r="J3" s="15"/>
      <c r="K3" s="15"/>
      <c r="L3" s="701"/>
      <c r="M3" s="701"/>
      <c r="N3" s="701"/>
      <c r="O3" s="701"/>
      <c r="P3" s="701"/>
      <c r="Q3" s="701"/>
      <c r="R3" s="701"/>
      <c r="S3" s="701"/>
      <c r="T3" s="701"/>
      <c r="U3" s="701"/>
      <c r="V3" s="701"/>
      <c r="W3" s="701"/>
      <c r="X3" s="701"/>
      <c r="Y3" s="701"/>
      <c r="Z3" s="701"/>
    </row>
    <row r="4" spans="1:32" s="38" customFormat="1" ht="86.25" customHeight="1">
      <c r="A4" s="10" t="s">
        <v>0</v>
      </c>
      <c r="B4" s="756" t="s">
        <v>1</v>
      </c>
      <c r="C4" s="10" t="s">
        <v>2</v>
      </c>
      <c r="D4" s="10" t="s">
        <v>113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9</v>
      </c>
      <c r="J4" s="10" t="s">
        <v>215</v>
      </c>
      <c r="K4" s="10" t="s">
        <v>10</v>
      </c>
      <c r="L4" s="10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10" t="s">
        <v>13</v>
      </c>
      <c r="W4" s="10" t="s">
        <v>14</v>
      </c>
      <c r="X4" s="10" t="s">
        <v>15</v>
      </c>
      <c r="Y4" s="10" t="s">
        <v>354</v>
      </c>
      <c r="Z4" s="10" t="s">
        <v>105</v>
      </c>
      <c r="AA4" s="18" t="s">
        <v>410</v>
      </c>
      <c r="AB4" s="10" t="s">
        <v>16</v>
      </c>
      <c r="AC4" s="618"/>
      <c r="AD4" s="20"/>
    </row>
    <row r="5" spans="1:32" s="5" customFormat="1">
      <c r="A5" s="3"/>
      <c r="B5" s="706"/>
      <c r="C5" s="1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25"/>
      <c r="AB5" s="3"/>
      <c r="AC5" s="618"/>
      <c r="AD5" s="20"/>
    </row>
    <row r="6" spans="1:32" s="5" customFormat="1" ht="27.6">
      <c r="A6" s="3">
        <f>A5+1</f>
        <v>1</v>
      </c>
      <c r="B6" s="706">
        <f>'תקציב הנדסה 2020 '!B6</f>
        <v>179</v>
      </c>
      <c r="C6" s="87" t="str">
        <f>'תקציב הנדסה 2020 '!C6</f>
        <v>יעודי קרקע -מפת בסיס</v>
      </c>
      <c r="D6" s="4">
        <f>'תקציב הנדסה 2020 '!D6</f>
        <v>3170250</v>
      </c>
      <c r="E6" s="4">
        <f>'תקציב הנדסה 2020 '!E6</f>
        <v>3000000</v>
      </c>
      <c r="F6" s="4">
        <f>'תקציב הנדסה 2020 '!F6</f>
        <v>170250</v>
      </c>
      <c r="G6" s="4">
        <f>'תקציב הנדסה 2020 '!G6</f>
        <v>2970250</v>
      </c>
      <c r="H6" s="4">
        <f>'תקציב הנדסה 2020 '!H6</f>
        <v>2858878.69</v>
      </c>
      <c r="I6" s="4">
        <f>'תקציב הנדסה 2020 '!I6</f>
        <v>0</v>
      </c>
      <c r="J6" s="4">
        <f>'תקציב הנדסה 2020 '!J6</f>
        <v>27296.1</v>
      </c>
      <c r="K6" s="4">
        <f>'תקציב הנדסה 2020 '!K6</f>
        <v>27296.1</v>
      </c>
      <c r="L6" s="4">
        <f>'תקציב הנדסה 2020 '!L6</f>
        <v>2886174.79</v>
      </c>
      <c r="M6" s="4">
        <f>'תקציב הנדסה 2020 '!M6</f>
        <v>84075.209999999963</v>
      </c>
      <c r="N6" s="4">
        <f>'תקציב הנדסה 2020 '!N6</f>
        <v>200000</v>
      </c>
      <c r="O6" s="4">
        <f>'תקציב הנדסה 2020 '!O6</f>
        <v>0</v>
      </c>
      <c r="P6" s="4">
        <f>'תקציב הנדסה 2020 '!P6</f>
        <v>84075.209999999963</v>
      </c>
      <c r="Q6" s="4">
        <f>'תקציב הנדסה 2020 '!Q6</f>
        <v>0</v>
      </c>
      <c r="R6" s="4">
        <f>'תקציב הנדסה 2020 '!R6</f>
        <v>0</v>
      </c>
      <c r="S6" s="4">
        <f>'תקציב הנדסה 2020 '!S6</f>
        <v>0</v>
      </c>
      <c r="T6" s="4">
        <f>'תקציב הנדסה 2020 '!T6</f>
        <v>0</v>
      </c>
      <c r="U6" s="4">
        <f>'תקציב הנדסה 2020 '!U6</f>
        <v>200000</v>
      </c>
      <c r="V6" s="4">
        <f>'תקציב הנדסה 2020 '!V6</f>
        <v>200000</v>
      </c>
      <c r="W6" s="4">
        <f>'תקציב הנדסה 2020 '!W6</f>
        <v>0</v>
      </c>
      <c r="X6" s="4">
        <f>'תקציב הנדסה 2020 '!X6</f>
        <v>0</v>
      </c>
      <c r="Y6" s="4">
        <f>'תקציב הנדסה 2020 '!Y6</f>
        <v>0</v>
      </c>
      <c r="Z6" s="4">
        <f>'תקציב הנדסה 2020 '!Z6</f>
        <v>0</v>
      </c>
      <c r="AA6" s="87" t="str">
        <f>'תקציב הנדסה 2020 '!AA6</f>
        <v>עדכון מע. מידע הנדסי כתוצאה משינוי ייעודי קרקע עקב החלטות ועדות התכנון.</v>
      </c>
      <c r="AB6" s="706">
        <f>'תקציב הנדסה 2020 '!AB6</f>
        <v>732000</v>
      </c>
      <c r="AC6" s="618"/>
      <c r="AD6" s="52"/>
    </row>
    <row r="7" spans="1:32" s="5" customFormat="1" ht="19.95" customHeight="1">
      <c r="A7" s="3">
        <f>A6+1</f>
        <v>2</v>
      </c>
      <c r="B7" s="706">
        <f>'תקציב הנדסה 2020 '!B7</f>
        <v>304</v>
      </c>
      <c r="C7" s="87" t="str">
        <f>'תקציב הנדסה 2020 '!C7</f>
        <v>פיתוח פארק הבאסה</v>
      </c>
      <c r="D7" s="4">
        <f>'תקציב הנדסה 2020 '!D7</f>
        <v>54930000</v>
      </c>
      <c r="E7" s="4">
        <f>'תקציב הנדסה 2020 '!E7</f>
        <v>54930000</v>
      </c>
      <c r="F7" s="4">
        <f>'תקציב הנדסה 2020 '!F7</f>
        <v>0</v>
      </c>
      <c r="G7" s="4">
        <f>'תקציב הנדסה 2020 '!G7</f>
        <v>54930000</v>
      </c>
      <c r="H7" s="4">
        <f>'תקציב הנדסה 2020 '!H7</f>
        <v>54780522.609999999</v>
      </c>
      <c r="I7" s="4">
        <f>'תקציב הנדסה 2020 '!I7</f>
        <v>149074.13</v>
      </c>
      <c r="J7" s="4">
        <f>'תקציב הנדסה 2020 '!J7</f>
        <v>0</v>
      </c>
      <c r="K7" s="4">
        <f>'תקציב הנדסה 2020 '!K7</f>
        <v>149074.13</v>
      </c>
      <c r="L7" s="4">
        <f>'תקציב הנדסה 2020 '!L7</f>
        <v>54929596.740000002</v>
      </c>
      <c r="M7" s="4">
        <f>'תקציב הנדסה 2020 '!M7</f>
        <v>403.25999999791384</v>
      </c>
      <c r="N7" s="4">
        <f>'תקציב הנדסה 2020 '!N7</f>
        <v>0</v>
      </c>
      <c r="O7" s="4">
        <f>'תקציב הנדסה 2020 '!O7</f>
        <v>0</v>
      </c>
      <c r="P7" s="4">
        <f>'תקציב הנדסה 2020 '!P7</f>
        <v>403.25999999791384</v>
      </c>
      <c r="Q7" s="4">
        <f>'תקציב הנדסה 2020 '!Q7</f>
        <v>0</v>
      </c>
      <c r="R7" s="4">
        <f>'תקציב הנדסה 2020 '!R7</f>
        <v>0</v>
      </c>
      <c r="S7" s="4">
        <f>'תקציב הנדסה 2020 '!S7</f>
        <v>0</v>
      </c>
      <c r="T7" s="4">
        <f>'תקציב הנדסה 2020 '!T7</f>
        <v>0</v>
      </c>
      <c r="U7" s="4">
        <f>'תקציב הנדסה 2020 '!U7</f>
        <v>0</v>
      </c>
      <c r="V7" s="4">
        <f>'תקציב הנדסה 2020 '!V7</f>
        <v>0</v>
      </c>
      <c r="W7" s="4">
        <f>'תקציב הנדסה 2020 '!W7</f>
        <v>0</v>
      </c>
      <c r="X7" s="4">
        <f>'תקציב הנדסה 2020 '!X7</f>
        <v>0</v>
      </c>
      <c r="Y7" s="4">
        <f>'תקציב הנדסה 2020 '!Y7</f>
        <v>0</v>
      </c>
      <c r="Z7" s="4">
        <f>'תקציב הנדסה 2020 '!Z7</f>
        <v>0</v>
      </c>
      <c r="AA7" s="87">
        <f>'תקציב הנדסה 2020 '!AA7</f>
        <v>0</v>
      </c>
      <c r="AB7" s="706">
        <f>'תקציב הנדסה 2020 '!AB7</f>
        <v>746000</v>
      </c>
      <c r="AC7" s="619"/>
      <c r="AD7" s="52"/>
      <c r="AE7" s="6"/>
      <c r="AF7" s="6"/>
    </row>
    <row r="8" spans="1:32" s="5" customFormat="1" ht="27.6">
      <c r="A8" s="3">
        <f t="shared" ref="A8:A71" si="0">A7+1</f>
        <v>3</v>
      </c>
      <c r="B8" s="706">
        <f>'תקציב הנדסה 2020 '!B8</f>
        <v>507</v>
      </c>
      <c r="C8" s="87" t="str">
        <f>'תקציב הנדסה 2020 '!C8</f>
        <v>החלפת מדרכות</v>
      </c>
      <c r="D8" s="4">
        <f>'תקציב הנדסה 2020 '!D8</f>
        <v>2310000</v>
      </c>
      <c r="E8" s="4">
        <f>'תקציב הנדסה 2020 '!E8</f>
        <v>2310000</v>
      </c>
      <c r="F8" s="4">
        <f>'תקציב הנדסה 2020 '!F8</f>
        <v>0</v>
      </c>
      <c r="G8" s="4">
        <f>'תקציב הנדסה 2020 '!G8</f>
        <v>1765000</v>
      </c>
      <c r="H8" s="4">
        <f>'תקציב הנדסה 2020 '!H8</f>
        <v>1653104.23</v>
      </c>
      <c r="I8" s="4">
        <f>'תקציב הנדסה 2020 '!I8</f>
        <v>0</v>
      </c>
      <c r="J8" s="4">
        <f>'תקציב הנדסה 2020 '!J8</f>
        <v>0</v>
      </c>
      <c r="K8" s="4">
        <f>'תקציב הנדסה 2020 '!K8</f>
        <v>0</v>
      </c>
      <c r="L8" s="4">
        <f>'תקציב הנדסה 2020 '!L8</f>
        <v>1653104.23</v>
      </c>
      <c r="M8" s="4">
        <f>'תקציב הנדסה 2020 '!M8</f>
        <v>161895.77000000002</v>
      </c>
      <c r="N8" s="4">
        <f>'תקציב הנדסה 2020 '!N8</f>
        <v>150000</v>
      </c>
      <c r="O8" s="4">
        <f>'תקציב הנדסה 2020 '!O8</f>
        <v>345000</v>
      </c>
      <c r="P8" s="4">
        <f>'תקציב הנדסה 2020 '!P8</f>
        <v>111895.77000000002</v>
      </c>
      <c r="Q8" s="4">
        <f>'תקציב הנדסה 2020 '!Q8</f>
        <v>50000</v>
      </c>
      <c r="R8" s="4">
        <f>'תקציב הנדסה 2020 '!R8</f>
        <v>0</v>
      </c>
      <c r="S8" s="4">
        <f>'תקציב הנדסה 2020 '!S8</f>
        <v>50000</v>
      </c>
      <c r="T8" s="4">
        <f>'תקציב הנדסה 2020 '!T8</f>
        <v>0</v>
      </c>
      <c r="U8" s="4">
        <f>'תקציב הנדסה 2020 '!U8</f>
        <v>150000</v>
      </c>
      <c r="V8" s="4">
        <f>'תקציב הנדסה 2020 '!V8</f>
        <v>150000</v>
      </c>
      <c r="W8" s="4">
        <f>'תקציב הנדסה 2020 '!W8</f>
        <v>0</v>
      </c>
      <c r="X8" s="4">
        <f>'תקציב הנדסה 2020 '!X8</f>
        <v>0</v>
      </c>
      <c r="Y8" s="4">
        <f>'תקציב הנדסה 2020 '!Y8</f>
        <v>0</v>
      </c>
      <c r="Z8" s="4">
        <f>'תקציב הנדסה 2020 '!Z8</f>
        <v>0</v>
      </c>
      <c r="AA8" s="87" t="str">
        <f>'תקציב הנדסה 2020 '!AA8</f>
        <v>מסגרת ביצוע  עבודות מדרכות לאחר השלמת עבודות בניה כתוצאה מהיתרים.</v>
      </c>
      <c r="AB8" s="706">
        <f>'תקציב הנדסה 2020 '!AB8</f>
        <v>742000</v>
      </c>
      <c r="AC8" s="619"/>
      <c r="AD8" s="52"/>
      <c r="AE8" s="6"/>
      <c r="AF8" s="6"/>
    </row>
    <row r="9" spans="1:32" s="5" customFormat="1" ht="19.95" customHeight="1">
      <c r="A9" s="3">
        <f t="shared" si="0"/>
        <v>4</v>
      </c>
      <c r="B9" s="706">
        <f>'תקציב הנדסה 2020 '!B9</f>
        <v>546</v>
      </c>
      <c r="C9" s="87" t="str">
        <f>'תקציב הנדסה 2020 '!C9</f>
        <v>מתחם הגאון מוילנא חתם סופר</v>
      </c>
      <c r="D9" s="4">
        <f>'תקציב הנדסה 2020 '!D9</f>
        <v>2920000</v>
      </c>
      <c r="E9" s="4">
        <f>'תקציב הנדסה 2020 '!E9</f>
        <v>2920000</v>
      </c>
      <c r="F9" s="4">
        <f>'תקציב הנדסה 2020 '!F9</f>
        <v>0</v>
      </c>
      <c r="G9" s="4">
        <f>'תקציב הנדסה 2020 '!G9</f>
        <v>2920000</v>
      </c>
      <c r="H9" s="4">
        <f>'תקציב הנדסה 2020 '!H9</f>
        <v>2895703.4</v>
      </c>
      <c r="I9" s="4">
        <f>'תקציב הנדסה 2020 '!I9</f>
        <v>0</v>
      </c>
      <c r="J9" s="4">
        <f>'תקציב הנדסה 2020 '!J9</f>
        <v>18052.75</v>
      </c>
      <c r="K9" s="4">
        <f>'תקציב הנדסה 2020 '!K9</f>
        <v>18052.75</v>
      </c>
      <c r="L9" s="4">
        <f>'תקציב הנדסה 2020 '!L9</f>
        <v>2913756.15</v>
      </c>
      <c r="M9" s="4">
        <f>'תקציב הנדסה 2020 '!M9</f>
        <v>6243.8500000000931</v>
      </c>
      <c r="N9" s="4">
        <f>'תקציב הנדסה 2020 '!N9</f>
        <v>0</v>
      </c>
      <c r="O9" s="4">
        <f>'תקציב הנדסה 2020 '!O9</f>
        <v>0</v>
      </c>
      <c r="P9" s="4">
        <f>'תקציב הנדסה 2020 '!P9</f>
        <v>6243.8500000000931</v>
      </c>
      <c r="Q9" s="4">
        <f>'תקציב הנדסה 2020 '!Q9</f>
        <v>0</v>
      </c>
      <c r="R9" s="4">
        <f>'תקציב הנדסה 2020 '!R9</f>
        <v>0</v>
      </c>
      <c r="S9" s="4">
        <f>'תקציב הנדסה 2020 '!S9</f>
        <v>0</v>
      </c>
      <c r="T9" s="4">
        <f>'תקציב הנדסה 2020 '!T9</f>
        <v>0</v>
      </c>
      <c r="U9" s="4">
        <f>'תקציב הנדסה 2020 '!U9</f>
        <v>0</v>
      </c>
      <c r="V9" s="4">
        <f>'תקציב הנדסה 2020 '!V9</f>
        <v>0</v>
      </c>
      <c r="W9" s="4">
        <f>'תקציב הנדסה 2020 '!W9</f>
        <v>0</v>
      </c>
      <c r="X9" s="4">
        <f>'תקציב הנדסה 2020 '!X9</f>
        <v>0</v>
      </c>
      <c r="Y9" s="4">
        <f>'תקציב הנדסה 2020 '!Y9</f>
        <v>0</v>
      </c>
      <c r="Z9" s="4">
        <f>'תקציב הנדסה 2020 '!Z9</f>
        <v>0</v>
      </c>
      <c r="AA9" s="87">
        <f>'תקציב הנדסה 2020 '!AA9</f>
        <v>0</v>
      </c>
      <c r="AB9" s="706">
        <f>'תקציב הנדסה 2020 '!AB9</f>
        <v>742000</v>
      </c>
      <c r="AC9" s="619"/>
      <c r="AD9" s="52"/>
    </row>
    <row r="10" spans="1:32" s="5" customFormat="1" ht="27.6">
      <c r="A10" s="3">
        <f t="shared" si="0"/>
        <v>5</v>
      </c>
      <c r="B10" s="706">
        <f>'תקציב הנדסה 2020 '!B10</f>
        <v>592</v>
      </c>
      <c r="C10" s="87" t="str">
        <f>'תקציב הנדסה 2020 '!C10</f>
        <v>מתחם הבריגדה מתחם הר' 1960</v>
      </c>
      <c r="D10" s="4">
        <f>'תקציב הנדסה 2020 '!D10</f>
        <v>54893000</v>
      </c>
      <c r="E10" s="4">
        <f>'תקציב הנדסה 2020 '!E10</f>
        <v>54893000</v>
      </c>
      <c r="F10" s="4">
        <f>'תקציב הנדסה 2020 '!F10</f>
        <v>0</v>
      </c>
      <c r="G10" s="4">
        <f>'תקציב הנדסה 2020 '!G10</f>
        <v>20720000</v>
      </c>
      <c r="H10" s="4">
        <f>'תקציב הנדסה 2020 '!H10</f>
        <v>17898437.039999999</v>
      </c>
      <c r="I10" s="4">
        <f>'תקציב הנדסה 2020 '!I10</f>
        <v>149113.19</v>
      </c>
      <c r="J10" s="4">
        <f>'תקציב הנדסה 2020 '!J10</f>
        <v>2319961.1</v>
      </c>
      <c r="K10" s="4">
        <f>'תקציב הנדסה 2020 '!K10</f>
        <v>2469074.29</v>
      </c>
      <c r="L10" s="4">
        <f>'תקציב הנדסה 2020 '!L10</f>
        <v>20367511.329999998</v>
      </c>
      <c r="M10" s="4">
        <f>'תקציב הנדסה 2020 '!M10</f>
        <v>352488.67000000179</v>
      </c>
      <c r="N10" s="4">
        <f>'תקציב הנדסה 2020 '!N10</f>
        <v>1300000</v>
      </c>
      <c r="O10" s="4">
        <f>'תקציב הנדסה 2020 '!O10</f>
        <v>32873000</v>
      </c>
      <c r="P10" s="4">
        <f>'תקציב הנדסה 2020 '!P10</f>
        <v>352488.67000000179</v>
      </c>
      <c r="Q10" s="4">
        <f>'תקציב הנדסה 2020 '!Q10</f>
        <v>0</v>
      </c>
      <c r="R10" s="4">
        <f>'תקציב הנדסה 2020 '!R10</f>
        <v>0</v>
      </c>
      <c r="S10" s="4">
        <f>'תקציב הנדסה 2020 '!S10</f>
        <v>0</v>
      </c>
      <c r="T10" s="4">
        <f>'תקציב הנדסה 2020 '!T10</f>
        <v>0</v>
      </c>
      <c r="U10" s="4">
        <f>'תקציב הנדסה 2020 '!U10</f>
        <v>1300000</v>
      </c>
      <c r="V10" s="4">
        <f>'תקציב הנדסה 2020 '!V10</f>
        <v>1300000</v>
      </c>
      <c r="W10" s="4">
        <f>'תקציב הנדסה 2020 '!W10</f>
        <v>0</v>
      </c>
      <c r="X10" s="4">
        <f>'תקציב הנדסה 2020 '!X10</f>
        <v>0</v>
      </c>
      <c r="Y10" s="4">
        <f>'תקציב הנדסה 2020 '!Y10</f>
        <v>0</v>
      </c>
      <c r="Z10" s="4">
        <f>'תקציב הנדסה 2020 '!Z10</f>
        <v>0</v>
      </c>
      <c r="AA10" s="87" t="str">
        <f>'תקציב הנדסה 2020 '!AA10</f>
        <v>ביצוע  עבודות סלילה ופיתוח סופי רח' דן שומרון. תכנון רח' דורי.</v>
      </c>
      <c r="AB10" s="706">
        <f>'תקציב הנדסה 2020 '!AB10</f>
        <v>742000</v>
      </c>
      <c r="AC10" s="619"/>
      <c r="AD10" s="52"/>
      <c r="AE10" s="6"/>
      <c r="AF10" s="6"/>
    </row>
    <row r="11" spans="1:32" s="5" customFormat="1" ht="19.95" customHeight="1">
      <c r="A11" s="3">
        <f t="shared" si="0"/>
        <v>6</v>
      </c>
      <c r="B11" s="706">
        <f>'תקציב הנדסה 2020 '!B11</f>
        <v>608</v>
      </c>
      <c r="C11" s="87" t="str">
        <f>'תקציב הנדסה 2020 '!C11</f>
        <v>עבודות ניקוז בעיר</v>
      </c>
      <c r="D11" s="4">
        <f>'תקציב הנדסה 2020 '!D11</f>
        <v>8300000</v>
      </c>
      <c r="E11" s="4">
        <f>'תקציב הנדסה 2020 '!E11</f>
        <v>8300000</v>
      </c>
      <c r="F11" s="4">
        <f>'תקציב הנדסה 2020 '!F11</f>
        <v>0</v>
      </c>
      <c r="G11" s="4">
        <f>'תקציב הנדסה 2020 '!G11</f>
        <v>6200000</v>
      </c>
      <c r="H11" s="4">
        <f>'תקציב הנדסה 2020 '!H11</f>
        <v>5233021.67</v>
      </c>
      <c r="I11" s="4">
        <f>'תקציב הנדסה 2020 '!I11</f>
        <v>0</v>
      </c>
      <c r="J11" s="4">
        <f>'תקציב הנדסה 2020 '!J11</f>
        <v>366573.76</v>
      </c>
      <c r="K11" s="4">
        <f>'תקציב הנדסה 2020 '!K11</f>
        <v>366573.76</v>
      </c>
      <c r="L11" s="4">
        <f>'תקציב הנדסה 2020 '!L11</f>
        <v>5599595.4299999997</v>
      </c>
      <c r="M11" s="4">
        <f>'תקציב הנדסה 2020 '!M11</f>
        <v>400404.5700000003</v>
      </c>
      <c r="N11" s="4">
        <f>'תקציב הנדסה 2020 '!N11</f>
        <v>200000</v>
      </c>
      <c r="O11" s="4">
        <f>'תקציב הנדסה 2020 '!O11</f>
        <v>2100000</v>
      </c>
      <c r="P11" s="4">
        <f>'תקציב הנדסה 2020 '!P11</f>
        <v>600404.5700000003</v>
      </c>
      <c r="Q11" s="4">
        <f>'תקציב הנדסה 2020 '!Q11</f>
        <v>0</v>
      </c>
      <c r="R11" s="4">
        <f>'תקציב הנדסה 2020 '!R11</f>
        <v>0</v>
      </c>
      <c r="S11" s="4">
        <f>'תקציב הנדסה 2020 '!S11</f>
        <v>0</v>
      </c>
      <c r="T11" s="4">
        <f>'תקציב הנדסה 2020 '!T11</f>
        <v>200000</v>
      </c>
      <c r="U11" s="4">
        <f>'תקציב הנדסה 2020 '!U11</f>
        <v>0</v>
      </c>
      <c r="V11" s="4">
        <f>'תקציב הנדסה 2020 '!V11</f>
        <v>0</v>
      </c>
      <c r="W11" s="4">
        <f>'תקציב הנדסה 2020 '!W11</f>
        <v>0</v>
      </c>
      <c r="X11" s="4">
        <f>'תקציב הנדסה 2020 '!X11</f>
        <v>0</v>
      </c>
      <c r="Y11" s="4">
        <f>'תקציב הנדסה 2020 '!Y11</f>
        <v>0</v>
      </c>
      <c r="Z11" s="4">
        <f>'תקציב הנדסה 2020 '!Z11</f>
        <v>0</v>
      </c>
      <c r="AA11" s="87" t="str">
        <f>'תקציב הנדסה 2020 '!AA11</f>
        <v>סל עבודות ניקוז ברחבי העיר .</v>
      </c>
      <c r="AB11" s="706">
        <f>'תקציב הנדסה 2020 '!AB11</f>
        <v>745000</v>
      </c>
      <c r="AC11" s="619"/>
      <c r="AD11" s="52"/>
    </row>
    <row r="12" spans="1:32" s="6" customFormat="1" ht="41.4">
      <c r="A12" s="3">
        <f t="shared" si="0"/>
        <v>7</v>
      </c>
      <c r="B12" s="706">
        <f>'תקציב הנדסה 2020 '!B12</f>
        <v>626</v>
      </c>
      <c r="C12" s="87" t="str">
        <f>'תקציב הנדסה 2020 '!C12</f>
        <v xml:space="preserve">תכנון וביצוע  תוכנית אב לשבילי אופניים </v>
      </c>
      <c r="D12" s="4">
        <f>'תקציב הנדסה 2020 '!D12</f>
        <v>25195000</v>
      </c>
      <c r="E12" s="4">
        <f>'תקציב הנדסה 2020 '!E12</f>
        <v>20025000</v>
      </c>
      <c r="F12" s="4">
        <f>'תקציב הנדסה 2020 '!F12</f>
        <v>5170000</v>
      </c>
      <c r="G12" s="4">
        <f>'תקציב הנדסה 2020 '!G12</f>
        <v>14775000</v>
      </c>
      <c r="H12" s="4">
        <f>'תקציב הנדסה 2020 '!H12</f>
        <v>13572560.42</v>
      </c>
      <c r="I12" s="4">
        <f>'תקציב הנדסה 2020 '!I12</f>
        <v>277593.86</v>
      </c>
      <c r="J12" s="4">
        <f>'תקציב הנדסה 2020 '!J12</f>
        <v>64255.41</v>
      </c>
      <c r="K12" s="4">
        <f>'תקציב הנדסה 2020 '!K12</f>
        <v>341849.27</v>
      </c>
      <c r="L12" s="4">
        <f>'תקציב הנדסה 2020 '!L12</f>
        <v>13914409.689999999</v>
      </c>
      <c r="M12" s="4">
        <f>'תקציב הנדסה 2020 '!M12</f>
        <v>860590.31000000052</v>
      </c>
      <c r="N12" s="4">
        <f>'תקציב הנדסה 2020 '!N12</f>
        <v>3000000</v>
      </c>
      <c r="O12" s="4">
        <f>'תקציב הנדסה 2020 '!O12</f>
        <v>7420000</v>
      </c>
      <c r="P12" s="4">
        <f>'תקציב הנדסה 2020 '!P12</f>
        <v>860590.31000000052</v>
      </c>
      <c r="Q12" s="4">
        <f>'תקציב הנדסה 2020 '!Q12</f>
        <v>0</v>
      </c>
      <c r="R12" s="4">
        <f>'תקציב הנדסה 2020 '!R12</f>
        <v>0</v>
      </c>
      <c r="S12" s="4">
        <f>'תקציב הנדסה 2020 '!S12</f>
        <v>0</v>
      </c>
      <c r="T12" s="4">
        <f>'תקציב הנדסה 2020 '!T12</f>
        <v>0</v>
      </c>
      <c r="U12" s="4">
        <f>'תקציב הנדסה 2020 '!U12</f>
        <v>3000000</v>
      </c>
      <c r="V12" s="4">
        <f>'תקציב הנדסה 2020 '!V12</f>
        <v>3000000</v>
      </c>
      <c r="W12" s="4">
        <f>'תקציב הנדסה 2020 '!W12</f>
        <v>0</v>
      </c>
      <c r="X12" s="4">
        <f>'תקציב הנדסה 2020 '!X12</f>
        <v>0</v>
      </c>
      <c r="Y12" s="4">
        <f>'תקציב הנדסה 2020 '!Y12</f>
        <v>0</v>
      </c>
      <c r="Z12" s="4">
        <f>'תקציב הנדסה 2020 '!Z12</f>
        <v>0</v>
      </c>
      <c r="AA12" s="87" t="str">
        <f>'תקציב הנדסה 2020 '!AA12</f>
        <v>תכנון וביצוע שבילי אופנים וביצוע ברחבי העיר . ב - 2020 : תכנון: רח' הבנים, גן רשל, ארלוזרוב,הדר ,לפקין שחק.</v>
      </c>
      <c r="AB12" s="706">
        <f>'תקציב הנדסה 2020 '!AB12</f>
        <v>732000</v>
      </c>
      <c r="AC12" s="620"/>
      <c r="AD12" s="52"/>
      <c r="AE12" s="5"/>
      <c r="AF12" s="5"/>
    </row>
    <row r="13" spans="1:32" s="5" customFormat="1" ht="27.6">
      <c r="A13" s="3">
        <f t="shared" si="0"/>
        <v>8</v>
      </c>
      <c r="B13" s="706">
        <f>'תקציב הנדסה 2020 '!B13</f>
        <v>638</v>
      </c>
      <c r="C13" s="87" t="str">
        <f>'תקציב הנדסה 2020 '!C13</f>
        <v>פיתוח מתחם רזיאל מע' תב"ע 1706</v>
      </c>
      <c r="D13" s="4">
        <f>'תקציב הנדסה 2020 '!D13</f>
        <v>7000000</v>
      </c>
      <c r="E13" s="4">
        <f>'תקציב הנדסה 2020 '!E13</f>
        <v>7000000</v>
      </c>
      <c r="F13" s="4">
        <f>'תקציב הנדסה 2020 '!F13</f>
        <v>0</v>
      </c>
      <c r="G13" s="4">
        <f>'תקציב הנדסה 2020 '!G13</f>
        <v>4600000</v>
      </c>
      <c r="H13" s="4">
        <f>'תקציב הנדסה 2020 '!H13</f>
        <v>3454838.96</v>
      </c>
      <c r="I13" s="4">
        <f>'תקציב הנדסה 2020 '!I13</f>
        <v>0</v>
      </c>
      <c r="J13" s="4">
        <f>'תקציב הנדסה 2020 '!J13</f>
        <v>480319.16</v>
      </c>
      <c r="K13" s="4">
        <f>'תקציב הנדסה 2020 '!K13</f>
        <v>480319.16</v>
      </c>
      <c r="L13" s="4">
        <f>'תקציב הנדסה 2020 '!L13</f>
        <v>3935158.12</v>
      </c>
      <c r="M13" s="4">
        <f>'תקציב הנדסה 2020 '!M13</f>
        <v>664841.87999999989</v>
      </c>
      <c r="N13" s="4">
        <f>'תקציב הנדסה 2020 '!N13</f>
        <v>0</v>
      </c>
      <c r="O13" s="4">
        <f>'תקציב הנדסה 2020 '!O13</f>
        <v>2400000</v>
      </c>
      <c r="P13" s="4">
        <f>'תקציב הנדסה 2020 '!P13</f>
        <v>664841.87999999989</v>
      </c>
      <c r="Q13" s="4">
        <f>'תקציב הנדסה 2020 '!Q13</f>
        <v>0</v>
      </c>
      <c r="R13" s="4">
        <f>'תקציב הנדסה 2020 '!R13</f>
        <v>0</v>
      </c>
      <c r="S13" s="4">
        <f>'תקציב הנדסה 2020 '!S13</f>
        <v>0</v>
      </c>
      <c r="T13" s="4">
        <f>'תקציב הנדסה 2020 '!T13</f>
        <v>0</v>
      </c>
      <c r="U13" s="4">
        <f>'תקציב הנדסה 2020 '!U13</f>
        <v>0</v>
      </c>
      <c r="V13" s="4">
        <f>'תקציב הנדסה 2020 '!V13</f>
        <v>0</v>
      </c>
      <c r="W13" s="4">
        <f>'תקציב הנדסה 2020 '!W13</f>
        <v>0</v>
      </c>
      <c r="X13" s="4">
        <f>'תקציב הנדסה 2020 '!X13</f>
        <v>0</v>
      </c>
      <c r="Y13" s="4">
        <f>'תקציב הנדסה 2020 '!Y13</f>
        <v>0</v>
      </c>
      <c r="Z13" s="4">
        <f>'תקציב הנדסה 2020 '!Z13</f>
        <v>0</v>
      </c>
      <c r="AA13" s="87" t="str">
        <f>'תקציב הנדסה 2020 '!AA13</f>
        <v>פיתוח  ברח' העפרוני וזאב במתחם. הביצוע כולל תאורה וסלילת רחוב משולב .</v>
      </c>
      <c r="AB13" s="706">
        <f>'תקציב הנדסה 2020 '!AB13</f>
        <v>742000</v>
      </c>
      <c r="AC13" s="618"/>
      <c r="AD13" s="52"/>
    </row>
    <row r="14" spans="1:32" s="5" customFormat="1" ht="27.6">
      <c r="A14" s="3">
        <f t="shared" si="0"/>
        <v>9</v>
      </c>
      <c r="B14" s="706">
        <f>'תקציב הנדסה 2020 '!B14</f>
        <v>1018</v>
      </c>
      <c r="C14" s="87" t="str">
        <f>'תקציב הנדסה 2020 '!C14</f>
        <v>מחלף הרב מכר</v>
      </c>
      <c r="D14" s="4">
        <f>'תקציב הנדסה 2020 '!D14</f>
        <v>31900000</v>
      </c>
      <c r="E14" s="4">
        <f>'תקציב הנדסה 2020 '!E14</f>
        <v>31900000</v>
      </c>
      <c r="F14" s="4">
        <f>'תקציב הנדסה 2020 '!F14</f>
        <v>0</v>
      </c>
      <c r="G14" s="4">
        <f>'תקציב הנדסה 2020 '!G14</f>
        <v>5100000</v>
      </c>
      <c r="H14" s="4">
        <f>'תקציב הנדסה 2020 '!H14</f>
        <v>3059670.79</v>
      </c>
      <c r="I14" s="4">
        <f>'תקציב הנדסה 2020 '!I14</f>
        <v>84192.99</v>
      </c>
      <c r="J14" s="4">
        <f>'תקציב הנדסה 2020 '!J14</f>
        <v>0</v>
      </c>
      <c r="K14" s="4">
        <f>'תקציב הנדסה 2020 '!K14</f>
        <v>84192.99</v>
      </c>
      <c r="L14" s="4">
        <f>'תקציב הנדסה 2020 '!L14</f>
        <v>3143863.7800000003</v>
      </c>
      <c r="M14" s="4">
        <f>'תקציב הנדסה 2020 '!M14</f>
        <v>556136.21999999974</v>
      </c>
      <c r="N14" s="4">
        <f>'תקציב הנדסה 2020 '!N14</f>
        <v>0</v>
      </c>
      <c r="O14" s="4">
        <f>'תקציב הנדסה 2020 '!O14</f>
        <v>28200000</v>
      </c>
      <c r="P14" s="4">
        <f>'תקציב הנדסה 2020 '!P14</f>
        <v>1956136.2199999997</v>
      </c>
      <c r="Q14" s="4">
        <f>'תקציב הנדסה 2020 '!Q14</f>
        <v>0</v>
      </c>
      <c r="R14" s="4">
        <f>'תקציב הנדסה 2020 '!R14</f>
        <v>0</v>
      </c>
      <c r="S14" s="4">
        <f>'תקציב הנדסה 2020 '!S14</f>
        <v>0</v>
      </c>
      <c r="T14" s="4">
        <f>'תקציב הנדסה 2020 '!T14</f>
        <v>1400000</v>
      </c>
      <c r="U14" s="4">
        <f>'תקציב הנדסה 2020 '!U14</f>
        <v>-1400000</v>
      </c>
      <c r="V14" s="4">
        <f>'תקציב הנדסה 2020 '!V14</f>
        <v>-1400000</v>
      </c>
      <c r="W14" s="4">
        <f>'תקציב הנדסה 2020 '!W14</f>
        <v>0</v>
      </c>
      <c r="X14" s="4">
        <f>'תקציב הנדסה 2020 '!X14</f>
        <v>0</v>
      </c>
      <c r="Y14" s="4">
        <f>'תקציב הנדסה 2020 '!Y14</f>
        <v>0</v>
      </c>
      <c r="Z14" s="4">
        <f>'תקציב הנדסה 2020 '!Z14</f>
        <v>0</v>
      </c>
      <c r="AA14" s="87" t="str">
        <f>'תקציב הנדסה 2020 '!AA14</f>
        <v>פרויקט ממשלתי המתוקצב ע"י המדינה במקביל לרשות. הביצוע העירוני מתעכב עקב בעית פולש והמינהל.</v>
      </c>
      <c r="AB14" s="706">
        <f>'תקציב הנדסה 2020 '!AB14</f>
        <v>742000</v>
      </c>
      <c r="AC14" s="618"/>
      <c r="AD14" s="52"/>
    </row>
    <row r="15" spans="1:32" s="5" customFormat="1" ht="27.6">
      <c r="A15" s="3">
        <f t="shared" si="0"/>
        <v>10</v>
      </c>
      <c r="B15" s="706">
        <f>'תקציב הנדסה 2020 '!B15</f>
        <v>1100</v>
      </c>
      <c r="C15" s="87" t="str">
        <f>'תקציב הנדסה 2020 '!C15</f>
        <v>תכנון מתחם הר' 2200</v>
      </c>
      <c r="D15" s="4">
        <f>'תקציב הנדסה 2020 '!D15</f>
        <v>7000000</v>
      </c>
      <c r="E15" s="4">
        <f>'תקציב הנדסה 2020 '!E15</f>
        <v>7000000</v>
      </c>
      <c r="F15" s="4">
        <f>'תקציב הנדסה 2020 '!F15</f>
        <v>0</v>
      </c>
      <c r="G15" s="4">
        <f>'תקציב הנדסה 2020 '!G15</f>
        <v>5900000</v>
      </c>
      <c r="H15" s="4">
        <f>'תקציב הנדסה 2020 '!H15</f>
        <v>3232572.1</v>
      </c>
      <c r="I15" s="4">
        <f>'תקציב הנדסה 2020 '!I15</f>
        <v>1951485.78</v>
      </c>
      <c r="J15" s="4">
        <f>'תקציב הנדסה 2020 '!J15</f>
        <v>142466.79</v>
      </c>
      <c r="K15" s="4">
        <f>'תקציב הנדסה 2020 '!K15</f>
        <v>2093952.57</v>
      </c>
      <c r="L15" s="4">
        <f>'תקציב הנדסה 2020 '!L15</f>
        <v>5326524.67</v>
      </c>
      <c r="M15" s="4">
        <f>'תקציב הנדסה 2020 '!M15</f>
        <v>573475.33000000007</v>
      </c>
      <c r="N15" s="4">
        <f>'תקציב הנדסה 2020 '!N15</f>
        <v>400000</v>
      </c>
      <c r="O15" s="4">
        <f>'תקציב הנדסה 2020 '!O15</f>
        <v>700000</v>
      </c>
      <c r="P15" s="4">
        <f>'תקציב הנדסה 2020 '!P15</f>
        <v>573475.33000000007</v>
      </c>
      <c r="Q15" s="4">
        <f>'תקציב הנדסה 2020 '!Q15</f>
        <v>0</v>
      </c>
      <c r="R15" s="4">
        <f>'תקציב הנדסה 2020 '!R15</f>
        <v>0</v>
      </c>
      <c r="S15" s="4">
        <f>'תקציב הנדסה 2020 '!S15</f>
        <v>0</v>
      </c>
      <c r="T15" s="4">
        <f>'תקציב הנדסה 2020 '!T15</f>
        <v>0</v>
      </c>
      <c r="U15" s="4">
        <f>'תקציב הנדסה 2020 '!U15</f>
        <v>400000</v>
      </c>
      <c r="V15" s="4">
        <f>'תקציב הנדסה 2020 '!V15</f>
        <v>400000</v>
      </c>
      <c r="W15" s="4">
        <f>'תקציב הנדסה 2020 '!W15</f>
        <v>0</v>
      </c>
      <c r="X15" s="4">
        <f>'תקציב הנדסה 2020 '!X15</f>
        <v>0</v>
      </c>
      <c r="Y15" s="4">
        <f>'תקציב הנדסה 2020 '!Y15</f>
        <v>0</v>
      </c>
      <c r="Z15" s="4">
        <f>'תקציב הנדסה 2020 '!Z15</f>
        <v>0</v>
      </c>
      <c r="AA15" s="87" t="str">
        <f>'תקציב הנדסה 2020 '!AA15</f>
        <v xml:space="preserve">תכנון מתחם חוף התכלת. עתירה של בעלי הקרקע הפרטיים על השתהות בקידום  התוכנית . </v>
      </c>
      <c r="AB15" s="706">
        <f>'תקציב הנדסה 2020 '!AB15</f>
        <v>732000</v>
      </c>
      <c r="AC15" s="619"/>
      <c r="AD15" s="52"/>
    </row>
    <row r="16" spans="1:32" s="6" customFormat="1" ht="25.8" customHeight="1">
      <c r="A16" s="3">
        <f t="shared" si="0"/>
        <v>11</v>
      </c>
      <c r="B16" s="706">
        <f>'תקציב הנדסה 2020 '!B16</f>
        <v>1129</v>
      </c>
      <c r="C16" s="87" t="str">
        <f>'תקציב הנדסה 2020 '!C16</f>
        <v>עבודות פיתוח ותשתיות קטנות</v>
      </c>
      <c r="D16" s="4">
        <f>'תקציב הנדסה 2020 '!D16</f>
        <v>7000000</v>
      </c>
      <c r="E16" s="4">
        <f>'תקציב הנדסה 2020 '!E16</f>
        <v>7000000</v>
      </c>
      <c r="F16" s="4">
        <f>'תקציב הנדסה 2020 '!F16</f>
        <v>0</v>
      </c>
      <c r="G16" s="4">
        <f>'תקציב הנדסה 2020 '!G16</f>
        <v>5991771</v>
      </c>
      <c r="H16" s="4">
        <f>'תקציב הנדסה 2020 '!H16</f>
        <v>5064670.47</v>
      </c>
      <c r="I16" s="4">
        <f>'תקציב הנדסה 2020 '!I16</f>
        <v>0</v>
      </c>
      <c r="J16" s="4">
        <f>'תקציב הנדסה 2020 '!J16</f>
        <v>229476.89</v>
      </c>
      <c r="K16" s="4">
        <f>'תקציב הנדסה 2020 '!K16</f>
        <v>229476.89</v>
      </c>
      <c r="L16" s="4">
        <f>'תקציב הנדסה 2020 '!L16</f>
        <v>5294147.3599999994</v>
      </c>
      <c r="M16" s="4">
        <f>'תקציב הנדסה 2020 '!M16</f>
        <v>197623.6400000006</v>
      </c>
      <c r="N16" s="4">
        <f>'תקציב הנדסה 2020 '!N16</f>
        <v>500000</v>
      </c>
      <c r="O16" s="4">
        <f>'תקציב הנדסה 2020 '!O16</f>
        <v>1008229</v>
      </c>
      <c r="P16" s="4">
        <f>'תקציב הנדסה 2020 '!P16</f>
        <v>697623.6400000006</v>
      </c>
      <c r="Q16" s="4">
        <f>'תקציב הנדסה 2020 '!Q16</f>
        <v>0</v>
      </c>
      <c r="R16" s="4">
        <f>'תקציב הנדסה 2020 '!R16</f>
        <v>0</v>
      </c>
      <c r="S16" s="4">
        <f>'תקציב הנדסה 2020 '!S16</f>
        <v>0</v>
      </c>
      <c r="T16" s="4">
        <f>'תקציב הנדסה 2020 '!T16</f>
        <v>500000</v>
      </c>
      <c r="U16" s="4">
        <f>'תקציב הנדסה 2020 '!U16</f>
        <v>0</v>
      </c>
      <c r="V16" s="4">
        <f>'תקציב הנדסה 2020 '!V16</f>
        <v>0</v>
      </c>
      <c r="W16" s="4">
        <f>'תקציב הנדסה 2020 '!W16</f>
        <v>0</v>
      </c>
      <c r="X16" s="4">
        <f>'תקציב הנדסה 2020 '!X16</f>
        <v>0</v>
      </c>
      <c r="Y16" s="4">
        <f>'תקציב הנדסה 2020 '!Y16</f>
        <v>0</v>
      </c>
      <c r="Z16" s="4">
        <f>'תקציב הנדסה 2020 '!Z16</f>
        <v>0</v>
      </c>
      <c r="AA16" s="87" t="str">
        <f>'תקציב הנדסה 2020 '!AA16</f>
        <v>סל עבודות פיתוח קטנות מזדמנות הנדרשות במהלך השנה.</v>
      </c>
      <c r="AB16" s="706">
        <f>'תקציב הנדסה 2020 '!AB16</f>
        <v>742000</v>
      </c>
      <c r="AC16" s="618"/>
      <c r="AD16" s="52"/>
      <c r="AE16" s="5"/>
      <c r="AF16" s="5"/>
    </row>
    <row r="17" spans="1:32" s="5" customFormat="1" ht="25.2" customHeight="1">
      <c r="A17" s="3">
        <f t="shared" si="0"/>
        <v>12</v>
      </c>
      <c r="B17" s="706">
        <f>'תקציב הנדסה 2020 '!B17</f>
        <v>1220</v>
      </c>
      <c r="C17" s="87" t="str">
        <f>'תקציב הנדסה 2020 '!C17</f>
        <v>תכנונים כלליים</v>
      </c>
      <c r="D17" s="4">
        <f>'תקציב הנדסה 2020 '!D17</f>
        <v>7000000</v>
      </c>
      <c r="E17" s="4">
        <f>'תקציב הנדסה 2020 '!E17</f>
        <v>7000000</v>
      </c>
      <c r="F17" s="4">
        <f>'תקציב הנדסה 2020 '!F17</f>
        <v>0</v>
      </c>
      <c r="G17" s="4">
        <f>'תקציב הנדסה 2020 '!G17</f>
        <v>5600000</v>
      </c>
      <c r="H17" s="4">
        <f>'תקציב הנדסה 2020 '!H17</f>
        <v>4582039.07</v>
      </c>
      <c r="I17" s="4">
        <f>'תקציב הנדסה 2020 '!I17</f>
        <v>104327.73</v>
      </c>
      <c r="J17" s="4">
        <f>'תקציב הנדסה 2020 '!J17</f>
        <v>313039.26</v>
      </c>
      <c r="K17" s="4">
        <f>'תקציב הנדסה 2020 '!K17</f>
        <v>417366.99</v>
      </c>
      <c r="L17" s="4">
        <f>'תקציב הנדסה 2020 '!L17</f>
        <v>4999406.0600000005</v>
      </c>
      <c r="M17" s="4">
        <f>'תקציב הנדסה 2020 '!M17</f>
        <v>600593.93999999948</v>
      </c>
      <c r="N17" s="4">
        <f>'תקציב הנדסה 2020 '!N17</f>
        <v>700000</v>
      </c>
      <c r="O17" s="4">
        <f>'תקציב הנדסה 2020 '!O17</f>
        <v>700000</v>
      </c>
      <c r="P17" s="4">
        <f>'תקציב הנדסה 2020 '!P17</f>
        <v>600593.93999999948</v>
      </c>
      <c r="Q17" s="4">
        <f>'תקציב הנדסה 2020 '!Q17</f>
        <v>0</v>
      </c>
      <c r="R17" s="4">
        <f>'תקציב הנדסה 2020 '!R17</f>
        <v>0</v>
      </c>
      <c r="S17" s="4">
        <f>'תקציב הנדסה 2020 '!S17</f>
        <v>0</v>
      </c>
      <c r="T17" s="4">
        <f>'תקציב הנדסה 2020 '!T17</f>
        <v>0</v>
      </c>
      <c r="U17" s="4">
        <f>'תקציב הנדסה 2020 '!U17</f>
        <v>700000</v>
      </c>
      <c r="V17" s="4">
        <f>'תקציב הנדסה 2020 '!V17</f>
        <v>700000</v>
      </c>
      <c r="W17" s="4">
        <f>'תקציב הנדסה 2020 '!W17</f>
        <v>0</v>
      </c>
      <c r="X17" s="4">
        <f>'תקציב הנדסה 2020 '!X17</f>
        <v>0</v>
      </c>
      <c r="Y17" s="4">
        <f>'תקציב הנדסה 2020 '!Y17</f>
        <v>0</v>
      </c>
      <c r="Z17" s="4">
        <f>'תקציב הנדסה 2020 '!Z17</f>
        <v>0</v>
      </c>
      <c r="AA17" s="87" t="str">
        <f>'תקציב הנדסה 2020 '!AA17</f>
        <v>סל תכנון של תוכניות ופרויקטים, מדידות ותכנון ראשוני.</v>
      </c>
      <c r="AB17" s="706">
        <f>'תקציב הנדסה 2020 '!AB17</f>
        <v>732000</v>
      </c>
      <c r="AC17" s="619"/>
      <c r="AD17" s="52"/>
    </row>
    <row r="18" spans="1:32" s="5" customFormat="1" ht="19.95" customHeight="1">
      <c r="A18" s="3">
        <f t="shared" si="0"/>
        <v>13</v>
      </c>
      <c r="B18" s="706">
        <f>'תקציב הנדסה 2020 '!B18</f>
        <v>1320</v>
      </c>
      <c r="C18" s="87" t="str">
        <f>'תקציב הנדסה 2020 '!C18</f>
        <v>פארק הבאסה שלב ב'</v>
      </c>
      <c r="D18" s="4">
        <f>'תקציב הנדסה 2020 '!D18</f>
        <v>23500000</v>
      </c>
      <c r="E18" s="4">
        <f>'תקציב הנדסה 2020 '!E18</f>
        <v>23500000</v>
      </c>
      <c r="F18" s="4">
        <f>'תקציב הנדסה 2020 '!F18</f>
        <v>0</v>
      </c>
      <c r="G18" s="4">
        <f>'תקציב הנדסה 2020 '!G18</f>
        <v>21550000</v>
      </c>
      <c r="H18" s="4">
        <f>'תקציב הנדסה 2020 '!H18</f>
        <v>21339439.079999998</v>
      </c>
      <c r="I18" s="4">
        <f>'תקציב הנדסה 2020 '!I18</f>
        <v>204226.2</v>
      </c>
      <c r="J18" s="4">
        <f>'תקציב הנדסה 2020 '!J18</f>
        <v>0</v>
      </c>
      <c r="K18" s="4">
        <f>'תקציב הנדסה 2020 '!K18</f>
        <v>204226.2</v>
      </c>
      <c r="L18" s="4">
        <f>'תקציב הנדסה 2020 '!L18</f>
        <v>21543665.279999997</v>
      </c>
      <c r="M18" s="4">
        <f>'תקציב הנדסה 2020 '!M18</f>
        <v>6334.7200000025332</v>
      </c>
      <c r="N18" s="4">
        <f>'תקציב הנדסה 2020 '!N18</f>
        <v>0</v>
      </c>
      <c r="O18" s="4">
        <f>'תקציב הנדסה 2020 '!O18</f>
        <v>1950000</v>
      </c>
      <c r="P18" s="4">
        <f>'תקציב הנדסה 2020 '!P18</f>
        <v>6334.7200000025332</v>
      </c>
      <c r="Q18" s="4">
        <f>'תקציב הנדסה 2020 '!Q18</f>
        <v>0</v>
      </c>
      <c r="R18" s="4">
        <f>'תקציב הנדסה 2020 '!R18</f>
        <v>0</v>
      </c>
      <c r="S18" s="4">
        <f>'תקציב הנדסה 2020 '!S18</f>
        <v>0</v>
      </c>
      <c r="T18" s="4">
        <f>'תקציב הנדסה 2020 '!T18</f>
        <v>0</v>
      </c>
      <c r="U18" s="4">
        <f>'תקציב הנדסה 2020 '!U18</f>
        <v>0</v>
      </c>
      <c r="V18" s="4">
        <f>'תקציב הנדסה 2020 '!V18</f>
        <v>0</v>
      </c>
      <c r="W18" s="4">
        <f>'תקציב הנדסה 2020 '!W18</f>
        <v>0</v>
      </c>
      <c r="X18" s="4">
        <f>'תקציב הנדסה 2020 '!X18</f>
        <v>0</v>
      </c>
      <c r="Y18" s="4">
        <f>'תקציב הנדסה 2020 '!Y18</f>
        <v>0</v>
      </c>
      <c r="Z18" s="4">
        <f>'תקציב הנדסה 2020 '!Z18</f>
        <v>0</v>
      </c>
      <c r="AA18" s="87">
        <f>'תקציב הנדסה 2020 '!AA18</f>
        <v>0</v>
      </c>
      <c r="AB18" s="706">
        <f>'תקציב הנדסה 2020 '!AB18</f>
        <v>746000</v>
      </c>
      <c r="AC18" s="619"/>
      <c r="AD18" s="52"/>
      <c r="AE18" s="6"/>
      <c r="AF18" s="6"/>
    </row>
    <row r="19" spans="1:32" s="5" customFormat="1" ht="19.95" customHeight="1">
      <c r="A19" s="3">
        <f t="shared" si="0"/>
        <v>14</v>
      </c>
      <c r="B19" s="706">
        <f>'תקציב הנדסה 2020 '!B19</f>
        <v>1324</v>
      </c>
      <c r="C19" s="87" t="str">
        <f>'תקציב הנדסה 2020 '!C19</f>
        <v>שצ"פ אל על והמינהרה</v>
      </c>
      <c r="D19" s="4">
        <f>'תקציב הנדסה 2020 '!D19</f>
        <v>180000</v>
      </c>
      <c r="E19" s="4">
        <f>'תקציב הנדסה 2020 '!E19</f>
        <v>180000</v>
      </c>
      <c r="F19" s="4">
        <f>'תקציב הנדסה 2020 '!F19</f>
        <v>0</v>
      </c>
      <c r="G19" s="4">
        <f>'תקציב הנדסה 2020 '!G19</f>
        <v>180000</v>
      </c>
      <c r="H19" s="4">
        <f>'תקציב הנדסה 2020 '!H19</f>
        <v>120629.48</v>
      </c>
      <c r="I19" s="4">
        <f>'תקציב הנדסה 2020 '!I19</f>
        <v>0</v>
      </c>
      <c r="J19" s="4">
        <f>'תקציב הנדסה 2020 '!J19</f>
        <v>38760</v>
      </c>
      <c r="K19" s="4">
        <f>'תקציב הנדסה 2020 '!K19</f>
        <v>38760</v>
      </c>
      <c r="L19" s="4">
        <f>'תקציב הנדסה 2020 '!L19</f>
        <v>159389.47999999998</v>
      </c>
      <c r="M19" s="4">
        <f>'תקציב הנדסה 2020 '!M19</f>
        <v>20610.520000000019</v>
      </c>
      <c r="N19" s="4">
        <f>'תקציב הנדסה 2020 '!N19</f>
        <v>0</v>
      </c>
      <c r="O19" s="4">
        <f>'תקציב הנדסה 2020 '!O19</f>
        <v>0</v>
      </c>
      <c r="P19" s="4">
        <f>'תקציב הנדסה 2020 '!P19</f>
        <v>20610.520000000019</v>
      </c>
      <c r="Q19" s="4">
        <f>'תקציב הנדסה 2020 '!Q19</f>
        <v>0</v>
      </c>
      <c r="R19" s="4">
        <f>'תקציב הנדסה 2020 '!R19</f>
        <v>0</v>
      </c>
      <c r="S19" s="4">
        <f>'תקציב הנדסה 2020 '!S19</f>
        <v>0</v>
      </c>
      <c r="T19" s="4">
        <f>'תקציב הנדסה 2020 '!T19</f>
        <v>0</v>
      </c>
      <c r="U19" s="4">
        <f>'תקציב הנדסה 2020 '!U19</f>
        <v>0</v>
      </c>
      <c r="V19" s="4">
        <f>'תקציב הנדסה 2020 '!V19</f>
        <v>0</v>
      </c>
      <c r="W19" s="4">
        <f>'תקציב הנדסה 2020 '!W19</f>
        <v>0</v>
      </c>
      <c r="X19" s="4">
        <f>'תקציב הנדסה 2020 '!X19</f>
        <v>0</v>
      </c>
      <c r="Y19" s="4">
        <f>'תקציב הנדסה 2020 '!Y19</f>
        <v>0</v>
      </c>
      <c r="Z19" s="4">
        <f>'תקציב הנדסה 2020 '!Z19</f>
        <v>0</v>
      </c>
      <c r="AA19" s="87">
        <f>'תקציב הנדסה 2020 '!AA19</f>
        <v>0</v>
      </c>
      <c r="AB19" s="706">
        <f>'תקציב הנדסה 2020 '!AB19</f>
        <v>742000</v>
      </c>
      <c r="AC19" s="619"/>
      <c r="AD19" s="52"/>
      <c r="AE19" s="6"/>
      <c r="AF19" s="6"/>
    </row>
    <row r="20" spans="1:32" s="5" customFormat="1" ht="27.6">
      <c r="A20" s="3">
        <f t="shared" si="0"/>
        <v>15</v>
      </c>
      <c r="B20" s="706">
        <f>'תקציב הנדסה 2020 '!B20</f>
        <v>1363</v>
      </c>
      <c r="C20" s="87" t="str">
        <f>'תקציב הנדסה 2020 '!C20</f>
        <v>מתחם יהודה המכבי וזוהר טל</v>
      </c>
      <c r="D20" s="4">
        <f>'תקציב הנדסה 2020 '!D20</f>
        <v>15500000</v>
      </c>
      <c r="E20" s="4">
        <f>'תקציב הנדסה 2020 '!E20</f>
        <v>15500000</v>
      </c>
      <c r="F20" s="4">
        <f>'תקציב הנדסה 2020 '!F20</f>
        <v>0</v>
      </c>
      <c r="G20" s="4">
        <f>'תקציב הנדסה 2020 '!G20</f>
        <v>6050000</v>
      </c>
      <c r="H20" s="4">
        <f>'תקציב הנדסה 2020 '!H20</f>
        <v>934884.96</v>
      </c>
      <c r="I20" s="4">
        <f>'תקציב הנדסה 2020 '!I20</f>
        <v>72509.899999999994</v>
      </c>
      <c r="J20" s="4">
        <f>'תקציב הנדסה 2020 '!J20</f>
        <v>283872.08</v>
      </c>
      <c r="K20" s="4">
        <f>'תקציב הנדסה 2020 '!K20</f>
        <v>356381.98</v>
      </c>
      <c r="L20" s="4">
        <f>'תקציב הנדסה 2020 '!L20</f>
        <v>1291266.94</v>
      </c>
      <c r="M20" s="4">
        <f>'תקציב הנדסה 2020 '!M20</f>
        <v>6758733.0600000005</v>
      </c>
      <c r="N20" s="4">
        <f>'תקציב הנדסה 2020 '!N20</f>
        <v>0</v>
      </c>
      <c r="O20" s="4">
        <f>'תקציב הנדסה 2020 '!O20</f>
        <v>7450000</v>
      </c>
      <c r="P20" s="4">
        <f>'תקציב הנדסה 2020 '!P20</f>
        <v>4758733.0600000005</v>
      </c>
      <c r="Q20" s="4">
        <f>'תקציב הנדסה 2020 '!Q20</f>
        <v>2000000</v>
      </c>
      <c r="R20" s="4">
        <f>'תקציב הנדסה 2020 '!R20</f>
        <v>0</v>
      </c>
      <c r="S20" s="4">
        <f>'תקציב הנדסה 2020 '!S20</f>
        <v>2000000</v>
      </c>
      <c r="T20" s="4">
        <f>'תקציב הנדסה 2020 '!T20</f>
        <v>0</v>
      </c>
      <c r="U20" s="4">
        <f>'תקציב הנדסה 2020 '!U20</f>
        <v>0</v>
      </c>
      <c r="V20" s="4">
        <f>'תקציב הנדסה 2020 '!V20</f>
        <v>0</v>
      </c>
      <c r="W20" s="4">
        <f>'תקציב הנדסה 2020 '!W20</f>
        <v>0</v>
      </c>
      <c r="X20" s="4">
        <f>'תקציב הנדסה 2020 '!X20</f>
        <v>0</v>
      </c>
      <c r="Y20" s="4">
        <f>'תקציב הנדסה 2020 '!Y20</f>
        <v>0</v>
      </c>
      <c r="Z20" s="4">
        <f>'תקציב הנדסה 2020 '!Z20</f>
        <v>0</v>
      </c>
      <c r="AA20" s="87" t="str">
        <f>'תקציב הנדסה 2020 '!AA20</f>
        <v>פיתוח מתחם הרחובות יהודה המכבי, זוהר טל, האצל, הגבורה. תכנון ותחילת ביצוע.</v>
      </c>
      <c r="AB20" s="706">
        <f>'תקציב הנדסה 2020 '!AB20</f>
        <v>742000</v>
      </c>
      <c r="AC20" s="619"/>
      <c r="AD20" s="52"/>
      <c r="AE20" s="6"/>
      <c r="AF20" s="6"/>
    </row>
    <row r="21" spans="1:32" s="6" customFormat="1" ht="27.6">
      <c r="A21" s="3">
        <f t="shared" si="0"/>
        <v>16</v>
      </c>
      <c r="B21" s="706">
        <f>'תקציב הנדסה 2020 '!B21</f>
        <v>1366</v>
      </c>
      <c r="C21" s="87" t="str">
        <f>'תקציב הנדסה 2020 '!C21</f>
        <v>ליווי תשתיות לאומיות</v>
      </c>
      <c r="D21" s="4">
        <f>'תקציב הנדסה 2020 '!D21</f>
        <v>1500000</v>
      </c>
      <c r="E21" s="4">
        <f>'תקציב הנדסה 2020 '!E21</f>
        <v>1500000</v>
      </c>
      <c r="F21" s="4">
        <f>'תקציב הנדסה 2020 '!F21</f>
        <v>0</v>
      </c>
      <c r="G21" s="4">
        <f>'תקציב הנדסה 2020 '!G21</f>
        <v>846000</v>
      </c>
      <c r="H21" s="4">
        <f>'תקציב הנדסה 2020 '!H21</f>
        <v>740835.72</v>
      </c>
      <c r="I21" s="4">
        <f>'תקציב הנדסה 2020 '!I21</f>
        <v>0</v>
      </c>
      <c r="J21" s="4">
        <f>'תקציב הנדסה 2020 '!J21</f>
        <v>1755.22</v>
      </c>
      <c r="K21" s="4">
        <f>'תקציב הנדסה 2020 '!K21</f>
        <v>1755.22</v>
      </c>
      <c r="L21" s="4">
        <f>'תקציב הנדסה 2020 '!L21</f>
        <v>742590.94</v>
      </c>
      <c r="M21" s="4">
        <f>'תקציב הנדסה 2020 '!M21</f>
        <v>103409.06000000006</v>
      </c>
      <c r="N21" s="4">
        <f>'תקציב הנדסה 2020 '!N21</f>
        <v>0</v>
      </c>
      <c r="O21" s="4">
        <f>'תקציב הנדסה 2020 '!O21</f>
        <v>654000</v>
      </c>
      <c r="P21" s="4">
        <f>'תקציב הנדסה 2020 '!P21</f>
        <v>103409.06000000006</v>
      </c>
      <c r="Q21" s="4">
        <f>'תקציב הנדסה 2020 '!Q21</f>
        <v>0</v>
      </c>
      <c r="R21" s="4">
        <f>'תקציב הנדסה 2020 '!R21</f>
        <v>0</v>
      </c>
      <c r="S21" s="4">
        <f>'תקציב הנדסה 2020 '!S21</f>
        <v>0</v>
      </c>
      <c r="T21" s="4">
        <f>'תקציב הנדסה 2020 '!T21</f>
        <v>0</v>
      </c>
      <c r="U21" s="4">
        <f>'תקציב הנדסה 2020 '!U21</f>
        <v>0</v>
      </c>
      <c r="V21" s="4">
        <f>'תקציב הנדסה 2020 '!V21</f>
        <v>0</v>
      </c>
      <c r="W21" s="4">
        <f>'תקציב הנדסה 2020 '!W21</f>
        <v>0</v>
      </c>
      <c r="X21" s="4">
        <f>'תקציב הנדסה 2020 '!X21</f>
        <v>0</v>
      </c>
      <c r="Y21" s="4">
        <f>'תקציב הנדסה 2020 '!Y21</f>
        <v>0</v>
      </c>
      <c r="Z21" s="4">
        <f>'תקציב הנדסה 2020 '!Z21</f>
        <v>0</v>
      </c>
      <c r="AA21" s="87" t="str">
        <f>'תקציב הנדסה 2020 '!AA21</f>
        <v xml:space="preserve">ליווי יועצי תנועה, איכות הסביבה, במסגרת סלילת כביש 531 וכביש 20. </v>
      </c>
      <c r="AB21" s="706">
        <f>'תקציב הנדסה 2020 '!AB21</f>
        <v>742000</v>
      </c>
      <c r="AC21" s="620"/>
      <c r="AD21" s="52"/>
      <c r="AE21" s="5"/>
      <c r="AF21" s="5"/>
    </row>
    <row r="22" spans="1:32" s="6" customFormat="1" ht="19.95" customHeight="1">
      <c r="A22" s="3">
        <f t="shared" si="0"/>
        <v>17</v>
      </c>
      <c r="B22" s="706">
        <f>'תקציב הנדסה 2020 '!B22</f>
        <v>1406</v>
      </c>
      <c r="C22" s="87" t="str">
        <f>'תקציב הנדסה 2020 '!C22</f>
        <v>שימור אתרים</v>
      </c>
      <c r="D22" s="4">
        <f>'תקציב הנדסה 2020 '!D22</f>
        <v>1400000</v>
      </c>
      <c r="E22" s="4">
        <f>'תקציב הנדסה 2020 '!E22</f>
        <v>1300000</v>
      </c>
      <c r="F22" s="4">
        <f>'תקציב הנדסה 2020 '!F22</f>
        <v>100000</v>
      </c>
      <c r="G22" s="4">
        <f>'תקציב הנדסה 2020 '!G22</f>
        <v>1300000</v>
      </c>
      <c r="H22" s="4">
        <f>'תקציב הנדסה 2020 '!H22</f>
        <v>833530.52</v>
      </c>
      <c r="I22" s="4">
        <f>'תקציב הנדסה 2020 '!I22</f>
        <v>33785.1</v>
      </c>
      <c r="J22" s="4">
        <f>'תקציב הנדסה 2020 '!J22</f>
        <v>15530.64</v>
      </c>
      <c r="K22" s="4">
        <f>'תקציב הנדסה 2020 '!K22</f>
        <v>49315.74</v>
      </c>
      <c r="L22" s="4">
        <f>'תקציב הנדסה 2020 '!L22</f>
        <v>882846.26</v>
      </c>
      <c r="M22" s="4">
        <f>'תקציב הנדסה 2020 '!M22</f>
        <v>417153.74</v>
      </c>
      <c r="N22" s="4">
        <f>'תקציב הנדסה 2020 '!N22</f>
        <v>100000</v>
      </c>
      <c r="O22" s="4">
        <f>'תקציב הנדסה 2020 '!O22</f>
        <v>0</v>
      </c>
      <c r="P22" s="4">
        <f>'תקציב הנדסה 2020 '!P22</f>
        <v>417153.74</v>
      </c>
      <c r="Q22" s="4">
        <f>'תקציב הנדסה 2020 '!Q22</f>
        <v>0</v>
      </c>
      <c r="R22" s="4">
        <f>'תקציב הנדסה 2020 '!R22</f>
        <v>0</v>
      </c>
      <c r="S22" s="4">
        <f>'תקציב הנדסה 2020 '!S22</f>
        <v>0</v>
      </c>
      <c r="T22" s="4">
        <f>'תקציב הנדסה 2020 '!T22</f>
        <v>0</v>
      </c>
      <c r="U22" s="4">
        <f>'תקציב הנדסה 2020 '!U22</f>
        <v>100000</v>
      </c>
      <c r="V22" s="4">
        <f>'תקציב הנדסה 2020 '!V22</f>
        <v>100000</v>
      </c>
      <c r="W22" s="4">
        <f>'תקציב הנדסה 2020 '!W22</f>
        <v>0</v>
      </c>
      <c r="X22" s="4">
        <f>'תקציב הנדסה 2020 '!X22</f>
        <v>0</v>
      </c>
      <c r="Y22" s="4">
        <f>'תקציב הנדסה 2020 '!Y22</f>
        <v>0</v>
      </c>
      <c r="Z22" s="4">
        <f>'תקציב הנדסה 2020 '!Z22</f>
        <v>0</v>
      </c>
      <c r="AA22" s="87" t="str">
        <f>'תקציב הנדסה 2020 '!AA22</f>
        <v>הכנת תב"עות לשימור אתרים.</v>
      </c>
      <c r="AB22" s="706">
        <f>'תקציב הנדסה 2020 '!AB22</f>
        <v>732000</v>
      </c>
      <c r="AC22" s="620"/>
      <c r="AD22" s="52"/>
      <c r="AE22" s="5"/>
      <c r="AF22" s="5"/>
    </row>
    <row r="23" spans="1:32" s="6" customFormat="1" ht="19.95" customHeight="1">
      <c r="A23" s="3">
        <f t="shared" si="0"/>
        <v>18</v>
      </c>
      <c r="B23" s="706">
        <f>'תקציב הנדסה 2020 '!B23</f>
        <v>1407</v>
      </c>
      <c r="C23" s="87" t="str">
        <f>'תקציב הנדסה 2020 '!C23</f>
        <v>תב"עות קטנות</v>
      </c>
      <c r="D23" s="4">
        <f>'תקציב הנדסה 2020 '!D23</f>
        <v>4895000</v>
      </c>
      <c r="E23" s="4">
        <f>'תקציב הנדסה 2020 '!E23</f>
        <v>4895000</v>
      </c>
      <c r="F23" s="4">
        <f>'תקציב הנדסה 2020 '!F23</f>
        <v>0</v>
      </c>
      <c r="G23" s="4">
        <f>'תקציב הנדסה 2020 '!G23</f>
        <v>3795000</v>
      </c>
      <c r="H23" s="4">
        <f>'תקציב הנדסה 2020 '!H23</f>
        <v>2554334.1800000002</v>
      </c>
      <c r="I23" s="4">
        <f>'תקציב הנדסה 2020 '!I23</f>
        <v>107604.98</v>
      </c>
      <c r="J23" s="4">
        <f>'תקציב הנדסה 2020 '!J23</f>
        <v>699067.14</v>
      </c>
      <c r="K23" s="4">
        <f>'תקציב הנדסה 2020 '!K23</f>
        <v>806672.12</v>
      </c>
      <c r="L23" s="4">
        <f>'תקציב הנדסה 2020 '!L23</f>
        <v>3361006.3000000003</v>
      </c>
      <c r="M23" s="4">
        <f>'תקציב הנדסה 2020 '!M23</f>
        <v>433993.69999999972</v>
      </c>
      <c r="N23" s="4">
        <f>'תקציב הנדסה 2020 '!N23</f>
        <v>800000</v>
      </c>
      <c r="O23" s="4">
        <f>'תקציב הנדסה 2020 '!O23</f>
        <v>300000</v>
      </c>
      <c r="P23" s="4">
        <f>'תקציב הנדסה 2020 '!P23</f>
        <v>433993.69999999972</v>
      </c>
      <c r="Q23" s="4">
        <f>'תקציב הנדסה 2020 '!Q23</f>
        <v>0</v>
      </c>
      <c r="R23" s="4">
        <f>'תקציב הנדסה 2020 '!R23</f>
        <v>0</v>
      </c>
      <c r="S23" s="4">
        <f>'תקציב הנדסה 2020 '!S23</f>
        <v>0</v>
      </c>
      <c r="T23" s="4">
        <f>'תקציב הנדסה 2020 '!T23</f>
        <v>0</v>
      </c>
      <c r="U23" s="4">
        <f>'תקציב הנדסה 2020 '!U23</f>
        <v>800000</v>
      </c>
      <c r="V23" s="4">
        <f>'תקציב הנדסה 2020 '!V23</f>
        <v>800000</v>
      </c>
      <c r="W23" s="4">
        <f>'תקציב הנדסה 2020 '!W23</f>
        <v>0</v>
      </c>
      <c r="X23" s="4">
        <f>'תקציב הנדסה 2020 '!X23</f>
        <v>0</v>
      </c>
      <c r="Y23" s="4">
        <f>'תקציב הנדסה 2020 '!Y23</f>
        <v>0</v>
      </c>
      <c r="Z23" s="4">
        <f>'תקציב הנדסה 2020 '!Z23</f>
        <v>0</v>
      </c>
      <c r="AA23" s="87" t="str">
        <f>'תקציב הנדסה 2020 '!AA23</f>
        <v>סל תכנון של תב"עות הנדרשות במהלך השנה.</v>
      </c>
      <c r="AB23" s="706">
        <f>'תקציב הנדסה 2020 '!AB23</f>
        <v>732000</v>
      </c>
      <c r="AC23" s="620"/>
      <c r="AD23" s="52"/>
    </row>
    <row r="24" spans="1:32" s="5" customFormat="1" ht="27.6">
      <c r="A24" s="3">
        <f t="shared" si="0"/>
        <v>19</v>
      </c>
      <c r="B24" s="706">
        <f>'תקציב הנדסה 2020 '!B24</f>
        <v>1409</v>
      </c>
      <c r="C24" s="87" t="str">
        <f>'תקציב הנדסה 2020 '!C24</f>
        <v xml:space="preserve"> תוכנית המתאר הכוללנית </v>
      </c>
      <c r="D24" s="4">
        <f>'תקציב הנדסה 2020 '!D24</f>
        <v>7680000</v>
      </c>
      <c r="E24" s="4">
        <f>'תקציב הנדסה 2020 '!E24</f>
        <v>7680000</v>
      </c>
      <c r="F24" s="4">
        <f>'תקציב הנדסה 2020 '!F24</f>
        <v>0</v>
      </c>
      <c r="G24" s="4">
        <f>'תקציב הנדסה 2020 '!G24</f>
        <v>7680000</v>
      </c>
      <c r="H24" s="4">
        <f>'תקציב הנדסה 2020 '!H24</f>
        <v>3947924.35</v>
      </c>
      <c r="I24" s="4">
        <f>'תקציב הנדסה 2020 '!I24</f>
        <v>2279160</v>
      </c>
      <c r="J24" s="4">
        <f>'תקציב הנדסה 2020 '!J24</f>
        <v>8716.5</v>
      </c>
      <c r="K24" s="4">
        <f>'תקציב הנדסה 2020 '!K24</f>
        <v>2287876.5</v>
      </c>
      <c r="L24" s="4">
        <f>'תקציב הנדסה 2020 '!L24</f>
        <v>6235800.8499999996</v>
      </c>
      <c r="M24" s="4">
        <f>'תקציב הנדסה 2020 '!M24</f>
        <v>1444199.1500000004</v>
      </c>
      <c r="N24" s="4">
        <f>'תקציב הנדסה 2020 '!N24</f>
        <v>0</v>
      </c>
      <c r="O24" s="4">
        <f>'תקציב הנדסה 2020 '!O24</f>
        <v>0</v>
      </c>
      <c r="P24" s="4">
        <f>'תקציב הנדסה 2020 '!P24</f>
        <v>1444199.1500000004</v>
      </c>
      <c r="Q24" s="4">
        <f>'תקציב הנדסה 2020 '!Q24</f>
        <v>0</v>
      </c>
      <c r="R24" s="4">
        <f>'תקציב הנדסה 2020 '!R24</f>
        <v>0</v>
      </c>
      <c r="S24" s="4">
        <f>'תקציב הנדסה 2020 '!S24</f>
        <v>0</v>
      </c>
      <c r="T24" s="4">
        <f>'תקציב הנדסה 2020 '!T24</f>
        <v>0</v>
      </c>
      <c r="U24" s="4">
        <f>'תקציב הנדסה 2020 '!U24</f>
        <v>0</v>
      </c>
      <c r="V24" s="4">
        <f>'תקציב הנדסה 2020 '!V24</f>
        <v>0</v>
      </c>
      <c r="W24" s="4">
        <f>'תקציב הנדסה 2020 '!W24</f>
        <v>0</v>
      </c>
      <c r="X24" s="4">
        <f>'תקציב הנדסה 2020 '!X24</f>
        <v>0</v>
      </c>
      <c r="Y24" s="4">
        <f>'תקציב הנדסה 2020 '!Y24</f>
        <v>0</v>
      </c>
      <c r="Z24" s="4">
        <f>'תקציב הנדסה 2020 '!Z24</f>
        <v>0</v>
      </c>
      <c r="AA24" s="87" t="str">
        <f>'תקציב הנדסה 2020 '!AA24</f>
        <v>הכנת תוכנית מתאר כוללנית על מנת לאפשר לעיריה לתכנן תוכניות בסמכות וועדה מקומית.</v>
      </c>
      <c r="AB24" s="706">
        <f>'תקציב הנדסה 2020 '!AB24</f>
        <v>732000</v>
      </c>
      <c r="AC24" s="619"/>
      <c r="AD24" s="52"/>
      <c r="AE24" s="6"/>
      <c r="AF24" s="6"/>
    </row>
    <row r="25" spans="1:32" s="5" customFormat="1" ht="27.6">
      <c r="A25" s="3">
        <f t="shared" si="0"/>
        <v>20</v>
      </c>
      <c r="B25" s="706">
        <f>'תקציב הנדסה 2020 '!B25</f>
        <v>1457</v>
      </c>
      <c r="C25" s="87" t="str">
        <f>'תקציב הנדסה 2020 '!C25</f>
        <v xml:space="preserve">ליווי "מהיר" לעיר </v>
      </c>
      <c r="D25" s="4">
        <f>'תקציב הנדסה 2020 '!D25</f>
        <v>1100000</v>
      </c>
      <c r="E25" s="4">
        <f>'תקציב הנדסה 2020 '!E25</f>
        <v>1100000</v>
      </c>
      <c r="F25" s="4">
        <f>'תקציב הנדסה 2020 '!F25</f>
        <v>0</v>
      </c>
      <c r="G25" s="4">
        <f>'תקציב הנדסה 2020 '!G25</f>
        <v>430000</v>
      </c>
      <c r="H25" s="4">
        <f>'תקציב הנדסה 2020 '!H25</f>
        <v>163760.09</v>
      </c>
      <c r="I25" s="4">
        <f>'תקציב הנדסה 2020 '!I25</f>
        <v>0</v>
      </c>
      <c r="J25" s="4">
        <f>'תקציב הנדסה 2020 '!J25</f>
        <v>12899.24</v>
      </c>
      <c r="K25" s="4">
        <f>'תקציב הנדסה 2020 '!K25</f>
        <v>12899.24</v>
      </c>
      <c r="L25" s="4">
        <f>'תקציב הנדסה 2020 '!L25</f>
        <v>176659.33</v>
      </c>
      <c r="M25" s="4">
        <f>'תקציב הנדסה 2020 '!M25</f>
        <v>53340.670000000013</v>
      </c>
      <c r="N25" s="4">
        <f>'תקציב הנדסה 2020 '!N25</f>
        <v>200000</v>
      </c>
      <c r="O25" s="4">
        <f>'תקציב הנדסה 2020 '!O25</f>
        <v>670000</v>
      </c>
      <c r="P25" s="4">
        <f>'תקציב הנדסה 2020 '!P25</f>
        <v>253340.67</v>
      </c>
      <c r="Q25" s="4">
        <f>'תקציב הנדסה 2020 '!Q25</f>
        <v>0</v>
      </c>
      <c r="R25" s="4">
        <f>'תקציב הנדסה 2020 '!R25</f>
        <v>0</v>
      </c>
      <c r="S25" s="4">
        <f>'תקציב הנדסה 2020 '!S25</f>
        <v>0</v>
      </c>
      <c r="T25" s="4">
        <f>'תקציב הנדסה 2020 '!T25</f>
        <v>200000</v>
      </c>
      <c r="U25" s="4">
        <f>'תקציב הנדסה 2020 '!U25</f>
        <v>0</v>
      </c>
      <c r="V25" s="4">
        <f>'תקציב הנדסה 2020 '!V25</f>
        <v>0</v>
      </c>
      <c r="W25" s="4">
        <f>'תקציב הנדסה 2020 '!W25</f>
        <v>0</v>
      </c>
      <c r="X25" s="4">
        <f>'תקציב הנדסה 2020 '!X25</f>
        <v>0</v>
      </c>
      <c r="Y25" s="4">
        <f>'תקציב הנדסה 2020 '!Y25</f>
        <v>0</v>
      </c>
      <c r="Z25" s="4">
        <f>'תקציב הנדסה 2020 '!Z25</f>
        <v>0</v>
      </c>
      <c r="AA25" s="87" t="str">
        <f>'תקציב הנדסה 2020 '!AA25</f>
        <v>העסקת צוות יועצים שילווה את התכנון והביצוע של הפרויקט.</v>
      </c>
      <c r="AB25" s="706">
        <f>'תקציב הנדסה 2020 '!AB25</f>
        <v>742000</v>
      </c>
      <c r="AC25" s="618"/>
      <c r="AD25" s="52"/>
    </row>
    <row r="26" spans="1:32" s="5" customFormat="1" ht="27.6">
      <c r="A26" s="3">
        <f t="shared" si="0"/>
        <v>21</v>
      </c>
      <c r="B26" s="706">
        <f>'תקציב הנדסה 2020 '!B26</f>
        <v>1466</v>
      </c>
      <c r="C26" s="87" t="str">
        <f>'תקציב הנדסה 2020 '!C26</f>
        <v>תמ"א 38</v>
      </c>
      <c r="D26" s="4">
        <f>'תקציב הנדסה 2020 '!D26</f>
        <v>2200000</v>
      </c>
      <c r="E26" s="4">
        <f>'תקציב הנדסה 2020 '!E26</f>
        <v>2200000</v>
      </c>
      <c r="F26" s="4">
        <f>'תקציב הנדסה 2020 '!F26</f>
        <v>0</v>
      </c>
      <c r="G26" s="4">
        <f>'תקציב הנדסה 2020 '!G26</f>
        <v>1500000</v>
      </c>
      <c r="H26" s="4">
        <f>'תקציב הנדסה 2020 '!H26</f>
        <v>1218739.8899999999</v>
      </c>
      <c r="I26" s="4">
        <f>'תקציב הנדסה 2020 '!I26</f>
        <v>0</v>
      </c>
      <c r="J26" s="4">
        <f>'תקציב הנדסה 2020 '!J26</f>
        <v>25974</v>
      </c>
      <c r="K26" s="4">
        <f>'תקציב הנדסה 2020 '!K26</f>
        <v>25974</v>
      </c>
      <c r="L26" s="4">
        <f>'תקציב הנדסה 2020 '!L26</f>
        <v>1244713.8899999999</v>
      </c>
      <c r="M26" s="4">
        <f>'תקציב הנדסה 2020 '!M26</f>
        <v>155286.1100000001</v>
      </c>
      <c r="N26" s="4">
        <f>'תקציב הנדסה 2020 '!N26</f>
        <v>100000</v>
      </c>
      <c r="O26" s="4">
        <f>'תקציב הנדסה 2020 '!O26</f>
        <v>700000</v>
      </c>
      <c r="P26" s="4">
        <f>'תקציב הנדסה 2020 '!P26</f>
        <v>255286.1100000001</v>
      </c>
      <c r="Q26" s="4">
        <f>'תקציב הנדסה 2020 '!Q26</f>
        <v>0</v>
      </c>
      <c r="R26" s="4">
        <f>'תקציב הנדסה 2020 '!R26</f>
        <v>0</v>
      </c>
      <c r="S26" s="4">
        <f>'תקציב הנדסה 2020 '!S26</f>
        <v>0</v>
      </c>
      <c r="T26" s="4">
        <f>'תקציב הנדסה 2020 '!T26</f>
        <v>100000</v>
      </c>
      <c r="U26" s="4">
        <f>'תקציב הנדסה 2020 '!U26</f>
        <v>0</v>
      </c>
      <c r="V26" s="4">
        <f>'תקציב הנדסה 2020 '!V26</f>
        <v>0</v>
      </c>
      <c r="W26" s="4">
        <f>'תקציב הנדסה 2020 '!W26</f>
        <v>0</v>
      </c>
      <c r="X26" s="4">
        <f>'תקציב הנדסה 2020 '!X26</f>
        <v>0</v>
      </c>
      <c r="Y26" s="4">
        <f>'תקציב הנדסה 2020 '!Y26</f>
        <v>0</v>
      </c>
      <c r="Z26" s="4">
        <f>'תקציב הנדסה 2020 '!Z26</f>
        <v>0</v>
      </c>
      <c r="AA26" s="87" t="str">
        <f>'תקציב הנדסה 2020 '!AA26</f>
        <v>העצמת הזכויות הנוספות לבנינים לצורך הגברת הכדאיות של ביצוע חיזוק מבנים.</v>
      </c>
      <c r="AB26" s="706">
        <f>'תקציב הנדסה 2020 '!AB26</f>
        <v>732000</v>
      </c>
      <c r="AC26" s="619"/>
      <c r="AD26" s="52"/>
      <c r="AE26" s="6"/>
      <c r="AF26" s="6"/>
    </row>
    <row r="27" spans="1:32" s="5" customFormat="1" ht="41.4">
      <c r="A27" s="3">
        <f t="shared" si="0"/>
        <v>22</v>
      </c>
      <c r="B27" s="706">
        <f>'תקציב הנדסה 2020 '!B27</f>
        <v>1511</v>
      </c>
      <c r="C27" s="87" t="str">
        <f>'תקציב הנדסה 2020 '!C27</f>
        <v>פתוח קטעי רח' דרך ירושלים גולומב</v>
      </c>
      <c r="D27" s="4">
        <f>'תקציב הנדסה 2020 '!D27</f>
        <v>960000</v>
      </c>
      <c r="E27" s="4">
        <f>'תקציב הנדסה 2020 '!E27</f>
        <v>960000</v>
      </c>
      <c r="F27" s="4">
        <f>'תקציב הנדסה 2020 '!F27</f>
        <v>0</v>
      </c>
      <c r="G27" s="4">
        <f>'תקציב הנדסה 2020 '!G27</f>
        <v>100000</v>
      </c>
      <c r="H27" s="4">
        <f>'תקציב הנדסה 2020 '!H27</f>
        <v>17284</v>
      </c>
      <c r="I27" s="4">
        <f>'תקציב הנדסה 2020 '!I27</f>
        <v>0</v>
      </c>
      <c r="J27" s="4">
        <f>'תקציב הנדסה 2020 '!J27</f>
        <v>0</v>
      </c>
      <c r="K27" s="4">
        <f>'תקציב הנדסה 2020 '!K27</f>
        <v>0</v>
      </c>
      <c r="L27" s="4">
        <f>'תקציב הנדסה 2020 '!L27</f>
        <v>17284</v>
      </c>
      <c r="M27" s="4">
        <f>'תקציב הנדסה 2020 '!M27</f>
        <v>82716</v>
      </c>
      <c r="N27" s="4">
        <f>'תקציב הנדסה 2020 '!N27</f>
        <v>0</v>
      </c>
      <c r="O27" s="4">
        <f>'תקציב הנדסה 2020 '!O27</f>
        <v>860000</v>
      </c>
      <c r="P27" s="4">
        <f>'תקציב הנדסה 2020 '!P27</f>
        <v>82716</v>
      </c>
      <c r="Q27" s="4">
        <f>'תקציב הנדסה 2020 '!Q27</f>
        <v>0</v>
      </c>
      <c r="R27" s="4">
        <f>'תקציב הנדסה 2020 '!R27</f>
        <v>0</v>
      </c>
      <c r="S27" s="4">
        <f>'תקציב הנדסה 2020 '!S27</f>
        <v>0</v>
      </c>
      <c r="T27" s="4">
        <f>'תקציב הנדסה 2020 '!T27</f>
        <v>0</v>
      </c>
      <c r="U27" s="4">
        <f>'תקציב הנדסה 2020 '!U27</f>
        <v>0</v>
      </c>
      <c r="V27" s="4">
        <f>'תקציב הנדסה 2020 '!V27</f>
        <v>0</v>
      </c>
      <c r="W27" s="4">
        <f>'תקציב הנדסה 2020 '!W27</f>
        <v>0</v>
      </c>
      <c r="X27" s="4">
        <f>'תקציב הנדסה 2020 '!X27</f>
        <v>0</v>
      </c>
      <c r="Y27" s="4">
        <f>'תקציב הנדסה 2020 '!Y27</f>
        <v>0</v>
      </c>
      <c r="Z27" s="4">
        <f>'תקציב הנדסה 2020 '!Z27</f>
        <v>0</v>
      </c>
      <c r="AA27" s="87" t="str">
        <f>'תקציב הנדסה 2020 '!AA27</f>
        <v xml:space="preserve">הקמת חניות והסדרים גיאומטרים ליד מבנה לזכר השואה שיוקם ע"י היזם (ליאור דינור ואחרים). מימון היזם מובטח בערבות. </v>
      </c>
      <c r="AB27" s="706">
        <f>'תקציב הנדסה 2020 '!AB27</f>
        <v>742000</v>
      </c>
      <c r="AC27" s="619"/>
      <c r="AD27" s="52"/>
    </row>
    <row r="28" spans="1:32" s="5" customFormat="1" ht="27.6">
      <c r="A28" s="3">
        <f t="shared" si="0"/>
        <v>23</v>
      </c>
      <c r="B28" s="706">
        <f>'תקציב הנדסה 2020 '!B28</f>
        <v>1527</v>
      </c>
      <c r="C28" s="87" t="str">
        <f>'תקציב הנדסה 2020 '!C28</f>
        <v xml:space="preserve">התחדשות עירונית יד  התשעה </v>
      </c>
      <c r="D28" s="4">
        <f>'תקציב הנדסה 2020 '!D28</f>
        <v>3000000</v>
      </c>
      <c r="E28" s="4">
        <f>'תקציב הנדסה 2020 '!E28</f>
        <v>3000000</v>
      </c>
      <c r="F28" s="4">
        <f>'תקציב הנדסה 2020 '!F28</f>
        <v>0</v>
      </c>
      <c r="G28" s="4">
        <f>'תקציב הנדסה 2020 '!G28</f>
        <v>850000</v>
      </c>
      <c r="H28" s="4">
        <f>'תקציב הנדסה 2020 '!H28</f>
        <v>821144.02</v>
      </c>
      <c r="I28" s="4">
        <f>'תקציב הנדסה 2020 '!I28</f>
        <v>0</v>
      </c>
      <c r="J28" s="4">
        <f>'תקציב הנדסה 2020 '!J28</f>
        <v>526.5</v>
      </c>
      <c r="K28" s="4">
        <f>'תקציב הנדסה 2020 '!K28</f>
        <v>526.5</v>
      </c>
      <c r="L28" s="4">
        <f>'תקציב הנדסה 2020 '!L28</f>
        <v>821670.52</v>
      </c>
      <c r="M28" s="4">
        <f>'תקציב הנדסה 2020 '!M28</f>
        <v>28329.479999999981</v>
      </c>
      <c r="N28" s="4">
        <f>'תקציב הנדסה 2020 '!N28</f>
        <v>350000</v>
      </c>
      <c r="O28" s="4">
        <f>'תקציב הנדסה 2020 '!O28</f>
        <v>1800000</v>
      </c>
      <c r="P28" s="4">
        <f>'תקציב הנדסה 2020 '!P28</f>
        <v>28329.479999999981</v>
      </c>
      <c r="Q28" s="4">
        <f>'תקציב הנדסה 2020 '!Q28</f>
        <v>0</v>
      </c>
      <c r="R28" s="4">
        <f>'תקציב הנדסה 2020 '!R28</f>
        <v>0</v>
      </c>
      <c r="S28" s="4">
        <f>'תקציב הנדסה 2020 '!S28</f>
        <v>0</v>
      </c>
      <c r="T28" s="4">
        <f>'תקציב הנדסה 2020 '!T28</f>
        <v>0</v>
      </c>
      <c r="U28" s="4">
        <f>'תקציב הנדסה 2020 '!U28</f>
        <v>350000</v>
      </c>
      <c r="V28" s="4">
        <f>'תקציב הנדסה 2020 '!V28</f>
        <v>350000</v>
      </c>
      <c r="W28" s="4">
        <f>'תקציב הנדסה 2020 '!W28</f>
        <v>0</v>
      </c>
      <c r="X28" s="4">
        <f>'תקציב הנדסה 2020 '!X28</f>
        <v>0</v>
      </c>
      <c r="Y28" s="4">
        <f>'תקציב הנדסה 2020 '!Y28</f>
        <v>0</v>
      </c>
      <c r="Z28" s="4">
        <f>'תקציב הנדסה 2020 '!Z28</f>
        <v>0</v>
      </c>
      <c r="AA28" s="87" t="str">
        <f>'תקציב הנדסה 2020 '!AA28</f>
        <v>תכנון התחדשות עירונית ביד התשעה במסגרת תוכנית כללית/תוכניות מתחמיות.</v>
      </c>
      <c r="AB28" s="706">
        <f>'תקציב הנדסה 2020 '!AB28</f>
        <v>732000</v>
      </c>
      <c r="AC28" s="618"/>
      <c r="AD28" s="52"/>
    </row>
    <row r="29" spans="1:32" s="5" customFormat="1" ht="19.95" customHeight="1">
      <c r="A29" s="3">
        <f t="shared" si="0"/>
        <v>24</v>
      </c>
      <c r="B29" s="706">
        <f>'תקציב הנדסה 2020 '!B29</f>
        <v>1529</v>
      </c>
      <c r="C29" s="87" t="str">
        <f>'תקציב הנדסה 2020 '!C29</f>
        <v>הוצאות בקשר עם תביעות סעיף 197</v>
      </c>
      <c r="D29" s="4">
        <f>'תקציב הנדסה 2020 '!D29</f>
        <v>500000</v>
      </c>
      <c r="E29" s="4">
        <f>'תקציב הנדסה 2020 '!E29</f>
        <v>400000</v>
      </c>
      <c r="F29" s="4">
        <f>'תקציב הנדסה 2020 '!F29</f>
        <v>100000</v>
      </c>
      <c r="G29" s="4">
        <f>'תקציב הנדסה 2020 '!G29</f>
        <v>400000</v>
      </c>
      <c r="H29" s="4">
        <f>'תקציב הנדסה 2020 '!H29</f>
        <v>346975.05</v>
      </c>
      <c r="I29" s="4">
        <f>'תקציב הנדסה 2020 '!I29</f>
        <v>0</v>
      </c>
      <c r="J29" s="4">
        <f>'תקציב הנדסה 2020 '!J29</f>
        <v>25400.7</v>
      </c>
      <c r="K29" s="4">
        <f>'תקציב הנדסה 2020 '!K29</f>
        <v>25400.7</v>
      </c>
      <c r="L29" s="4">
        <f>'תקציב הנדסה 2020 '!L29</f>
        <v>372375.75</v>
      </c>
      <c r="M29" s="4">
        <f>'תקציב הנדסה 2020 '!M29</f>
        <v>27624.25</v>
      </c>
      <c r="N29" s="4">
        <f>'תקציב הנדסה 2020 '!N29</f>
        <v>100000</v>
      </c>
      <c r="O29" s="4">
        <f>'תקציב הנדסה 2020 '!O29</f>
        <v>0</v>
      </c>
      <c r="P29" s="4">
        <f>'תקציב הנדסה 2020 '!P29</f>
        <v>27624.25</v>
      </c>
      <c r="Q29" s="4">
        <f>'תקציב הנדסה 2020 '!Q29</f>
        <v>0</v>
      </c>
      <c r="R29" s="4">
        <f>'תקציב הנדסה 2020 '!R29</f>
        <v>0</v>
      </c>
      <c r="S29" s="4">
        <f>'תקציב הנדסה 2020 '!S29</f>
        <v>0</v>
      </c>
      <c r="T29" s="4">
        <f>'תקציב הנדסה 2020 '!T29</f>
        <v>0</v>
      </c>
      <c r="U29" s="4">
        <f>'תקציב הנדסה 2020 '!U29</f>
        <v>100000</v>
      </c>
      <c r="V29" s="4">
        <f>'תקציב הנדסה 2020 '!V29</f>
        <v>100000</v>
      </c>
      <c r="W29" s="4">
        <f>'תקציב הנדסה 2020 '!W29</f>
        <v>0</v>
      </c>
      <c r="X29" s="4">
        <f>'תקציב הנדסה 2020 '!X29</f>
        <v>0</v>
      </c>
      <c r="Y29" s="4">
        <f>'תקציב הנדסה 2020 '!Y29</f>
        <v>0</v>
      </c>
      <c r="Z29" s="4">
        <f>'תקציב הנדסה 2020 '!Z29</f>
        <v>0</v>
      </c>
      <c r="AA29" s="87" t="str">
        <f>'תקציב הנדסה 2020 '!AA29</f>
        <v>סל הוצאות בקשר עם תביעות סעיף 197.</v>
      </c>
      <c r="AB29" s="706">
        <f>'תקציב הנדסה 2020 '!AB29</f>
        <v>760000</v>
      </c>
      <c r="AC29" s="619"/>
      <c r="AD29" s="52"/>
    </row>
    <row r="30" spans="1:32" s="5" customFormat="1" ht="27.6">
      <c r="A30" s="3">
        <f t="shared" si="0"/>
        <v>25</v>
      </c>
      <c r="B30" s="706">
        <f>'תקציב הנדסה 2020 '!B30</f>
        <v>1551</v>
      </c>
      <c r="C30" s="87" t="str">
        <f>'תקציב הנדסה 2020 '!C30</f>
        <v>צפון הרצליה הר' 2035</v>
      </c>
      <c r="D30" s="4">
        <f>'תקציב הנדסה 2020 '!D30</f>
        <v>525240</v>
      </c>
      <c r="E30" s="4">
        <f>'תקציב הנדסה 2020 '!E30</f>
        <v>525240</v>
      </c>
      <c r="F30" s="4">
        <f>'תקציב הנדסה 2020 '!F30</f>
        <v>0</v>
      </c>
      <c r="G30" s="4">
        <f>'תקציב הנדסה 2020 '!G30</f>
        <v>375240</v>
      </c>
      <c r="H30" s="4">
        <f>'תקציב הנדסה 2020 '!H30</f>
        <v>204671</v>
      </c>
      <c r="I30" s="4">
        <f>'תקציב הנדסה 2020 '!I30</f>
        <v>0</v>
      </c>
      <c r="J30" s="4">
        <f>'תקציב הנדסה 2020 '!J30</f>
        <v>19855</v>
      </c>
      <c r="K30" s="4">
        <f>'תקציב הנדסה 2020 '!K30</f>
        <v>19855</v>
      </c>
      <c r="L30" s="4">
        <f>'תקציב הנדסה 2020 '!L30</f>
        <v>224526</v>
      </c>
      <c r="M30" s="4">
        <f>'תקציב הנדסה 2020 '!M30</f>
        <v>150714</v>
      </c>
      <c r="N30" s="4">
        <f>'תקציב הנדסה 2020 '!N30</f>
        <v>150000</v>
      </c>
      <c r="O30" s="4">
        <f>'תקציב הנדסה 2020 '!O30</f>
        <v>0</v>
      </c>
      <c r="P30" s="4">
        <f>'תקציב הנדסה 2020 '!P30</f>
        <v>150714</v>
      </c>
      <c r="Q30" s="4">
        <f>'תקציב הנדסה 2020 '!Q30</f>
        <v>0</v>
      </c>
      <c r="R30" s="4">
        <f>'תקציב הנדסה 2020 '!R30</f>
        <v>0</v>
      </c>
      <c r="S30" s="4">
        <f>'תקציב הנדסה 2020 '!S30</f>
        <v>0</v>
      </c>
      <c r="T30" s="4">
        <f>'תקציב הנדסה 2020 '!T30</f>
        <v>0</v>
      </c>
      <c r="U30" s="4">
        <f>'תקציב הנדסה 2020 '!U30</f>
        <v>150000</v>
      </c>
      <c r="V30" s="4">
        <f>'תקציב הנדסה 2020 '!V30</f>
        <v>150000</v>
      </c>
      <c r="W30" s="4">
        <f>'תקציב הנדסה 2020 '!W30</f>
        <v>0</v>
      </c>
      <c r="X30" s="4">
        <f>'תקציב הנדסה 2020 '!X30</f>
        <v>0</v>
      </c>
      <c r="Y30" s="4">
        <f>'תקציב הנדסה 2020 '!Y30</f>
        <v>0</v>
      </c>
      <c r="Z30" s="4">
        <f>'תקציב הנדסה 2020 '!Z30</f>
        <v>0</v>
      </c>
      <c r="AA30" s="87" t="str">
        <f>'תקציב הנדסה 2020 '!AA30</f>
        <v>הערכות להתנגדות לתוכנית שמקדם מינהל התכנון והועדה המחוזית לכל צפון הרצליה ללא שיתוף העירייה.</v>
      </c>
      <c r="AB30" s="706">
        <f>'תקציב הנדסה 2020 '!AB30</f>
        <v>732000</v>
      </c>
      <c r="AC30" s="620"/>
      <c r="AD30" s="52"/>
    </row>
    <row r="31" spans="1:32" s="6" customFormat="1" ht="19.95" customHeight="1">
      <c r="A31" s="3">
        <f t="shared" si="0"/>
        <v>26</v>
      </c>
      <c r="B31" s="706">
        <f>'תקציב הנדסה 2020 '!B31</f>
        <v>1568</v>
      </c>
      <c r="C31" s="87" t="str">
        <f>'תקציב הנדסה 2020 '!C31</f>
        <v>פיתוח פארק שלב ג'</v>
      </c>
      <c r="D31" s="4">
        <f>'תקציב הנדסה 2020 '!D31</f>
        <v>46375301</v>
      </c>
      <c r="E31" s="4">
        <f>'תקציב הנדסה 2020 '!E31</f>
        <v>46375301</v>
      </c>
      <c r="F31" s="4">
        <f>'תקציב הנדסה 2020 '!F31</f>
        <v>0</v>
      </c>
      <c r="G31" s="4">
        <f>'תקציב הנדסה 2020 '!G31</f>
        <v>28875301</v>
      </c>
      <c r="H31" s="4">
        <f>'תקציב הנדסה 2020 '!H31</f>
        <v>27763907.309999999</v>
      </c>
      <c r="I31" s="4">
        <f>'תקציב הנדסה 2020 '!I31</f>
        <v>822126.24</v>
      </c>
      <c r="J31" s="4">
        <f>'תקציב הנדסה 2020 '!J31</f>
        <v>55293.26</v>
      </c>
      <c r="K31" s="4">
        <f>'תקציב הנדסה 2020 '!K31</f>
        <v>877419.5</v>
      </c>
      <c r="L31" s="4">
        <f>'תקציב הנדסה 2020 '!L31</f>
        <v>28641326.809999999</v>
      </c>
      <c r="M31" s="4">
        <f>'תקציב הנדסה 2020 '!M31</f>
        <v>233974.19000000134</v>
      </c>
      <c r="N31" s="4">
        <f>'תקציב הנדסה 2020 '!N31</f>
        <v>0</v>
      </c>
      <c r="O31" s="4">
        <f>'תקציב הנדסה 2020 '!O31</f>
        <v>17500000</v>
      </c>
      <c r="P31" s="4">
        <f>'תקציב הנדסה 2020 '!P31</f>
        <v>233974.19000000134</v>
      </c>
      <c r="Q31" s="4">
        <f>'תקציב הנדסה 2020 '!Q31</f>
        <v>0</v>
      </c>
      <c r="R31" s="4">
        <f>'תקציב הנדסה 2020 '!R31</f>
        <v>0</v>
      </c>
      <c r="S31" s="4">
        <f>'תקציב הנדסה 2020 '!S31</f>
        <v>0</v>
      </c>
      <c r="T31" s="4">
        <f>'תקציב הנדסה 2020 '!T31</f>
        <v>0</v>
      </c>
      <c r="U31" s="4">
        <f>'תקציב הנדסה 2020 '!U31</f>
        <v>0</v>
      </c>
      <c r="V31" s="4">
        <f>'תקציב הנדסה 2020 '!V31</f>
        <v>0</v>
      </c>
      <c r="W31" s="4">
        <f>'תקציב הנדסה 2020 '!W31</f>
        <v>0</v>
      </c>
      <c r="X31" s="4">
        <f>'תקציב הנדסה 2020 '!X31</f>
        <v>0</v>
      </c>
      <c r="Y31" s="4">
        <f>'תקציב הנדסה 2020 '!Y31</f>
        <v>0</v>
      </c>
      <c r="Z31" s="4">
        <f>'תקציב הנדסה 2020 '!Z31</f>
        <v>0</v>
      </c>
      <c r="AA31" s="87">
        <f>'תקציב הנדסה 2020 '!AA31</f>
        <v>0</v>
      </c>
      <c r="AB31" s="706">
        <f>'תקציב הנדסה 2020 '!AB31</f>
        <v>746000</v>
      </c>
      <c r="AC31" s="620"/>
      <c r="AD31" s="52"/>
      <c r="AE31" s="5"/>
      <c r="AF31" s="5"/>
    </row>
    <row r="32" spans="1:32" s="6" customFormat="1" ht="19.95" customHeight="1">
      <c r="A32" s="3">
        <f t="shared" si="0"/>
        <v>27</v>
      </c>
      <c r="B32" s="706">
        <f>'תקציב הנדסה 2020 '!B32</f>
        <v>1576</v>
      </c>
      <c r="C32" s="87" t="str">
        <f>'תקציב הנדסה 2020 '!C32</f>
        <v>הוצאות אכיפה-דירות נופש במרינה</v>
      </c>
      <c r="D32" s="4">
        <f>'תקציב הנדסה 2020 '!D32</f>
        <v>1000000</v>
      </c>
      <c r="E32" s="4">
        <f>'תקציב הנדסה 2020 '!E32</f>
        <v>1000000</v>
      </c>
      <c r="F32" s="4">
        <f>'תקציב הנדסה 2020 '!F32</f>
        <v>0</v>
      </c>
      <c r="G32" s="4">
        <f>'תקציב הנדסה 2020 '!G32</f>
        <v>420000</v>
      </c>
      <c r="H32" s="4">
        <f>'תקציב הנדסה 2020 '!H32</f>
        <v>363674.17</v>
      </c>
      <c r="I32" s="4">
        <f>'תקציב הנדסה 2020 '!I32</f>
        <v>35099</v>
      </c>
      <c r="J32" s="4">
        <f>'תקציב הנדסה 2020 '!J32</f>
        <v>0</v>
      </c>
      <c r="K32" s="4">
        <f>'תקציב הנדסה 2020 '!K32</f>
        <v>35099</v>
      </c>
      <c r="L32" s="4">
        <f>'תקציב הנדסה 2020 '!L32</f>
        <v>398773.17</v>
      </c>
      <c r="M32" s="4">
        <f>'תקציב הנדסה 2020 '!M32</f>
        <v>21226.830000000016</v>
      </c>
      <c r="N32" s="4">
        <f>'תקציב הנדסה 2020 '!N32</f>
        <v>30000</v>
      </c>
      <c r="O32" s="4">
        <f>'תקציב הנדסה 2020 '!O32</f>
        <v>550000</v>
      </c>
      <c r="P32" s="4">
        <f>'תקציב הנדסה 2020 '!P32</f>
        <v>21226.830000000016</v>
      </c>
      <c r="Q32" s="4">
        <f>'תקציב הנדסה 2020 '!Q32</f>
        <v>0</v>
      </c>
      <c r="R32" s="4">
        <f>'תקציב הנדסה 2020 '!R32</f>
        <v>0</v>
      </c>
      <c r="S32" s="4">
        <f>'תקציב הנדסה 2020 '!S32</f>
        <v>0</v>
      </c>
      <c r="T32" s="4">
        <f>'תקציב הנדסה 2020 '!T32</f>
        <v>0</v>
      </c>
      <c r="U32" s="4">
        <f>'תקציב הנדסה 2020 '!U32</f>
        <v>30000</v>
      </c>
      <c r="V32" s="4">
        <f>'תקציב הנדסה 2020 '!V32</f>
        <v>30000</v>
      </c>
      <c r="W32" s="4">
        <f>'תקציב הנדסה 2020 '!W32</f>
        <v>0</v>
      </c>
      <c r="X32" s="4">
        <f>'תקציב הנדסה 2020 '!X32</f>
        <v>0</v>
      </c>
      <c r="Y32" s="4">
        <f>'תקציב הנדסה 2020 '!Y32</f>
        <v>0</v>
      </c>
      <c r="Z32" s="4">
        <f>'תקציב הנדסה 2020 '!Z32</f>
        <v>0</v>
      </c>
      <c r="AA32" s="87" t="str">
        <f>'תקציב הנדסה 2020 '!AA32</f>
        <v>עלויות אכיפה צווי בית משפט במרינה.</v>
      </c>
      <c r="AB32" s="706">
        <f>'תקציב הנדסה 2020 '!AB32</f>
        <v>732000</v>
      </c>
      <c r="AC32" s="619"/>
      <c r="AD32" s="52"/>
      <c r="AE32" s="5"/>
      <c r="AF32" s="5"/>
    </row>
    <row r="33" spans="1:32" s="5" customFormat="1" ht="19.95" customHeight="1">
      <c r="A33" s="3">
        <f t="shared" si="0"/>
        <v>28</v>
      </c>
      <c r="B33" s="706">
        <f>'תקציב הנדסה 2020 '!B33</f>
        <v>1587</v>
      </c>
      <c r="C33" s="87" t="str">
        <f>'תקציב הנדסה 2020 '!C33</f>
        <v>פיתוח מתחם המכללות הר' 1920/1</v>
      </c>
      <c r="D33" s="4">
        <f>'תקציב הנדסה 2020 '!D33</f>
        <v>34200000</v>
      </c>
      <c r="E33" s="4">
        <f>'תקציב הנדסה 2020 '!E33</f>
        <v>34200000</v>
      </c>
      <c r="F33" s="4">
        <f>'תקציב הנדסה 2020 '!F33</f>
        <v>0</v>
      </c>
      <c r="G33" s="4">
        <f>'תקציב הנדסה 2020 '!G33</f>
        <v>11550000</v>
      </c>
      <c r="H33" s="4">
        <f>'תקציב הנדסה 2020 '!H33</f>
        <v>8929257.1899999995</v>
      </c>
      <c r="I33" s="4">
        <f>'תקציב הנדסה 2020 '!I33</f>
        <v>799141.59</v>
      </c>
      <c r="J33" s="4">
        <f>'תקציב הנדסה 2020 '!J33</f>
        <v>1096116.3400000001</v>
      </c>
      <c r="K33" s="4">
        <f>'תקציב הנדסה 2020 '!K33</f>
        <v>1895257.9300000002</v>
      </c>
      <c r="L33" s="4">
        <f>'תקציב הנדסה 2020 '!L33</f>
        <v>10824515.119999999</v>
      </c>
      <c r="M33" s="4">
        <f>'תקציב הנדסה 2020 '!M33</f>
        <v>725484.88000000082</v>
      </c>
      <c r="N33" s="4">
        <f>'תקציב הנדסה 2020 '!N33</f>
        <v>4000000</v>
      </c>
      <c r="O33" s="4">
        <f>'תקציב הנדסה 2020 '!O33</f>
        <v>18650000</v>
      </c>
      <c r="P33" s="4">
        <f>'תקציב הנדסה 2020 '!P33</f>
        <v>725484.88000000082</v>
      </c>
      <c r="Q33" s="4">
        <f>'תקציב הנדסה 2020 '!Q33</f>
        <v>0</v>
      </c>
      <c r="R33" s="4">
        <f>'תקציב הנדסה 2020 '!R33</f>
        <v>0</v>
      </c>
      <c r="S33" s="4">
        <f>'תקציב הנדסה 2020 '!S33</f>
        <v>0</v>
      </c>
      <c r="T33" s="4">
        <f>'תקציב הנדסה 2020 '!T33</f>
        <v>0</v>
      </c>
      <c r="U33" s="4">
        <f>'תקציב הנדסה 2020 '!U33</f>
        <v>4000000</v>
      </c>
      <c r="V33" s="4">
        <f>'תקציב הנדסה 2020 '!V33</f>
        <v>4000000</v>
      </c>
      <c r="W33" s="4">
        <f>'תקציב הנדסה 2020 '!W33</f>
        <v>0</v>
      </c>
      <c r="X33" s="4">
        <f>'תקציב הנדסה 2020 '!X33</f>
        <v>0</v>
      </c>
      <c r="Y33" s="4">
        <f>'תקציב הנדסה 2020 '!Y33</f>
        <v>0</v>
      </c>
      <c r="Z33" s="4">
        <f>'תקציב הנדסה 2020 '!Z33</f>
        <v>0</v>
      </c>
      <c r="AA33" s="87" t="str">
        <f>'תקציב הנדסה 2020 '!AA33</f>
        <v xml:space="preserve">עבודה סלילה, גינון ותאורה במתחם. </v>
      </c>
      <c r="AB33" s="706">
        <f>'תקציב הנדסה 2020 '!AB33</f>
        <v>742000</v>
      </c>
      <c r="AC33" s="620"/>
      <c r="AD33" s="52"/>
    </row>
    <row r="34" spans="1:32" s="6" customFormat="1" ht="19.95" customHeight="1">
      <c r="A34" s="3">
        <f t="shared" si="0"/>
        <v>29</v>
      </c>
      <c r="B34" s="706">
        <f>'תקציב הנדסה 2020 '!B34</f>
        <v>1601</v>
      </c>
      <c r="C34" s="87" t="str">
        <f>'תקציב הנדסה 2020 '!C34</f>
        <v>העתקות פרויקטים שונים</v>
      </c>
      <c r="D34" s="4">
        <f>'תקציב הנדסה 2020 '!D34</f>
        <v>700000</v>
      </c>
      <c r="E34" s="4">
        <f>'תקציב הנדסה 2020 '!E34</f>
        <v>700000</v>
      </c>
      <c r="F34" s="4">
        <f>'תקציב הנדסה 2020 '!F34</f>
        <v>0</v>
      </c>
      <c r="G34" s="4">
        <f>'תקציב הנדסה 2020 '!G34</f>
        <v>650000</v>
      </c>
      <c r="H34" s="4">
        <f>'תקציב הנדסה 2020 '!H34</f>
        <v>512755.34</v>
      </c>
      <c r="I34" s="4">
        <f>'תקציב הנדסה 2020 '!I34</f>
        <v>0</v>
      </c>
      <c r="J34" s="4">
        <f>'תקציב הנדסה 2020 '!J34</f>
        <v>20613.2</v>
      </c>
      <c r="K34" s="4">
        <f>'תקציב הנדסה 2020 '!K34</f>
        <v>20613.2</v>
      </c>
      <c r="L34" s="4">
        <f>'תקציב הנדסה 2020 '!L34</f>
        <v>533368.54</v>
      </c>
      <c r="M34" s="4">
        <f>'תקציב הנדסה 2020 '!M34</f>
        <v>116631.45999999996</v>
      </c>
      <c r="N34" s="4">
        <f>'תקציב הנדסה 2020 '!N34</f>
        <v>0</v>
      </c>
      <c r="O34" s="4">
        <f>'תקציב הנדסה 2020 '!O34</f>
        <v>50000</v>
      </c>
      <c r="P34" s="4">
        <f>'תקציב הנדסה 2020 '!P34</f>
        <v>116631.45999999996</v>
      </c>
      <c r="Q34" s="4">
        <f>'תקציב הנדסה 2020 '!Q34</f>
        <v>0</v>
      </c>
      <c r="R34" s="4">
        <f>'תקציב הנדסה 2020 '!R34</f>
        <v>0</v>
      </c>
      <c r="S34" s="4">
        <f>'תקציב הנדסה 2020 '!S34</f>
        <v>0</v>
      </c>
      <c r="T34" s="4">
        <f>'תקציב הנדסה 2020 '!T34</f>
        <v>0</v>
      </c>
      <c r="U34" s="4">
        <f>'תקציב הנדסה 2020 '!U34</f>
        <v>0</v>
      </c>
      <c r="V34" s="4">
        <f>'תקציב הנדסה 2020 '!V34</f>
        <v>0</v>
      </c>
      <c r="W34" s="4">
        <f>'תקציב הנדסה 2020 '!W34</f>
        <v>0</v>
      </c>
      <c r="X34" s="4">
        <f>'תקציב הנדסה 2020 '!X34</f>
        <v>0</v>
      </c>
      <c r="Y34" s="4">
        <f>'תקציב הנדסה 2020 '!Y34</f>
        <v>0</v>
      </c>
      <c r="Z34" s="4">
        <f>'תקציב הנדסה 2020 '!Z34</f>
        <v>0</v>
      </c>
      <c r="AA34" s="87">
        <f>'תקציב הנדסה 2020 '!AA34</f>
        <v>0</v>
      </c>
      <c r="AB34" s="706">
        <f>'תקציב הנדסה 2020 '!AB34</f>
        <v>742000</v>
      </c>
      <c r="AC34" s="619"/>
      <c r="AD34" s="52"/>
      <c r="AE34" s="5"/>
      <c r="AF34" s="5"/>
    </row>
    <row r="35" spans="1:32" s="5" customFormat="1" ht="28.8" customHeight="1">
      <c r="A35" s="3">
        <f t="shared" si="0"/>
        <v>30</v>
      </c>
      <c r="B35" s="706">
        <f>'תקציב הנדסה 2020 '!B35</f>
        <v>1602</v>
      </c>
      <c r="C35" s="87" t="str">
        <f>'תקציב הנדסה 2020 '!C35</f>
        <v>רח' ז'בוטינסקי אלתרמן הבריגדה</v>
      </c>
      <c r="D35" s="4">
        <f>'תקציב הנדסה 2020 '!D35</f>
        <v>32500000</v>
      </c>
      <c r="E35" s="4">
        <f>'תקציב הנדסה 2020 '!E35</f>
        <v>29500000</v>
      </c>
      <c r="F35" s="4">
        <f>'תקציב הנדסה 2020 '!F35</f>
        <v>3000000</v>
      </c>
      <c r="G35" s="4">
        <f>'תקציב הנדסה 2020 '!G35</f>
        <v>32500000</v>
      </c>
      <c r="H35" s="4">
        <f>'תקציב הנדסה 2020 '!H35</f>
        <v>29008286.469999999</v>
      </c>
      <c r="I35" s="4">
        <f>'תקציב הנדסה 2020 '!I35</f>
        <v>2652256.21</v>
      </c>
      <c r="J35" s="4">
        <f>'תקציב הנדסה 2020 '!J35</f>
        <v>150108.25</v>
      </c>
      <c r="K35" s="4">
        <f>'תקציב הנדסה 2020 '!K35</f>
        <v>2802364.46</v>
      </c>
      <c r="L35" s="4">
        <f>'תקציב הנדסה 2020 '!L35</f>
        <v>31810650.93</v>
      </c>
      <c r="M35" s="4">
        <f>'תקציב הנדסה 2020 '!M35</f>
        <v>689349.0700000003</v>
      </c>
      <c r="N35" s="4">
        <f>'תקציב הנדסה 2020 '!N35</f>
        <v>0</v>
      </c>
      <c r="O35" s="4">
        <f>'תקציב הנדסה 2020 '!O35</f>
        <v>0</v>
      </c>
      <c r="P35" s="4">
        <f>'תקציב הנדסה 2020 '!P35</f>
        <v>689349.0700000003</v>
      </c>
      <c r="Q35" s="4">
        <f>'תקציב הנדסה 2020 '!Q35</f>
        <v>0</v>
      </c>
      <c r="R35" s="4">
        <f>'תקציב הנדסה 2020 '!R35</f>
        <v>0</v>
      </c>
      <c r="S35" s="4">
        <f>'תקציב הנדסה 2020 '!S35</f>
        <v>0</v>
      </c>
      <c r="T35" s="4">
        <f>'תקציב הנדסה 2020 '!T35</f>
        <v>0</v>
      </c>
      <c r="U35" s="4">
        <f>'תקציב הנדסה 2020 '!U35</f>
        <v>0</v>
      </c>
      <c r="V35" s="4">
        <f>'תקציב הנדסה 2020 '!V35</f>
        <v>0</v>
      </c>
      <c r="W35" s="4">
        <f>'תקציב הנדסה 2020 '!W35</f>
        <v>0</v>
      </c>
      <c r="X35" s="4">
        <f>'תקציב הנדסה 2020 '!X35</f>
        <v>0</v>
      </c>
      <c r="Y35" s="4">
        <f>'תקציב הנדסה 2020 '!Y35</f>
        <v>0</v>
      </c>
      <c r="Z35" s="4">
        <f>'תקציב הנדסה 2020 '!Z35</f>
        <v>0</v>
      </c>
      <c r="AA35" s="87" t="str">
        <f>'תקציב הנדסה 2020 '!AA35</f>
        <v>עבודות פיתוח במתחם הרחובות והרחבתם.סיום. חן סופיים.</v>
      </c>
      <c r="AB35" s="706">
        <f>'תקציב הנדסה 2020 '!AB35</f>
        <v>742000</v>
      </c>
      <c r="AC35" s="619"/>
      <c r="AD35" s="52"/>
    </row>
    <row r="36" spans="1:32" s="5" customFormat="1" ht="41.4">
      <c r="A36" s="3">
        <f t="shared" si="0"/>
        <v>31</v>
      </c>
      <c r="B36" s="706">
        <f>'תקציב הנדסה 2020 '!B36</f>
        <v>1619</v>
      </c>
      <c r="C36" s="87" t="str">
        <f>'תקציב הנדסה 2020 '!C36</f>
        <v>הסדרת שצ"פ למגורים הר' 2257</v>
      </c>
      <c r="D36" s="4">
        <f>'תקציב הנדסה 2020 '!D36</f>
        <v>250000</v>
      </c>
      <c r="E36" s="4">
        <f>'תקציב הנדסה 2020 '!E36</f>
        <v>250000</v>
      </c>
      <c r="F36" s="4">
        <f>'תקציב הנדסה 2020 '!F36</f>
        <v>0</v>
      </c>
      <c r="G36" s="4">
        <f>'תקציב הנדסה 2020 '!G36</f>
        <v>200000</v>
      </c>
      <c r="H36" s="4">
        <f>'תקציב הנדסה 2020 '!H36</f>
        <v>90207</v>
      </c>
      <c r="I36" s="4">
        <f>'תקציב הנדסה 2020 '!I36</f>
        <v>0</v>
      </c>
      <c r="J36" s="4">
        <f>'תקציב הנדסה 2020 '!J36</f>
        <v>10580.9</v>
      </c>
      <c r="K36" s="4">
        <f>'תקציב הנדסה 2020 '!K36</f>
        <v>10580.9</v>
      </c>
      <c r="L36" s="4">
        <f>'תקציב הנדסה 2020 '!L36</f>
        <v>100787.9</v>
      </c>
      <c r="M36" s="4">
        <f>'תקציב הנדסה 2020 '!M36</f>
        <v>99212.1</v>
      </c>
      <c r="N36" s="4">
        <f>'תקציב הנדסה 2020 '!N36</f>
        <v>0</v>
      </c>
      <c r="O36" s="4">
        <f>'תקציב הנדסה 2020 '!O36</f>
        <v>50000</v>
      </c>
      <c r="P36" s="4">
        <f>'תקציב הנדסה 2020 '!P36</f>
        <v>99212.1</v>
      </c>
      <c r="Q36" s="4">
        <f>'תקציב הנדסה 2020 '!Q36</f>
        <v>0</v>
      </c>
      <c r="R36" s="4">
        <f>'תקציב הנדסה 2020 '!R36</f>
        <v>0</v>
      </c>
      <c r="S36" s="4">
        <f>'תקציב הנדסה 2020 '!S36</f>
        <v>0</v>
      </c>
      <c r="T36" s="4">
        <f>'תקציב הנדסה 2020 '!T36</f>
        <v>0</v>
      </c>
      <c r="U36" s="4">
        <f>'תקציב הנדסה 2020 '!U36</f>
        <v>0</v>
      </c>
      <c r="V36" s="4">
        <f>'תקציב הנדסה 2020 '!V36</f>
        <v>0</v>
      </c>
      <c r="W36" s="4">
        <f>'תקציב הנדסה 2020 '!W36</f>
        <v>0</v>
      </c>
      <c r="X36" s="4">
        <f>'תקציב הנדסה 2020 '!X36</f>
        <v>0</v>
      </c>
      <c r="Y36" s="4">
        <f>'תקציב הנדסה 2020 '!Y36</f>
        <v>0</v>
      </c>
      <c r="Z36" s="4">
        <f>'תקציב הנדסה 2020 '!Z36</f>
        <v>0</v>
      </c>
      <c r="AA36" s="87" t="str">
        <f>'תקציב הנדסה 2020 '!AA36</f>
        <v>תכנון שינוי תב"ע משצ"פ למגורים בעקבות היתרים קיימים משנות ה - 90 שאינם תואמים למצב הסטטוטורי הקיים.</v>
      </c>
      <c r="AB36" s="706">
        <f>'תקציב הנדסה 2020 '!AB36</f>
        <v>732000</v>
      </c>
      <c r="AC36" s="619"/>
      <c r="AD36" s="52"/>
    </row>
    <row r="37" spans="1:32" s="5" customFormat="1" ht="39" customHeight="1">
      <c r="A37" s="3">
        <f t="shared" si="0"/>
        <v>32</v>
      </c>
      <c r="B37" s="706">
        <f>'תקציב הנדסה 2020 '!B37</f>
        <v>1620</v>
      </c>
      <c r="C37" s="87" t="str">
        <f>'תקציב הנדסה 2020 '!C37</f>
        <v xml:space="preserve"> תכנון חיבוריות בין מזרח למערב </v>
      </c>
      <c r="D37" s="4">
        <f>'תקציב הנדסה 2020 '!D37</f>
        <v>1000000</v>
      </c>
      <c r="E37" s="4">
        <f>'תקציב הנדסה 2020 '!E37</f>
        <v>1000000</v>
      </c>
      <c r="F37" s="4">
        <f>'תקציב הנדסה 2020 '!F37</f>
        <v>0</v>
      </c>
      <c r="G37" s="4">
        <f>'תקציב הנדסה 2020 '!G37</f>
        <v>300000</v>
      </c>
      <c r="H37" s="4">
        <f>'תקציב הנדסה 2020 '!H37</f>
        <v>0</v>
      </c>
      <c r="I37" s="4">
        <f>'תקציב הנדסה 2020 '!I37</f>
        <v>0</v>
      </c>
      <c r="J37" s="4">
        <f>'תקציב הנדסה 2020 '!J37</f>
        <v>0</v>
      </c>
      <c r="K37" s="4">
        <f>'תקציב הנדסה 2020 '!K37</f>
        <v>0</v>
      </c>
      <c r="L37" s="4">
        <f>'תקציב הנדסה 2020 '!L37</f>
        <v>0</v>
      </c>
      <c r="M37" s="4">
        <f>'תקציב הנדסה 2020 '!M37</f>
        <v>0</v>
      </c>
      <c r="N37" s="4">
        <f>'תקציב הנדסה 2020 '!N37</f>
        <v>300000</v>
      </c>
      <c r="O37" s="4">
        <f>'תקציב הנדסה 2020 '!O37</f>
        <v>700000</v>
      </c>
      <c r="P37" s="4">
        <f>'תקציב הנדסה 2020 '!P37</f>
        <v>300000</v>
      </c>
      <c r="Q37" s="4">
        <f>'תקציב הנדסה 2020 '!Q37</f>
        <v>0</v>
      </c>
      <c r="R37" s="4">
        <f>'תקציב הנדסה 2020 '!R37</f>
        <v>0</v>
      </c>
      <c r="S37" s="4">
        <f>'תקציב הנדסה 2020 '!S37</f>
        <v>0</v>
      </c>
      <c r="T37" s="4">
        <f>'תקציב הנדסה 2020 '!T37</f>
        <v>300000</v>
      </c>
      <c r="U37" s="4">
        <f>'תקציב הנדסה 2020 '!U37</f>
        <v>0</v>
      </c>
      <c r="V37" s="4">
        <f>'תקציב הנדסה 2020 '!V37</f>
        <v>0</v>
      </c>
      <c r="W37" s="4">
        <f>'תקציב הנדסה 2020 '!W37</f>
        <v>0</v>
      </c>
      <c r="X37" s="4">
        <f>'תקציב הנדסה 2020 '!X37</f>
        <v>0</v>
      </c>
      <c r="Y37" s="4">
        <f>'תקציב הנדסה 2020 '!Y37</f>
        <v>0</v>
      </c>
      <c r="Z37" s="4">
        <f>'תקציב הנדסה 2020 '!Z37</f>
        <v>0</v>
      </c>
      <c r="AA37" s="87" t="str">
        <f>'תקציב הנדסה 2020 '!AA37</f>
        <v>תכנון כולל לסוגיית חיזוק הקשר בין מזרח העיר למערבה באמצעות תוספות של גשרים להולכי רגל ורכב דו גלגלי.</v>
      </c>
      <c r="AB37" s="706">
        <f>'תקציב הנדסה 2020 '!AB37</f>
        <v>732000</v>
      </c>
      <c r="AC37" s="619"/>
      <c r="AD37" s="52"/>
    </row>
    <row r="38" spans="1:32" s="5" customFormat="1" ht="27.6">
      <c r="A38" s="3">
        <f t="shared" si="0"/>
        <v>33</v>
      </c>
      <c r="B38" s="706">
        <f>'תקציב הנדסה 2020 '!B38</f>
        <v>1660</v>
      </c>
      <c r="C38" s="87" t="str">
        <f>'תקציב הנדסה 2020 '!C38</f>
        <v>תכנון פרויקטים פינוי בינוי</v>
      </c>
      <c r="D38" s="4">
        <f>'תקציב הנדסה 2020 '!D38</f>
        <v>2000000</v>
      </c>
      <c r="E38" s="4">
        <f>'תקציב הנדסה 2020 '!E38</f>
        <v>2000000</v>
      </c>
      <c r="F38" s="4">
        <f>'תקציב הנדסה 2020 '!F38</f>
        <v>0</v>
      </c>
      <c r="G38" s="4">
        <f>'תקציב הנדסה 2020 '!G38</f>
        <v>600000</v>
      </c>
      <c r="H38" s="4">
        <f>'תקציב הנדסה 2020 '!H38</f>
        <v>120082.5</v>
      </c>
      <c r="I38" s="4">
        <f>'תקציב הנדסה 2020 '!I38</f>
        <v>0</v>
      </c>
      <c r="J38" s="4">
        <f>'תקציב הנדסה 2020 '!J38</f>
        <v>16103.59</v>
      </c>
      <c r="K38" s="4">
        <f>'תקציב הנדסה 2020 '!K38</f>
        <v>16103.59</v>
      </c>
      <c r="L38" s="4">
        <f>'תקציב הנדסה 2020 '!L38</f>
        <v>136186.09</v>
      </c>
      <c r="M38" s="4">
        <f>'תקציב הנדסה 2020 '!M38</f>
        <v>463813.91000000003</v>
      </c>
      <c r="N38" s="4">
        <f>'תקציב הנדסה 2020 '!N38</f>
        <v>500000</v>
      </c>
      <c r="O38" s="4">
        <f>'תקציב הנדסה 2020 '!O38</f>
        <v>900000</v>
      </c>
      <c r="P38" s="4">
        <f>'תקציב הנדסה 2020 '!P38</f>
        <v>463813.91000000003</v>
      </c>
      <c r="Q38" s="4">
        <f>'תקציב הנדסה 2020 '!Q38</f>
        <v>0</v>
      </c>
      <c r="R38" s="4">
        <f>'תקציב הנדסה 2020 '!R38</f>
        <v>0</v>
      </c>
      <c r="S38" s="4">
        <f>'תקציב הנדסה 2020 '!S38</f>
        <v>0</v>
      </c>
      <c r="T38" s="4">
        <f>'תקציב הנדסה 2020 '!T38</f>
        <v>0</v>
      </c>
      <c r="U38" s="4">
        <f>'תקציב הנדסה 2020 '!U38</f>
        <v>500000</v>
      </c>
      <c r="V38" s="4">
        <f>'תקציב הנדסה 2020 '!V38</f>
        <v>500000</v>
      </c>
      <c r="W38" s="4">
        <f>'תקציב הנדסה 2020 '!W38</f>
        <v>0</v>
      </c>
      <c r="X38" s="4">
        <f>'תקציב הנדסה 2020 '!X38</f>
        <v>0</v>
      </c>
      <c r="Y38" s="4">
        <f>'תקציב הנדסה 2020 '!Y38</f>
        <v>0</v>
      </c>
      <c r="Z38" s="4">
        <f>'תקציב הנדסה 2020 '!Z38</f>
        <v>0</v>
      </c>
      <c r="AA38" s="87" t="str">
        <f>'תקציב הנדסה 2020 '!AA38</f>
        <v>בדיקת התכנות של מתחמי פינוי בינוי ותכנון פרויקטים להתחדשות עירונית ופינוי בינוי. איחוד עם תב"ר 1674.</v>
      </c>
      <c r="AB38" s="706">
        <f>'תקציב הנדסה 2020 '!AB38</f>
        <v>732000</v>
      </c>
      <c r="AC38" s="620"/>
      <c r="AD38" s="52"/>
    </row>
    <row r="39" spans="1:32" s="6" customFormat="1" ht="19.95" customHeight="1">
      <c r="A39" s="3">
        <f t="shared" si="0"/>
        <v>34</v>
      </c>
      <c r="B39" s="706">
        <f>'תקציב הנדסה 2020 '!B39</f>
        <v>1670</v>
      </c>
      <c r="C39" s="87" t="str">
        <f>'תקציב הנדסה 2020 '!C39</f>
        <v>פתוח מתחם הר' 1972 תחנה מרכזית</v>
      </c>
      <c r="D39" s="4">
        <f>'תקציב הנדסה 2020 '!D39</f>
        <v>12500000</v>
      </c>
      <c r="E39" s="4">
        <f>'תקציב הנדסה 2020 '!E39</f>
        <v>12500000</v>
      </c>
      <c r="F39" s="4">
        <f>'תקציב הנדסה 2020 '!F39</f>
        <v>0</v>
      </c>
      <c r="G39" s="4">
        <f>'תקציב הנדסה 2020 '!G39</f>
        <v>850000</v>
      </c>
      <c r="H39" s="4">
        <f>'תקציב הנדסה 2020 '!H39</f>
        <v>168571</v>
      </c>
      <c r="I39" s="4">
        <f>'תקציב הנדסה 2020 '!I39</f>
        <v>195569.65</v>
      </c>
      <c r="J39" s="4">
        <f>'תקציב הנדסה 2020 '!J39</f>
        <v>43446.1</v>
      </c>
      <c r="K39" s="4">
        <f>'תקציב הנדסה 2020 '!K39</f>
        <v>239015.75</v>
      </c>
      <c r="L39" s="4">
        <f>'תקציב הנדסה 2020 '!L39</f>
        <v>407586.75</v>
      </c>
      <c r="M39" s="4">
        <f>'תקציב הנדסה 2020 '!M39</f>
        <v>442413.25</v>
      </c>
      <c r="N39" s="4">
        <f>'תקציב הנדסה 2020 '!N39</f>
        <v>700000</v>
      </c>
      <c r="O39" s="4">
        <f>'תקציב הנדסה 2020 '!O39</f>
        <v>10950000</v>
      </c>
      <c r="P39" s="4">
        <f>'תקציב הנדסה 2020 '!P39</f>
        <v>442413.25</v>
      </c>
      <c r="Q39" s="4">
        <f>'תקציב הנדסה 2020 '!Q39</f>
        <v>0</v>
      </c>
      <c r="R39" s="4">
        <f>'תקציב הנדסה 2020 '!R39</f>
        <v>0</v>
      </c>
      <c r="S39" s="4">
        <f>'תקציב הנדסה 2020 '!S39</f>
        <v>0</v>
      </c>
      <c r="T39" s="4">
        <f>'תקציב הנדסה 2020 '!T39</f>
        <v>0</v>
      </c>
      <c r="U39" s="4">
        <f>'תקציב הנדסה 2020 '!U39</f>
        <v>700000</v>
      </c>
      <c r="V39" s="4">
        <f>'תקציב הנדסה 2020 '!V39</f>
        <v>700000</v>
      </c>
      <c r="W39" s="4">
        <f>'תקציב הנדסה 2020 '!W39</f>
        <v>0</v>
      </c>
      <c r="X39" s="4">
        <f>'תקציב הנדסה 2020 '!X39</f>
        <v>0</v>
      </c>
      <c r="Y39" s="4">
        <f>'תקציב הנדסה 2020 '!Y39</f>
        <v>0</v>
      </c>
      <c r="Z39" s="4">
        <f>'תקציב הנדסה 2020 '!Z39</f>
        <v>0</v>
      </c>
      <c r="AA39" s="87" t="str">
        <f>'תקציב הנדסה 2020 '!AA39</f>
        <v>תכנון פיתוח מתחם התחנה.</v>
      </c>
      <c r="AB39" s="706">
        <f>'תקציב הנדסה 2020 '!AB39</f>
        <v>742000</v>
      </c>
      <c r="AC39" s="619"/>
      <c r="AD39" s="52"/>
      <c r="AE39" s="5"/>
      <c r="AF39" s="5"/>
    </row>
    <row r="40" spans="1:32" s="5" customFormat="1" ht="27.6">
      <c r="A40" s="3">
        <f t="shared" si="0"/>
        <v>35</v>
      </c>
      <c r="B40" s="706">
        <f>'תקציב הנדסה 2020 '!B40</f>
        <v>1674</v>
      </c>
      <c r="C40" s="87" t="str">
        <f>'תקציב הנדסה 2020 '!C40</f>
        <v>התחדשות עירונית</v>
      </c>
      <c r="D40" s="4">
        <f>'תקציב הנדסה 2020 '!D40</f>
        <v>1800000</v>
      </c>
      <c r="E40" s="4">
        <f>'תקציב הנדסה 2020 '!E40</f>
        <v>2300000</v>
      </c>
      <c r="F40" s="4">
        <f>'תקציב הנדסה 2020 '!F40</f>
        <v>-500000</v>
      </c>
      <c r="G40" s="4">
        <f>'תקציב הנדסה 2020 '!G40</f>
        <v>2300000</v>
      </c>
      <c r="H40" s="4">
        <f>'תקציב הנדסה 2020 '!H40</f>
        <v>1414819.69</v>
      </c>
      <c r="I40" s="4">
        <f>'תקציב הנדסה 2020 '!I40</f>
        <v>300189.64</v>
      </c>
      <c r="J40" s="4">
        <f>'תקציב הנדסה 2020 '!J40</f>
        <v>13969.8</v>
      </c>
      <c r="K40" s="4">
        <f>'תקציב הנדסה 2020 '!K40</f>
        <v>314159.44</v>
      </c>
      <c r="L40" s="4">
        <f>'תקציב הנדסה 2020 '!L40</f>
        <v>1728979.13</v>
      </c>
      <c r="M40" s="4">
        <f>'תקציב הנדסה 2020 '!M40</f>
        <v>71020.870000000112</v>
      </c>
      <c r="N40" s="4">
        <f>'תקציב הנדסה 2020 '!N40</f>
        <v>0</v>
      </c>
      <c r="O40" s="4">
        <f>'תקציב הנדסה 2020 '!O40</f>
        <v>0</v>
      </c>
      <c r="P40" s="4">
        <f>'תקציב הנדסה 2020 '!P40</f>
        <v>571020.87000000011</v>
      </c>
      <c r="Q40" s="4">
        <f>'תקציב הנדסה 2020 '!Q40</f>
        <v>0</v>
      </c>
      <c r="R40" s="4">
        <f>'תקציב הנדסה 2020 '!R40</f>
        <v>0</v>
      </c>
      <c r="S40" s="4">
        <f>'תקציב הנדסה 2020 '!S40</f>
        <v>0</v>
      </c>
      <c r="T40" s="4">
        <f>'תקציב הנדסה 2020 '!T40</f>
        <v>500000</v>
      </c>
      <c r="U40" s="4">
        <f>'תקציב הנדסה 2020 '!U40</f>
        <v>-500000</v>
      </c>
      <c r="V40" s="4">
        <f>'תקציב הנדסה 2020 '!V40</f>
        <v>-500000</v>
      </c>
      <c r="W40" s="4">
        <f>'תקציב הנדסה 2020 '!W40</f>
        <v>0</v>
      </c>
      <c r="X40" s="4">
        <f>'תקציב הנדסה 2020 '!X40</f>
        <v>0</v>
      </c>
      <c r="Y40" s="4">
        <f>'תקציב הנדסה 2020 '!Y40</f>
        <v>0</v>
      </c>
      <c r="Z40" s="4">
        <f>'תקציב הנדסה 2020 '!Z40</f>
        <v>0</v>
      </c>
      <c r="AA40" s="87" t="str">
        <f>'תקציב הנדסה 2020 '!AA40</f>
        <v>בדיקת התכנות טרם קביעת ותוך כדי בחינת מתחמי פינוי בינוי. ראה תב"ר 1660.</v>
      </c>
      <c r="AB40" s="706">
        <f>'תקציב הנדסה 2020 '!AB40</f>
        <v>732000</v>
      </c>
      <c r="AC40" s="620"/>
      <c r="AD40" s="52"/>
      <c r="AE40" s="7"/>
      <c r="AF40" s="7"/>
    </row>
    <row r="41" spans="1:32" s="6" customFormat="1" ht="27.6" customHeight="1">
      <c r="A41" s="3">
        <f t="shared" si="0"/>
        <v>36</v>
      </c>
      <c r="B41" s="706">
        <f>'תקציב הנדסה 2020 '!B41</f>
        <v>1692</v>
      </c>
      <c r="C41" s="87" t="str">
        <f>'תקציב הנדסה 2020 '!C41</f>
        <v>פינוי בינוי מעונות שרה</v>
      </c>
      <c r="D41" s="4">
        <f>'תקציב הנדסה 2020 '!D41</f>
        <v>2450000</v>
      </c>
      <c r="E41" s="4">
        <f>'תקציב הנדסה 2020 '!E41</f>
        <v>2450000</v>
      </c>
      <c r="F41" s="4">
        <f>'תקציב הנדסה 2020 '!F41</f>
        <v>0</v>
      </c>
      <c r="G41" s="4">
        <f>'תקציב הנדסה 2020 '!G41</f>
        <v>1439186</v>
      </c>
      <c r="H41" s="4">
        <f>'תקציב הנדסה 2020 '!H41</f>
        <v>578670.81000000006</v>
      </c>
      <c r="I41" s="4">
        <f>'תקציב הנדסה 2020 '!I41</f>
        <v>128716.16</v>
      </c>
      <c r="J41" s="4">
        <f>'תקציב הנדסה 2020 '!J41</f>
        <v>186.56</v>
      </c>
      <c r="K41" s="4">
        <f>'תקציב הנדסה 2020 '!K41</f>
        <v>128902.72</v>
      </c>
      <c r="L41" s="4">
        <f>'תקציב הנדסה 2020 '!L41</f>
        <v>707573.53</v>
      </c>
      <c r="M41" s="4">
        <f>'תקציב הנדסה 2020 '!M41</f>
        <v>1038935.47</v>
      </c>
      <c r="N41" s="4">
        <f>'תקציב הנדסה 2020 '!N41</f>
        <v>0</v>
      </c>
      <c r="O41" s="4">
        <f>'תקציב הנדסה 2020 '!O41</f>
        <v>703491</v>
      </c>
      <c r="P41" s="4">
        <f>'תקציב הנדסה 2020 '!P41</f>
        <v>731612.47</v>
      </c>
      <c r="Q41" s="4">
        <f>'תקציב הנדסה 2020 '!Q41</f>
        <v>307323</v>
      </c>
      <c r="R41" s="4">
        <f>'תקציב הנדסה 2020 '!R41</f>
        <v>0</v>
      </c>
      <c r="S41" s="4">
        <f>'תקציב הנדסה 2020 '!S41</f>
        <v>307323</v>
      </c>
      <c r="T41" s="4">
        <f>'תקציב הנדסה 2020 '!T41</f>
        <v>0</v>
      </c>
      <c r="U41" s="4">
        <f>'תקציב הנדסה 2020 '!U41</f>
        <v>0</v>
      </c>
      <c r="V41" s="4">
        <f>'תקציב הנדסה 2020 '!V41</f>
        <v>0</v>
      </c>
      <c r="W41" s="4">
        <f>'תקציב הנדסה 2020 '!W41</f>
        <v>0</v>
      </c>
      <c r="X41" s="4">
        <f>'תקציב הנדסה 2020 '!X41</f>
        <v>0</v>
      </c>
      <c r="Y41" s="4">
        <f>'תקציב הנדסה 2020 '!Y41</f>
        <v>0</v>
      </c>
      <c r="Z41" s="4">
        <f>'תקציב הנדסה 2020 '!Z41</f>
        <v>0</v>
      </c>
      <c r="AA41" s="87" t="str">
        <f>'תקציב הנדסה 2020 '!AA41</f>
        <v>תכנון מתחם מעונות שרה לפינוי ובינוי.מימון משרד הבינוי.</v>
      </c>
      <c r="AB41" s="706">
        <f>'תקציב הנדסה 2020 '!AB41</f>
        <v>732000</v>
      </c>
      <c r="AC41" s="619"/>
      <c r="AD41" s="52"/>
      <c r="AE41" s="5"/>
      <c r="AF41" s="5"/>
    </row>
    <row r="42" spans="1:32" s="5" customFormat="1">
      <c r="A42" s="3">
        <f t="shared" si="0"/>
        <v>37</v>
      </c>
      <c r="B42" s="706">
        <f>'תקציב הנדסה 2020 '!B42</f>
        <v>1693</v>
      </c>
      <c r="C42" s="87" t="str">
        <f>'תקציב הנדסה 2020 '!C42</f>
        <v xml:space="preserve">פינוי בינוי צומת כדורי </v>
      </c>
      <c r="D42" s="4">
        <f>'תקציב הנדסה 2020 '!D42</f>
        <v>4500000</v>
      </c>
      <c r="E42" s="4">
        <f>'תקציב הנדסה 2020 '!E42</f>
        <v>4500000</v>
      </c>
      <c r="F42" s="4">
        <f>'תקציב הנדסה 2020 '!F42</f>
        <v>0</v>
      </c>
      <c r="G42" s="4">
        <f>'תקציב הנדסה 2020 '!G42</f>
        <v>2235481</v>
      </c>
      <c r="H42" s="4">
        <f>'תקציב הנדסה 2020 '!H42</f>
        <v>312538.53000000003</v>
      </c>
      <c r="I42" s="4">
        <f>'תקציב הנדסה 2020 '!I42</f>
        <v>48062.98</v>
      </c>
      <c r="J42" s="4">
        <f>'תקציב הנדסה 2020 '!J42</f>
        <v>0</v>
      </c>
      <c r="K42" s="4">
        <f>'תקציב הנדסה 2020 '!K42</f>
        <v>48062.98</v>
      </c>
      <c r="L42" s="4">
        <f>'תקציב הנדסה 2020 '!L42</f>
        <v>360601.51</v>
      </c>
      <c r="M42" s="4">
        <f>'תקציב הנדסה 2020 '!M42</f>
        <v>1874879.49</v>
      </c>
      <c r="N42" s="4">
        <f>'תקציב הנדסה 2020 '!N42</f>
        <v>0</v>
      </c>
      <c r="O42" s="4">
        <f>'תקציב הנדסה 2020 '!O42</f>
        <v>2264519</v>
      </c>
      <c r="P42" s="4">
        <f>'תקציב הנדסה 2020 '!P42</f>
        <v>1874879.49</v>
      </c>
      <c r="Q42" s="4">
        <f>'תקציב הנדסה 2020 '!Q42</f>
        <v>0</v>
      </c>
      <c r="R42" s="4">
        <f>'תקציב הנדסה 2020 '!R42</f>
        <v>0</v>
      </c>
      <c r="S42" s="4">
        <f>'תקציב הנדסה 2020 '!S42</f>
        <v>0</v>
      </c>
      <c r="T42" s="4">
        <f>'תקציב הנדסה 2020 '!T42</f>
        <v>0</v>
      </c>
      <c r="U42" s="4">
        <f>'תקציב הנדסה 2020 '!U42</f>
        <v>0</v>
      </c>
      <c r="V42" s="4">
        <f>'תקציב הנדסה 2020 '!V42</f>
        <v>0</v>
      </c>
      <c r="W42" s="4">
        <f>'תקציב הנדסה 2020 '!W42</f>
        <v>0</v>
      </c>
      <c r="X42" s="4">
        <f>'תקציב הנדסה 2020 '!X42</f>
        <v>0</v>
      </c>
      <c r="Y42" s="4">
        <f>'תקציב הנדסה 2020 '!Y42</f>
        <v>0</v>
      </c>
      <c r="Z42" s="4">
        <f>'תקציב הנדסה 2020 '!Z42</f>
        <v>0</v>
      </c>
      <c r="AA42" s="87" t="str">
        <f>'תקציב הנדסה 2020 '!AA42</f>
        <v>תכנון מתחם צומת כדורי לפינוי ובינוי.מימון מ. הבינוי.</v>
      </c>
      <c r="AB42" s="706">
        <f>'תקציב הנדסה 2020 '!AB42</f>
        <v>732000</v>
      </c>
      <c r="AC42" s="619"/>
      <c r="AD42" s="52"/>
    </row>
    <row r="43" spans="1:32" s="5" customFormat="1" ht="27.6">
      <c r="A43" s="3">
        <f t="shared" si="0"/>
        <v>38</v>
      </c>
      <c r="B43" s="706">
        <f>'תקציב הנדסה 2020 '!B43</f>
        <v>1701</v>
      </c>
      <c r="C43" s="87" t="str">
        <f>'תקציב הנדסה 2020 '!C43</f>
        <v>תב"ע הר' 2394 (לשעבר הר  2159 )</v>
      </c>
      <c r="D43" s="4">
        <f>'תקציב הנדסה 2020 '!D43</f>
        <v>1250000</v>
      </c>
      <c r="E43" s="4">
        <f>'תקציב הנדסה 2020 '!E43</f>
        <v>1250000</v>
      </c>
      <c r="F43" s="4">
        <f>'תקציב הנדסה 2020 '!F43</f>
        <v>0</v>
      </c>
      <c r="G43" s="4">
        <f>'תקציב הנדסה 2020 '!G43</f>
        <v>850000</v>
      </c>
      <c r="H43" s="4">
        <f>'תקציב הנדסה 2020 '!H43</f>
        <v>137148</v>
      </c>
      <c r="I43" s="4">
        <f>'תקציב הנדסה 2020 '!I43</f>
        <v>75117.320000000007</v>
      </c>
      <c r="J43" s="4">
        <f>'תקציב הנדסה 2020 '!J43</f>
        <v>150530.28</v>
      </c>
      <c r="K43" s="4">
        <f>'תקציב הנדסה 2020 '!K43</f>
        <v>225647.6</v>
      </c>
      <c r="L43" s="4">
        <f>'תקציב הנדסה 2020 '!L43</f>
        <v>362795.6</v>
      </c>
      <c r="M43" s="4">
        <f>'תקציב הנדסה 2020 '!M43</f>
        <v>487204.4</v>
      </c>
      <c r="N43" s="4">
        <f>'תקציב הנדסה 2020 '!N43</f>
        <v>400000</v>
      </c>
      <c r="O43" s="4">
        <f>'תקציב הנדסה 2020 '!O43</f>
        <v>0</v>
      </c>
      <c r="P43" s="4">
        <f>'תקציב הנדסה 2020 '!P43</f>
        <v>487204.4</v>
      </c>
      <c r="Q43" s="4">
        <f>'תקציב הנדסה 2020 '!Q43</f>
        <v>0</v>
      </c>
      <c r="R43" s="4">
        <f>'תקציב הנדסה 2020 '!R43</f>
        <v>0</v>
      </c>
      <c r="S43" s="4">
        <f>'תקציב הנדסה 2020 '!S43</f>
        <v>0</v>
      </c>
      <c r="T43" s="4">
        <f>'תקציב הנדסה 2020 '!T43</f>
        <v>0</v>
      </c>
      <c r="U43" s="4">
        <f>'תקציב הנדסה 2020 '!U43</f>
        <v>400000</v>
      </c>
      <c r="V43" s="4">
        <f>'תקציב הנדסה 2020 '!V43</f>
        <v>400000</v>
      </c>
      <c r="W43" s="4">
        <f>'תקציב הנדסה 2020 '!W43</f>
        <v>0</v>
      </c>
      <c r="X43" s="4">
        <f>'תקציב הנדסה 2020 '!X43</f>
        <v>0</v>
      </c>
      <c r="Y43" s="4">
        <f>'תקציב הנדסה 2020 '!Y43</f>
        <v>0</v>
      </c>
      <c r="Z43" s="4">
        <f>'תקציב הנדסה 2020 '!Z43</f>
        <v>0</v>
      </c>
      <c r="AA43" s="87" t="str">
        <f>'תקציב הנדסה 2020 '!AA43</f>
        <v>תכנון תב"ע לשכונה חדשה בהרצליה הצעירה. שטח בגודל של כ - 50 דונם , כ - 300 יח"ד.</v>
      </c>
      <c r="AB43" s="706">
        <f>'תקציב הנדסה 2020 '!AB43</f>
        <v>732000</v>
      </c>
      <c r="AC43" s="619"/>
      <c r="AD43" s="52"/>
    </row>
    <row r="44" spans="1:32" s="5" customFormat="1" ht="27.6">
      <c r="A44" s="3">
        <f t="shared" si="0"/>
        <v>39</v>
      </c>
      <c r="B44" s="706">
        <f>'תקציב הנדסה 2020 '!B44</f>
        <v>1722</v>
      </c>
      <c r="C44" s="87" t="str">
        <f>'תקציב הנדסה 2020 '!C44</f>
        <v>חיבור גשר הולכי רגל כביש 20</v>
      </c>
      <c r="D44" s="4">
        <f>'תקציב הנדסה 2020 '!D44</f>
        <v>2400000</v>
      </c>
      <c r="E44" s="4">
        <f>'תקציב הנדסה 2020 '!E44</f>
        <v>2400000</v>
      </c>
      <c r="F44" s="4">
        <f>'תקציב הנדסה 2020 '!F44</f>
        <v>0</v>
      </c>
      <c r="G44" s="4">
        <f>'תקציב הנדסה 2020 '!G44</f>
        <v>300000</v>
      </c>
      <c r="H44" s="4">
        <f>'תקציב הנדסה 2020 '!H44</f>
        <v>98067.4</v>
      </c>
      <c r="I44" s="4">
        <f>'תקציב הנדסה 2020 '!I44</f>
        <v>67052.7</v>
      </c>
      <c r="J44" s="4">
        <f>'תקציב הנדסה 2020 '!J44</f>
        <v>45473.93</v>
      </c>
      <c r="K44" s="4">
        <f>'תקציב הנדסה 2020 '!K44</f>
        <v>112526.63</v>
      </c>
      <c r="L44" s="4">
        <f>'תקציב הנדסה 2020 '!L44</f>
        <v>210594.03</v>
      </c>
      <c r="M44" s="4">
        <f>'תקציב הנדסה 2020 '!M44</f>
        <v>89405.97</v>
      </c>
      <c r="N44" s="4">
        <f>'תקציב הנדסה 2020 '!N44</f>
        <v>0</v>
      </c>
      <c r="O44" s="4">
        <f>'תקציב הנדסה 2020 '!O44</f>
        <v>2100000</v>
      </c>
      <c r="P44" s="4">
        <f>'תקציב הנדסה 2020 '!P44</f>
        <v>89405.97</v>
      </c>
      <c r="Q44" s="4">
        <f>'תקציב הנדסה 2020 '!Q44</f>
        <v>0</v>
      </c>
      <c r="R44" s="4">
        <f>'תקציב הנדסה 2020 '!R44</f>
        <v>0</v>
      </c>
      <c r="S44" s="4">
        <f>'תקציב הנדסה 2020 '!S44</f>
        <v>0</v>
      </c>
      <c r="T44" s="4">
        <f>'תקציב הנדסה 2020 '!T44</f>
        <v>0</v>
      </c>
      <c r="U44" s="4">
        <f>'תקציב הנדסה 2020 '!U44</f>
        <v>0</v>
      </c>
      <c r="V44" s="4">
        <f>'תקציב הנדסה 2020 '!V44</f>
        <v>0</v>
      </c>
      <c r="W44" s="4">
        <f>'תקציב הנדסה 2020 '!W44</f>
        <v>0</v>
      </c>
      <c r="X44" s="4">
        <f>'תקציב הנדסה 2020 '!X44</f>
        <v>0</v>
      </c>
      <c r="Y44" s="4">
        <f>'תקציב הנדסה 2020 '!Y44</f>
        <v>0</v>
      </c>
      <c r="Z44" s="4">
        <f>'תקציב הנדסה 2020 '!Z44</f>
        <v>0</v>
      </c>
      <c r="AA44" s="87" t="str">
        <f>'תקציב הנדסה 2020 '!AA44</f>
        <v>חיבור פארק שלב ב' עם שכונת המסילה בגשר הולכי רגל מעל כביש 20.</v>
      </c>
      <c r="AB44" s="706">
        <f>'תקציב הנדסה 2020 '!AB44</f>
        <v>742000</v>
      </c>
      <c r="AC44" s="619"/>
      <c r="AD44" s="52"/>
    </row>
    <row r="45" spans="1:32" s="5" customFormat="1" ht="19.95" customHeight="1">
      <c r="A45" s="3">
        <f t="shared" si="0"/>
        <v>40</v>
      </c>
      <c r="B45" s="706">
        <f>'תקציב הנדסה 2020 '!B45</f>
        <v>1744</v>
      </c>
      <c r="C45" s="87" t="str">
        <f>'תקציב הנדסה 2020 '!C45</f>
        <v>מערכת בקרת רמזורים</v>
      </c>
      <c r="D45" s="4">
        <f>'תקציב הנדסה 2020 '!D45</f>
        <v>13000000</v>
      </c>
      <c r="E45" s="4">
        <f>'תקציב הנדסה 2020 '!E45</f>
        <v>13000000</v>
      </c>
      <c r="F45" s="4">
        <f>'תקציב הנדסה 2020 '!F45</f>
        <v>0</v>
      </c>
      <c r="G45" s="4">
        <f>'תקציב הנדסה 2020 '!G45</f>
        <v>8200000</v>
      </c>
      <c r="H45" s="4">
        <f>'תקציב הנדסה 2020 '!H45</f>
        <v>4928998.92</v>
      </c>
      <c r="I45" s="4">
        <f>'תקציב הנדסה 2020 '!I45</f>
        <v>0</v>
      </c>
      <c r="J45" s="4">
        <f>'תקציב הנדסה 2020 '!J45</f>
        <v>2338045.5699999998</v>
      </c>
      <c r="K45" s="4">
        <f>'תקציב הנדסה 2020 '!K45</f>
        <v>2338045.5699999998</v>
      </c>
      <c r="L45" s="4">
        <f>'תקציב הנדסה 2020 '!L45</f>
        <v>7267044.4900000002</v>
      </c>
      <c r="M45" s="4">
        <f>'תקציב הנדסה 2020 '!M45</f>
        <v>932955.50999999978</v>
      </c>
      <c r="N45" s="4">
        <f>'תקציב הנדסה 2020 '!N45</f>
        <v>4800000</v>
      </c>
      <c r="O45" s="4">
        <f>'תקציב הנדסה 2020 '!O45</f>
        <v>0</v>
      </c>
      <c r="P45" s="4">
        <f>'תקציב הנדסה 2020 '!P45</f>
        <v>932955.50999999978</v>
      </c>
      <c r="Q45" s="4">
        <f>'תקציב הנדסה 2020 '!Q45</f>
        <v>0</v>
      </c>
      <c r="R45" s="4">
        <f>'תקציב הנדסה 2020 '!R45</f>
        <v>0</v>
      </c>
      <c r="S45" s="4">
        <f>'תקציב הנדסה 2020 '!S45</f>
        <v>0</v>
      </c>
      <c r="T45" s="4">
        <f>'תקציב הנדסה 2020 '!T45</f>
        <v>0</v>
      </c>
      <c r="U45" s="4">
        <f>'תקציב הנדסה 2020 '!U45</f>
        <v>4800000</v>
      </c>
      <c r="V45" s="4">
        <f>'תקציב הנדסה 2020 '!V45</f>
        <v>4800000</v>
      </c>
      <c r="W45" s="4">
        <f>'תקציב הנדסה 2020 '!W45</f>
        <v>0</v>
      </c>
      <c r="X45" s="4">
        <f>'תקציב הנדסה 2020 '!X45</f>
        <v>0</v>
      </c>
      <c r="Y45" s="4">
        <f>'תקציב הנדסה 2020 '!Y45</f>
        <v>0</v>
      </c>
      <c r="Z45" s="4">
        <f>'תקציב הנדסה 2020 '!Z45</f>
        <v>0</v>
      </c>
      <c r="AA45" s="87" t="str">
        <f>'תקציב הנדסה 2020 '!AA45</f>
        <v xml:space="preserve">הקמת מערכת בקרת רמזורים ברחבי העיר. </v>
      </c>
      <c r="AB45" s="706">
        <f>'תקציב הנדסה 2020 '!AB45</f>
        <v>742000</v>
      </c>
      <c r="AC45" s="619"/>
      <c r="AD45" s="52"/>
    </row>
    <row r="46" spans="1:32" s="5" customFormat="1" ht="19.95" customHeight="1">
      <c r="A46" s="3">
        <f t="shared" si="0"/>
        <v>41</v>
      </c>
      <c r="B46" s="706">
        <f>'תקציב הנדסה 2020 '!B46</f>
        <v>1746</v>
      </c>
      <c r="C46" s="87" t="str">
        <f>'תקציב הנדסה 2020 '!C46</f>
        <v>תכנון חניון במתחם אגד</v>
      </c>
      <c r="D46" s="4">
        <f>'תקציב הנדסה 2020 '!D46</f>
        <v>55000000</v>
      </c>
      <c r="E46" s="4">
        <f>'תקציב הנדסה 2020 '!E46</f>
        <v>55000000</v>
      </c>
      <c r="F46" s="4">
        <f>'תקציב הנדסה 2020 '!F46</f>
        <v>0</v>
      </c>
      <c r="G46" s="4">
        <f>'תקציב הנדסה 2020 '!G46</f>
        <v>0</v>
      </c>
      <c r="H46" s="4">
        <f>'תקציב הנדסה 2020 '!H46</f>
        <v>0</v>
      </c>
      <c r="I46" s="4">
        <f>'תקציב הנדסה 2020 '!I46</f>
        <v>0</v>
      </c>
      <c r="J46" s="4">
        <f>'תקציב הנדסה 2020 '!J46</f>
        <v>0</v>
      </c>
      <c r="K46" s="4">
        <f>'תקציב הנדסה 2020 '!K46</f>
        <v>0</v>
      </c>
      <c r="L46" s="4">
        <f>'תקציב הנדסה 2020 '!L46</f>
        <v>0</v>
      </c>
      <c r="M46" s="4">
        <f>'תקציב הנדסה 2020 '!M46</f>
        <v>0</v>
      </c>
      <c r="N46" s="4">
        <f>'תקציב הנדסה 2020 '!N46</f>
        <v>0</v>
      </c>
      <c r="O46" s="4">
        <f>'תקציב הנדסה 2020 '!O46</f>
        <v>55000000</v>
      </c>
      <c r="P46" s="4">
        <f>'תקציב הנדסה 2020 '!P46</f>
        <v>0</v>
      </c>
      <c r="Q46" s="4">
        <f>'תקציב הנדסה 2020 '!Q46</f>
        <v>0</v>
      </c>
      <c r="R46" s="4">
        <f>'תקציב הנדסה 2020 '!R46</f>
        <v>0</v>
      </c>
      <c r="S46" s="4">
        <f>'תקציב הנדסה 2020 '!S46</f>
        <v>0</v>
      </c>
      <c r="T46" s="4">
        <f>'תקציב הנדסה 2020 '!T46</f>
        <v>0</v>
      </c>
      <c r="U46" s="4">
        <f>'תקציב הנדסה 2020 '!U46</f>
        <v>0</v>
      </c>
      <c r="V46" s="4">
        <f>'תקציב הנדסה 2020 '!V46</f>
        <v>0</v>
      </c>
      <c r="W46" s="4">
        <f>'תקציב הנדסה 2020 '!W46</f>
        <v>0</v>
      </c>
      <c r="X46" s="4">
        <f>'תקציב הנדסה 2020 '!X46</f>
        <v>0</v>
      </c>
      <c r="Y46" s="4">
        <f>'תקציב הנדסה 2020 '!Y46</f>
        <v>0</v>
      </c>
      <c r="Z46" s="4">
        <f>'תקציב הנדסה 2020 '!Z46</f>
        <v>0</v>
      </c>
      <c r="AA46" s="87" t="str">
        <f>'תקציב הנדסה 2020 '!AA46</f>
        <v>תכנון חניון תת קרקעי במתחם התחנה המרכזית הישנה.</v>
      </c>
      <c r="AB46" s="706">
        <f>'תקציב הנדסה 2020 '!AB46</f>
        <v>742000</v>
      </c>
      <c r="AC46" s="621"/>
      <c r="AD46" s="52"/>
    </row>
    <row r="47" spans="1:32" s="5" customFormat="1" ht="19.95" customHeight="1">
      <c r="A47" s="3">
        <f t="shared" si="0"/>
        <v>42</v>
      </c>
      <c r="B47" s="706">
        <f>'תקציב הנדסה 2020 '!B47</f>
        <v>1748</v>
      </c>
      <c r="C47" s="87" t="str">
        <f>'תקציב הנדסה 2020 '!C47</f>
        <v xml:space="preserve">תכנון בנייה ציבורית </v>
      </c>
      <c r="D47" s="4">
        <f>'תקציב הנדסה 2020 '!D47</f>
        <v>120000</v>
      </c>
      <c r="E47" s="4">
        <f>'תקציב הנדסה 2020 '!E47</f>
        <v>120000</v>
      </c>
      <c r="F47" s="4">
        <f>'תקציב הנדסה 2020 '!F47</f>
        <v>0</v>
      </c>
      <c r="G47" s="4">
        <f>'תקציב הנדסה 2020 '!G47</f>
        <v>120000</v>
      </c>
      <c r="H47" s="4">
        <f>'תקציב הנדסה 2020 '!H47</f>
        <v>89830.86</v>
      </c>
      <c r="I47" s="4">
        <f>'תקציב הנדסה 2020 '!I47</f>
        <v>29280.55</v>
      </c>
      <c r="J47" s="4">
        <f>'תקציב הנדסה 2020 '!J47</f>
        <v>0</v>
      </c>
      <c r="K47" s="4">
        <f>'תקציב הנדסה 2020 '!K47</f>
        <v>29280.55</v>
      </c>
      <c r="L47" s="4">
        <f>'תקציב הנדסה 2020 '!L47</f>
        <v>119111.41</v>
      </c>
      <c r="M47" s="4">
        <f>'תקציב הנדסה 2020 '!M47</f>
        <v>888.58999999999651</v>
      </c>
      <c r="N47" s="4">
        <f>'תקציב הנדסה 2020 '!N47</f>
        <v>0</v>
      </c>
      <c r="O47" s="4">
        <f>'תקציב הנדסה 2020 '!O47</f>
        <v>0</v>
      </c>
      <c r="P47" s="4">
        <f>'תקציב הנדסה 2020 '!P47</f>
        <v>888.58999999999651</v>
      </c>
      <c r="Q47" s="4">
        <f>'תקציב הנדסה 2020 '!Q47</f>
        <v>0</v>
      </c>
      <c r="R47" s="4">
        <f>'תקציב הנדסה 2020 '!R47</f>
        <v>0</v>
      </c>
      <c r="S47" s="4">
        <f>'תקציב הנדסה 2020 '!S47</f>
        <v>0</v>
      </c>
      <c r="T47" s="4">
        <f>'תקציב הנדסה 2020 '!T47</f>
        <v>0</v>
      </c>
      <c r="U47" s="4">
        <f>'תקציב הנדסה 2020 '!U47</f>
        <v>0</v>
      </c>
      <c r="V47" s="4">
        <f>'תקציב הנדסה 2020 '!V47</f>
        <v>0</v>
      </c>
      <c r="W47" s="4">
        <f>'תקציב הנדסה 2020 '!W47</f>
        <v>0</v>
      </c>
      <c r="X47" s="4">
        <f>'תקציב הנדסה 2020 '!X47</f>
        <v>0</v>
      </c>
      <c r="Y47" s="4">
        <f>'תקציב הנדסה 2020 '!Y47</f>
        <v>0</v>
      </c>
      <c r="Z47" s="4">
        <f>'תקציב הנדסה 2020 '!Z47</f>
        <v>0</v>
      </c>
      <c r="AA47" s="87">
        <f>'תקציב הנדסה 2020 '!AA47</f>
        <v>0</v>
      </c>
      <c r="AB47" s="706">
        <f>'תקציב הנדסה 2020 '!AB47</f>
        <v>732000</v>
      </c>
      <c r="AC47" s="621"/>
      <c r="AD47" s="52"/>
    </row>
    <row r="48" spans="1:32" s="5" customFormat="1" ht="27.6">
      <c r="A48" s="3">
        <f t="shared" si="0"/>
        <v>43</v>
      </c>
      <c r="B48" s="706">
        <f>'תקציב הנדסה 2020 '!B48</f>
        <v>1755</v>
      </c>
      <c r="C48" s="87" t="str">
        <f>'תקציב הנדסה 2020 '!C48</f>
        <v>תב"ע חניון שטח מרינה לי 2073</v>
      </c>
      <c r="D48" s="4">
        <f>'תקציב הנדסה 2020 '!D48</f>
        <v>200000</v>
      </c>
      <c r="E48" s="4">
        <f>'תקציב הנדסה 2020 '!E48</f>
        <v>200000</v>
      </c>
      <c r="F48" s="4">
        <f>'תקציב הנדסה 2020 '!F48</f>
        <v>0</v>
      </c>
      <c r="G48" s="4">
        <f>'תקציב הנדסה 2020 '!G48</f>
        <v>100000</v>
      </c>
      <c r="H48" s="4">
        <f>'תקציב הנדסה 2020 '!H48</f>
        <v>69371.839999999997</v>
      </c>
      <c r="I48" s="4">
        <f>'תקציב הנדסה 2020 '!I48</f>
        <v>0</v>
      </c>
      <c r="J48" s="4">
        <f>'תקציב הנדסה 2020 '!J48</f>
        <v>10700.37</v>
      </c>
      <c r="K48" s="4">
        <f>'תקציב הנדסה 2020 '!K48</f>
        <v>10700.37</v>
      </c>
      <c r="L48" s="4">
        <f>'תקציב הנדסה 2020 '!L48</f>
        <v>80072.209999999992</v>
      </c>
      <c r="M48" s="4">
        <f>'תקציב הנדסה 2020 '!M48</f>
        <v>19927.790000000008</v>
      </c>
      <c r="N48" s="4">
        <f>'תקציב הנדסה 2020 '!N48</f>
        <v>0</v>
      </c>
      <c r="O48" s="4">
        <f>'תקציב הנדסה 2020 '!O48</f>
        <v>100000</v>
      </c>
      <c r="P48" s="4">
        <f>'תקציב הנדסה 2020 '!P48</f>
        <v>19927.790000000008</v>
      </c>
      <c r="Q48" s="4">
        <f>'תקציב הנדסה 2020 '!Q48</f>
        <v>0</v>
      </c>
      <c r="R48" s="4">
        <f>'תקציב הנדסה 2020 '!R48</f>
        <v>0</v>
      </c>
      <c r="S48" s="4">
        <f>'תקציב הנדסה 2020 '!S48</f>
        <v>0</v>
      </c>
      <c r="T48" s="4">
        <f>'תקציב הנדסה 2020 '!T48</f>
        <v>0</v>
      </c>
      <c r="U48" s="4">
        <f>'תקציב הנדסה 2020 '!U48</f>
        <v>0</v>
      </c>
      <c r="V48" s="4">
        <f>'תקציב הנדסה 2020 '!V48</f>
        <v>0</v>
      </c>
      <c r="W48" s="4">
        <f>'תקציב הנדסה 2020 '!W48</f>
        <v>0</v>
      </c>
      <c r="X48" s="4">
        <f>'תקציב הנדסה 2020 '!X48</f>
        <v>0</v>
      </c>
      <c r="Y48" s="4">
        <f>'תקציב הנדסה 2020 '!Y48</f>
        <v>0</v>
      </c>
      <c r="Z48" s="4">
        <f>'תקציב הנדסה 2020 '!Z48</f>
        <v>0</v>
      </c>
      <c r="AA48" s="87" t="str">
        <f>'תקציב הנדסה 2020 '!AA48</f>
        <v>הכנת תב"ע לבניית חניון מתחת לשצ"פ במתחם "מרינה לי".</v>
      </c>
      <c r="AB48" s="706">
        <f>'תקציב הנדסה 2020 '!AB48</f>
        <v>732000</v>
      </c>
      <c r="AC48" s="621"/>
      <c r="AD48" s="52"/>
    </row>
    <row r="49" spans="1:32" s="6" customFormat="1" ht="41.4">
      <c r="A49" s="3">
        <f t="shared" si="0"/>
        <v>44</v>
      </c>
      <c r="B49" s="706">
        <f>'תקציב הנדסה 2020 '!B49</f>
        <v>1756</v>
      </c>
      <c r="C49" s="87" t="str">
        <f>'תקציב הנדסה 2020 '!C49</f>
        <v>מסמכי מדיניות  ותוכניות אסטרטגיות להתחדשות עירונית בשכונות (*) עדכון שם</v>
      </c>
      <c r="D49" s="4">
        <f>'תקציב הנדסה 2020 '!D49</f>
        <v>1400000</v>
      </c>
      <c r="E49" s="4">
        <f>'תקציב הנדסה 2020 '!E49</f>
        <v>800000</v>
      </c>
      <c r="F49" s="4">
        <f>'תקציב הנדסה 2020 '!F49</f>
        <v>600000</v>
      </c>
      <c r="G49" s="4">
        <f>'תקציב הנדסה 2020 '!G49</f>
        <v>400000</v>
      </c>
      <c r="H49" s="4">
        <f>'תקציב הנדסה 2020 '!H49</f>
        <v>239672</v>
      </c>
      <c r="I49" s="4">
        <f>'תקציב הנדסה 2020 '!I49</f>
        <v>0</v>
      </c>
      <c r="J49" s="4">
        <f>'תקציב הנדסה 2020 '!J49</f>
        <v>44604</v>
      </c>
      <c r="K49" s="4">
        <f>'תקציב הנדסה 2020 '!K49</f>
        <v>44604</v>
      </c>
      <c r="L49" s="4">
        <f>'תקציב הנדסה 2020 '!L49</f>
        <v>284276</v>
      </c>
      <c r="M49" s="4">
        <f>'תקציב הנדסה 2020 '!M49</f>
        <v>115724</v>
      </c>
      <c r="N49" s="4">
        <f>'תקציב הנדסה 2020 '!N49</f>
        <v>1000000</v>
      </c>
      <c r="O49" s="4">
        <f>'תקציב הנדסה 2020 '!O49</f>
        <v>0</v>
      </c>
      <c r="P49" s="4">
        <f>'תקציב הנדסה 2020 '!P49</f>
        <v>115724</v>
      </c>
      <c r="Q49" s="4">
        <f>'תקציב הנדסה 2020 '!Q49</f>
        <v>0</v>
      </c>
      <c r="R49" s="4">
        <f>'תקציב הנדסה 2020 '!R49</f>
        <v>0</v>
      </c>
      <c r="S49" s="4">
        <f>'תקציב הנדסה 2020 '!S49</f>
        <v>0</v>
      </c>
      <c r="T49" s="4">
        <f>'תקציב הנדסה 2020 '!T49</f>
        <v>0</v>
      </c>
      <c r="U49" s="4">
        <f>'תקציב הנדסה 2020 '!U49</f>
        <v>1000000</v>
      </c>
      <c r="V49" s="4">
        <f>'תקציב הנדסה 2020 '!V49</f>
        <v>1000000</v>
      </c>
      <c r="W49" s="4">
        <f>'תקציב הנדסה 2020 '!W49</f>
        <v>0</v>
      </c>
      <c r="X49" s="4">
        <f>'תקציב הנדסה 2020 '!X49</f>
        <v>0</v>
      </c>
      <c r="Y49" s="4">
        <f>'תקציב הנדסה 2020 '!Y49</f>
        <v>0</v>
      </c>
      <c r="Z49" s="4">
        <f>'תקציב הנדסה 2020 '!Z49</f>
        <v>0</v>
      </c>
      <c r="AA49" s="87" t="str">
        <f>'תקציב הנדסה 2020 '!AA49</f>
        <v>הכנת מסמכי מדיניות להתחדשות עירונית בשכונות לגיבוש מדיניות לחידוש המרקם הקיים בשכונות. איחוד עם תב"ר 1759.</v>
      </c>
      <c r="AB49" s="706">
        <f>'תקציב הנדסה 2020 '!AB49</f>
        <v>732000</v>
      </c>
      <c r="AC49" s="621"/>
      <c r="AD49" s="52"/>
      <c r="AE49" s="5"/>
      <c r="AF49" s="5"/>
    </row>
    <row r="50" spans="1:32" s="6" customFormat="1" ht="19.95" customHeight="1">
      <c r="A50" s="3">
        <f t="shared" si="0"/>
        <v>45</v>
      </c>
      <c r="B50" s="706">
        <f>'תקציב הנדסה 2020 '!B50</f>
        <v>1757</v>
      </c>
      <c r="C50" s="87" t="str">
        <f>'תקציב הנדסה 2020 '!C50</f>
        <v>תב"ע לדיור בר השגה ברב קוק</v>
      </c>
      <c r="D50" s="4">
        <f>'תקציב הנדסה 2020 '!D50</f>
        <v>300000</v>
      </c>
      <c r="E50" s="4">
        <f>'תקציב הנדסה 2020 '!E50</f>
        <v>300000</v>
      </c>
      <c r="F50" s="4">
        <f>'תקציב הנדסה 2020 '!F50</f>
        <v>0</v>
      </c>
      <c r="G50" s="4">
        <f>'תקציב הנדסה 2020 '!G50</f>
        <v>110000</v>
      </c>
      <c r="H50" s="4">
        <f>'תקציב הנדסה 2020 '!H50</f>
        <v>10908.07</v>
      </c>
      <c r="I50" s="4">
        <f>'תקציב הנדסה 2020 '!I50</f>
        <v>908.93</v>
      </c>
      <c r="J50" s="4">
        <f>'תקציב הנדסה 2020 '!J50</f>
        <v>0</v>
      </c>
      <c r="K50" s="4">
        <f>'תקציב הנדסה 2020 '!K50</f>
        <v>908.93</v>
      </c>
      <c r="L50" s="4">
        <f>'תקציב הנדסה 2020 '!L50</f>
        <v>11817</v>
      </c>
      <c r="M50" s="4">
        <f>'תקציב הנדסה 2020 '!M50</f>
        <v>98183</v>
      </c>
      <c r="N50" s="4">
        <f>'תקציב הנדסה 2020 '!N50</f>
        <v>0</v>
      </c>
      <c r="O50" s="4">
        <f>'תקציב הנדסה 2020 '!O50</f>
        <v>190000</v>
      </c>
      <c r="P50" s="4">
        <f>'תקציב הנדסה 2020 '!P50</f>
        <v>98183</v>
      </c>
      <c r="Q50" s="4">
        <f>'תקציב הנדסה 2020 '!Q50</f>
        <v>0</v>
      </c>
      <c r="R50" s="4">
        <f>'תקציב הנדסה 2020 '!R50</f>
        <v>0</v>
      </c>
      <c r="S50" s="4">
        <f>'תקציב הנדסה 2020 '!S50</f>
        <v>0</v>
      </c>
      <c r="T50" s="4">
        <f>'תקציב הנדסה 2020 '!T50</f>
        <v>0</v>
      </c>
      <c r="U50" s="4">
        <f>'תקציב הנדסה 2020 '!U50</f>
        <v>0</v>
      </c>
      <c r="V50" s="4">
        <f>'תקציב הנדסה 2020 '!V50</f>
        <v>0</v>
      </c>
      <c r="W50" s="4">
        <f>'תקציב הנדסה 2020 '!W50</f>
        <v>0</v>
      </c>
      <c r="X50" s="4">
        <f>'תקציב הנדסה 2020 '!X50</f>
        <v>0</v>
      </c>
      <c r="Y50" s="4">
        <f>'תקציב הנדסה 2020 '!Y50</f>
        <v>0</v>
      </c>
      <c r="Z50" s="4">
        <f>'תקציב הנדסה 2020 '!Z50</f>
        <v>0</v>
      </c>
      <c r="AA50" s="87">
        <f>'תקציב הנדסה 2020 '!AA50</f>
        <v>0</v>
      </c>
      <c r="AB50" s="706">
        <f>'תקציב הנדסה 2020 '!AB50</f>
        <v>732000</v>
      </c>
      <c r="AC50" s="621"/>
      <c r="AD50" s="52"/>
      <c r="AE50" s="5"/>
      <c r="AF50" s="5"/>
    </row>
    <row r="51" spans="1:32" s="6" customFormat="1" ht="19.95" customHeight="1">
      <c r="A51" s="3">
        <f t="shared" si="0"/>
        <v>46</v>
      </c>
      <c r="B51" s="706">
        <f>'תקציב הנדסה 2020 '!B51</f>
        <v>1758</v>
      </c>
      <c r="C51" s="87" t="str">
        <f>'תקציב הנדסה 2020 '!C51</f>
        <v>תב"ע לדיור בר השגה בשמשון הגיבור</v>
      </c>
      <c r="D51" s="4">
        <f>'תקציב הנדסה 2020 '!D51</f>
        <v>300000</v>
      </c>
      <c r="E51" s="4">
        <f>'תקציב הנדסה 2020 '!E51</f>
        <v>300000</v>
      </c>
      <c r="F51" s="4">
        <f>'תקציב הנדסה 2020 '!F51</f>
        <v>0</v>
      </c>
      <c r="G51" s="4">
        <f>'תקציב הנדסה 2020 '!G51</f>
        <v>16000</v>
      </c>
      <c r="H51" s="4">
        <f>'תקציב הנדסה 2020 '!H51</f>
        <v>10908.07</v>
      </c>
      <c r="I51" s="4">
        <f>'תקציב הנדסה 2020 '!I51</f>
        <v>4828.43</v>
      </c>
      <c r="J51" s="4">
        <f>'תקציב הנדסה 2020 '!J51</f>
        <v>0</v>
      </c>
      <c r="K51" s="4">
        <f>'תקציב הנדסה 2020 '!K51</f>
        <v>4828.43</v>
      </c>
      <c r="L51" s="4">
        <f>'תקציב הנדסה 2020 '!L51</f>
        <v>15736.5</v>
      </c>
      <c r="M51" s="4">
        <f>'תקציב הנדסה 2020 '!M51</f>
        <v>263.5</v>
      </c>
      <c r="N51" s="4">
        <f>'תקציב הנדסה 2020 '!N51</f>
        <v>0</v>
      </c>
      <c r="O51" s="4">
        <f>'תקציב הנדסה 2020 '!O51</f>
        <v>284000</v>
      </c>
      <c r="P51" s="4">
        <f>'תקציב הנדסה 2020 '!P51</f>
        <v>263.5</v>
      </c>
      <c r="Q51" s="4">
        <f>'תקציב הנדסה 2020 '!Q51</f>
        <v>0</v>
      </c>
      <c r="R51" s="4">
        <f>'תקציב הנדסה 2020 '!R51</f>
        <v>0</v>
      </c>
      <c r="S51" s="4">
        <f>'תקציב הנדסה 2020 '!S51</f>
        <v>0</v>
      </c>
      <c r="T51" s="4">
        <f>'תקציב הנדסה 2020 '!T51</f>
        <v>0</v>
      </c>
      <c r="U51" s="4">
        <f>'תקציב הנדסה 2020 '!U51</f>
        <v>0</v>
      </c>
      <c r="V51" s="4">
        <f>'תקציב הנדסה 2020 '!V51</f>
        <v>0</v>
      </c>
      <c r="W51" s="4">
        <f>'תקציב הנדסה 2020 '!W51</f>
        <v>0</v>
      </c>
      <c r="X51" s="4">
        <f>'תקציב הנדסה 2020 '!X51</f>
        <v>0</v>
      </c>
      <c r="Y51" s="4">
        <f>'תקציב הנדסה 2020 '!Y51</f>
        <v>0</v>
      </c>
      <c r="Z51" s="4">
        <f>'תקציב הנדסה 2020 '!Z51</f>
        <v>0</v>
      </c>
      <c r="AA51" s="87">
        <f>'תקציב הנדסה 2020 '!AA51</f>
        <v>0</v>
      </c>
      <c r="AB51" s="706">
        <f>'תקציב הנדסה 2020 '!AB51</f>
        <v>732000</v>
      </c>
      <c r="AC51" s="621"/>
      <c r="AD51" s="52"/>
      <c r="AE51" s="5"/>
      <c r="AF51" s="5"/>
    </row>
    <row r="52" spans="1:32" s="5" customFormat="1" ht="55.2">
      <c r="A52" s="3">
        <f t="shared" si="0"/>
        <v>47</v>
      </c>
      <c r="B52" s="706">
        <f>'תקציב הנדסה 2020 '!B52</f>
        <v>1759</v>
      </c>
      <c r="C52" s="87" t="str">
        <f>'תקציב הנדסה 2020 '!C52</f>
        <v xml:space="preserve">תוכנית אסטרטגית להתייעלות עירונית במרכז העיר ובשכונות </v>
      </c>
      <c r="D52" s="4">
        <f>'תקציב הנדסה 2020 '!D52</f>
        <v>940000</v>
      </c>
      <c r="E52" s="4">
        <f>'תקציב הנדסה 2020 '!E52</f>
        <v>940000</v>
      </c>
      <c r="F52" s="4">
        <f>'תקציב הנדסה 2020 '!F52</f>
        <v>0</v>
      </c>
      <c r="G52" s="4">
        <f>'תקציב הנדסה 2020 '!G52</f>
        <v>940000</v>
      </c>
      <c r="H52" s="4">
        <f>'תקציב הנדסה 2020 '!H52</f>
        <v>478660</v>
      </c>
      <c r="I52" s="4">
        <f>'תקציב הנדסה 2020 '!I52</f>
        <v>600</v>
      </c>
      <c r="J52" s="4">
        <f>'תקציב הנדסה 2020 '!J52</f>
        <v>17151.75</v>
      </c>
      <c r="K52" s="4">
        <f>'תקציב הנדסה 2020 '!K52</f>
        <v>17751.75</v>
      </c>
      <c r="L52" s="4">
        <f>'תקציב הנדסה 2020 '!L52</f>
        <v>496411.75</v>
      </c>
      <c r="M52" s="4">
        <f>'תקציב הנדסה 2020 '!M52</f>
        <v>43588.25</v>
      </c>
      <c r="N52" s="4">
        <f>'תקציב הנדסה 2020 '!N52</f>
        <v>0</v>
      </c>
      <c r="O52" s="4">
        <f>'תקציב הנדסה 2020 '!O52</f>
        <v>400000</v>
      </c>
      <c r="P52" s="4">
        <f>'תקציב הנדסה 2020 '!P52</f>
        <v>443588.25</v>
      </c>
      <c r="Q52" s="4">
        <f>'תקציב הנדסה 2020 '!Q52</f>
        <v>0</v>
      </c>
      <c r="R52" s="4">
        <f>'תקציב הנדסה 2020 '!R52</f>
        <v>0</v>
      </c>
      <c r="S52" s="4">
        <f>'תקציב הנדסה 2020 '!S52</f>
        <v>0</v>
      </c>
      <c r="T52" s="4">
        <f>'תקציב הנדסה 2020 '!T52</f>
        <v>400000</v>
      </c>
      <c r="U52" s="4">
        <f>'תקציב הנדסה 2020 '!U52</f>
        <v>-400000</v>
      </c>
      <c r="V52" s="4">
        <f>'תקציב הנדסה 2020 '!V52</f>
        <v>-400000</v>
      </c>
      <c r="W52" s="4">
        <f>'תקציב הנדסה 2020 '!W52</f>
        <v>0</v>
      </c>
      <c r="X52" s="4">
        <f>'תקציב הנדסה 2020 '!X52</f>
        <v>0</v>
      </c>
      <c r="Y52" s="4">
        <f>'תקציב הנדסה 2020 '!Y52</f>
        <v>0</v>
      </c>
      <c r="Z52" s="4">
        <f>'תקציב הנדסה 2020 '!Z52</f>
        <v>0</v>
      </c>
      <c r="AA52" s="87" t="str">
        <f>'תקציב הנדסה 2020 '!AA52</f>
        <v>תוכנית לצורך מידע מה וכמה ניתן לבנות  בהתאם לתשתיות הקיימות במרכז ותוכנית לבחינת הנדרש לאוכלוסיה בשכונות עפ"י תחזיות גידול האוכלוסיה. ראה תב"ר 1756.</v>
      </c>
      <c r="AB52" s="706">
        <f>'תקציב הנדסה 2020 '!AB52</f>
        <v>732000</v>
      </c>
      <c r="AC52" s="618"/>
      <c r="AD52" s="52"/>
    </row>
    <row r="53" spans="1:32" s="5" customFormat="1" ht="27.6">
      <c r="A53" s="3">
        <f t="shared" si="0"/>
        <v>48</v>
      </c>
      <c r="B53" s="706">
        <f>'תקציב הנדסה 2020 '!B53</f>
        <v>1760</v>
      </c>
      <c r="C53" s="87" t="str">
        <f>'תקציב הנדסה 2020 '!C53</f>
        <v xml:space="preserve">תוכנית אסטרטגית באזהת"ש </v>
      </c>
      <c r="D53" s="4">
        <f>'תקציב הנדסה 2020 '!D53</f>
        <v>900000</v>
      </c>
      <c r="E53" s="4">
        <f>'תקציב הנדסה 2020 '!E53</f>
        <v>900000</v>
      </c>
      <c r="F53" s="4">
        <f>'תקציב הנדסה 2020 '!F53</f>
        <v>0</v>
      </c>
      <c r="G53" s="4">
        <f>'תקציב הנדסה 2020 '!G53</f>
        <v>300000</v>
      </c>
      <c r="H53" s="4">
        <f>'תקציב הנדסה 2020 '!H53</f>
        <v>38898</v>
      </c>
      <c r="I53" s="4">
        <f>'תקציב הנדסה 2020 '!I53</f>
        <v>0</v>
      </c>
      <c r="J53" s="4">
        <f>'תקציב הנדסה 2020 '!J53</f>
        <v>1228</v>
      </c>
      <c r="K53" s="4">
        <f>'תקציב הנדסה 2020 '!K53</f>
        <v>1228</v>
      </c>
      <c r="L53" s="4">
        <f>'תקציב הנדסה 2020 '!L53</f>
        <v>40126</v>
      </c>
      <c r="M53" s="4">
        <f>'תקציב הנדסה 2020 '!M53</f>
        <v>109874</v>
      </c>
      <c r="N53" s="4">
        <f>'תקציב הנדסה 2020 '!N53</f>
        <v>150000</v>
      </c>
      <c r="O53" s="4">
        <f>'תקציב הנדסה 2020 '!O53</f>
        <v>600000</v>
      </c>
      <c r="P53" s="4">
        <f>'תקציב הנדסה 2020 '!P53</f>
        <v>259874</v>
      </c>
      <c r="Q53" s="4">
        <f>'תקציב הנדסה 2020 '!Q53</f>
        <v>0</v>
      </c>
      <c r="R53" s="4">
        <f>'תקציב הנדסה 2020 '!R53</f>
        <v>0</v>
      </c>
      <c r="S53" s="4">
        <f>'תקציב הנדסה 2020 '!S53</f>
        <v>0</v>
      </c>
      <c r="T53" s="4">
        <f>'תקציב הנדסה 2020 '!T53</f>
        <v>150000</v>
      </c>
      <c r="U53" s="4">
        <f>'תקציב הנדסה 2020 '!U53</f>
        <v>0</v>
      </c>
      <c r="V53" s="4">
        <f>'תקציב הנדסה 2020 '!V53</f>
        <v>0</v>
      </c>
      <c r="W53" s="4">
        <f>'תקציב הנדסה 2020 '!W53</f>
        <v>0</v>
      </c>
      <c r="X53" s="4">
        <f>'תקציב הנדסה 2020 '!X53</f>
        <v>0</v>
      </c>
      <c r="Y53" s="4">
        <f>'תקציב הנדסה 2020 '!Y53</f>
        <v>0</v>
      </c>
      <c r="Z53" s="4">
        <f>'תקציב הנדסה 2020 '!Z53</f>
        <v>0</v>
      </c>
      <c r="AA53" s="87" t="str">
        <f>'תקציב הנדסה 2020 '!AA53</f>
        <v>בדיקת התכנות והכנת תב"עות של מתחמים מפוצלים בין מס' בעלים באיזהת"ש החשובים מבחינה ציבורית.</v>
      </c>
      <c r="AB53" s="706">
        <f>'תקציב הנדסה 2020 '!AB53</f>
        <v>732000</v>
      </c>
      <c r="AC53" s="619"/>
      <c r="AD53" s="52"/>
    </row>
    <row r="54" spans="1:32" s="5" customFormat="1" ht="27.6">
      <c r="A54" s="3">
        <f t="shared" si="0"/>
        <v>49</v>
      </c>
      <c r="B54" s="706">
        <f>'תקציב הנדסה 2020 '!B54</f>
        <v>1799</v>
      </c>
      <c r="C54" s="87" t="str">
        <f>'תקציב הנדסה 2020 '!C54</f>
        <v>תב"ע קרית השחקים</v>
      </c>
      <c r="D54" s="4">
        <f>'תקציב הנדסה 2020 '!D54</f>
        <v>1000000</v>
      </c>
      <c r="E54" s="4">
        <f>'תקציב הנדסה 2020 '!E54</f>
        <v>1000000</v>
      </c>
      <c r="F54" s="4">
        <f>'תקציב הנדסה 2020 '!F54</f>
        <v>0</v>
      </c>
      <c r="G54" s="4">
        <f>'תקציב הנדסה 2020 '!G54</f>
        <v>350000</v>
      </c>
      <c r="H54" s="4">
        <f>'תקציב הנדסה 2020 '!H54</f>
        <v>28515</v>
      </c>
      <c r="I54" s="4">
        <f>'תקציב הנדסה 2020 '!I54</f>
        <v>0</v>
      </c>
      <c r="J54" s="4">
        <f>'תקציב הנדסה 2020 '!J54</f>
        <v>6407.86</v>
      </c>
      <c r="K54" s="4">
        <f>'תקציב הנדסה 2020 '!K54</f>
        <v>6407.86</v>
      </c>
      <c r="L54" s="4">
        <f>'תקציב הנדסה 2020 '!L54</f>
        <v>34922.86</v>
      </c>
      <c r="M54" s="4">
        <f>'תקציב הנדסה 2020 '!M54</f>
        <v>115077.14000000001</v>
      </c>
      <c r="N54" s="4">
        <f>'תקציב הנדסה 2020 '!N54</f>
        <v>0</v>
      </c>
      <c r="O54" s="4">
        <f>'תקציב הנדסה 2020 '!O54</f>
        <v>850000</v>
      </c>
      <c r="P54" s="4">
        <f>'תקציב הנדסה 2020 '!P54</f>
        <v>315077.14</v>
      </c>
      <c r="Q54" s="4">
        <f>'תקציב הנדסה 2020 '!Q54</f>
        <v>0</v>
      </c>
      <c r="R54" s="4">
        <f>'תקציב הנדסה 2020 '!R54</f>
        <v>0</v>
      </c>
      <c r="S54" s="4">
        <f>'תקציב הנדסה 2020 '!S54</f>
        <v>0</v>
      </c>
      <c r="T54" s="4">
        <f>'תקציב הנדסה 2020 '!T54</f>
        <v>200000</v>
      </c>
      <c r="U54" s="4">
        <f>'תקציב הנדסה 2020 '!U54</f>
        <v>-200000</v>
      </c>
      <c r="V54" s="4">
        <f>'תקציב הנדסה 2020 '!V54</f>
        <v>-200000</v>
      </c>
      <c r="W54" s="4">
        <f>'תקציב הנדסה 2020 '!W54</f>
        <v>0</v>
      </c>
      <c r="X54" s="4">
        <f>'תקציב הנדסה 2020 '!X54</f>
        <v>0</v>
      </c>
      <c r="Y54" s="4">
        <f>'תקציב הנדסה 2020 '!Y54</f>
        <v>0</v>
      </c>
      <c r="Z54" s="4">
        <f>'תקציב הנדסה 2020 '!Z54</f>
        <v>0</v>
      </c>
      <c r="AA54" s="87" t="str">
        <f>'תקציב הנדסה 2020 '!AA54</f>
        <v>תכנון איזור תעשיה ושכונת מגורים במשולש התחבורה. מקודם בותמ"ל .</v>
      </c>
      <c r="AB54" s="706">
        <f>'תקציב הנדסה 2020 '!AB54</f>
        <v>732000</v>
      </c>
      <c r="AC54" s="619"/>
      <c r="AD54" s="52"/>
    </row>
    <row r="55" spans="1:32" s="5" customFormat="1" ht="27.6">
      <c r="A55" s="3">
        <f t="shared" si="0"/>
        <v>50</v>
      </c>
      <c r="B55" s="706">
        <f>'תקציב הנדסה 2020 '!B55</f>
        <v>1805</v>
      </c>
      <c r="C55" s="87" t="str">
        <f>'תקציב הנדסה 2020 '!C55</f>
        <v>שביל אופניים הרצליה-ת"א הפקעות</v>
      </c>
      <c r="D55" s="4">
        <f>'תקציב הנדסה 2020 '!D55</f>
        <v>1000000</v>
      </c>
      <c r="E55" s="4">
        <f>'תקציב הנדסה 2020 '!E55</f>
        <v>1000000</v>
      </c>
      <c r="F55" s="4">
        <f>'תקציב הנדסה 2020 '!F55</f>
        <v>0</v>
      </c>
      <c r="G55" s="4">
        <f>'תקציב הנדסה 2020 '!G55</f>
        <v>60000</v>
      </c>
      <c r="H55" s="4">
        <f>'תקציב הנדסה 2020 '!H55</f>
        <v>2677</v>
      </c>
      <c r="I55" s="4">
        <f>'תקציב הנדסה 2020 '!I55</f>
        <v>0</v>
      </c>
      <c r="J55" s="4">
        <f>'תקציב הנדסה 2020 '!J55</f>
        <v>0</v>
      </c>
      <c r="K55" s="4">
        <f>'תקציב הנדסה 2020 '!K55</f>
        <v>0</v>
      </c>
      <c r="L55" s="4">
        <f>'תקציב הנדסה 2020 '!L55</f>
        <v>2677</v>
      </c>
      <c r="M55" s="4">
        <f>'תקציב הנדסה 2020 '!M55</f>
        <v>57323</v>
      </c>
      <c r="N55" s="4">
        <f>'תקציב הנדסה 2020 '!N55</f>
        <v>940000</v>
      </c>
      <c r="O55" s="4">
        <f>'תקציב הנדסה 2020 '!O55</f>
        <v>0</v>
      </c>
      <c r="P55" s="4">
        <f>'תקציב הנדסה 2020 '!P55</f>
        <v>57323</v>
      </c>
      <c r="Q55" s="4">
        <f>'תקציב הנדסה 2020 '!Q55</f>
        <v>0</v>
      </c>
      <c r="R55" s="4">
        <f>'תקציב הנדסה 2020 '!R55</f>
        <v>0</v>
      </c>
      <c r="S55" s="4">
        <f>'תקציב הנדסה 2020 '!S55</f>
        <v>0</v>
      </c>
      <c r="T55" s="4">
        <f>'תקציב הנדסה 2020 '!T55</f>
        <v>0</v>
      </c>
      <c r="U55" s="4">
        <f>'תקציב הנדסה 2020 '!U55</f>
        <v>940000</v>
      </c>
      <c r="V55" s="4">
        <f>'תקציב הנדסה 2020 '!V55</f>
        <v>940000</v>
      </c>
      <c r="W55" s="4">
        <f>'תקציב הנדסה 2020 '!W55</f>
        <v>0</v>
      </c>
      <c r="X55" s="4">
        <f>'תקציב הנדסה 2020 '!X55</f>
        <v>0</v>
      </c>
      <c r="Y55" s="4">
        <f>'תקציב הנדסה 2020 '!Y55</f>
        <v>0</v>
      </c>
      <c r="Z55" s="4">
        <f>'תקציב הנדסה 2020 '!Z55</f>
        <v>0</v>
      </c>
      <c r="AA55" s="87" t="str">
        <f>'תקציב הנדסה 2020 '!AA55</f>
        <v>תשלומי פיצויים להפקעות לביצוע שביל אופניים זמני ע"י משרד התחבורה.</v>
      </c>
      <c r="AB55" s="706">
        <f>'תקציב הנדסה 2020 '!AB55</f>
        <v>742000</v>
      </c>
      <c r="AC55" s="619"/>
      <c r="AD55" s="52"/>
    </row>
    <row r="56" spans="1:32" s="5" customFormat="1" ht="27.6">
      <c r="A56" s="3">
        <f t="shared" si="0"/>
        <v>51</v>
      </c>
      <c r="B56" s="706">
        <f>'תקציב הנדסה 2020 '!B56</f>
        <v>1811</v>
      </c>
      <c r="C56" s="87" t="str">
        <f>'תקציב הנדסה 2020 '!C56</f>
        <v>תכנון דיור בן ציון מיכאלי</v>
      </c>
      <c r="D56" s="4">
        <f>'תקציב הנדסה 2020 '!D56</f>
        <v>250000</v>
      </c>
      <c r="E56" s="4">
        <f>'תקציב הנדסה 2020 '!E56</f>
        <v>250000</v>
      </c>
      <c r="F56" s="4">
        <f>'תקציב הנדסה 2020 '!F56</f>
        <v>0</v>
      </c>
      <c r="G56" s="4">
        <f>'תקציב הנדסה 2020 '!G56</f>
        <v>250000</v>
      </c>
      <c r="H56" s="4">
        <f>'תקציב הנדסה 2020 '!H56</f>
        <v>0</v>
      </c>
      <c r="I56" s="4">
        <f>'תקציב הנדסה 2020 '!I56</f>
        <v>0</v>
      </c>
      <c r="J56" s="4">
        <f>'תקציב הנדסה 2020 '!J56</f>
        <v>0</v>
      </c>
      <c r="K56" s="4">
        <f>'תקציב הנדסה 2020 '!K56</f>
        <v>0</v>
      </c>
      <c r="L56" s="4">
        <f>'תקציב הנדסה 2020 '!L56</f>
        <v>0</v>
      </c>
      <c r="M56" s="4">
        <f>'תקציב הנדסה 2020 '!M56</f>
        <v>250000</v>
      </c>
      <c r="N56" s="4">
        <f>'תקציב הנדסה 2020 '!N56</f>
        <v>0</v>
      </c>
      <c r="O56" s="4">
        <f>'תקציב הנדסה 2020 '!O56</f>
        <v>0</v>
      </c>
      <c r="P56" s="4">
        <f>'תקציב הנדסה 2020 '!P56</f>
        <v>250000</v>
      </c>
      <c r="Q56" s="4">
        <f>'תקציב הנדסה 2020 '!Q56</f>
        <v>0</v>
      </c>
      <c r="R56" s="4">
        <f>'תקציב הנדסה 2020 '!R56</f>
        <v>0</v>
      </c>
      <c r="S56" s="4">
        <f>'תקציב הנדסה 2020 '!S56</f>
        <v>0</v>
      </c>
      <c r="T56" s="4">
        <f>'תקציב הנדסה 2020 '!T56</f>
        <v>0</v>
      </c>
      <c r="U56" s="4">
        <f>'תקציב הנדסה 2020 '!U56</f>
        <v>0</v>
      </c>
      <c r="V56" s="4">
        <f>'תקציב הנדסה 2020 '!V56</f>
        <v>0</v>
      </c>
      <c r="W56" s="4">
        <f>'תקציב הנדסה 2020 '!W56</f>
        <v>0</v>
      </c>
      <c r="X56" s="4">
        <f>'תקציב הנדסה 2020 '!X56</f>
        <v>0</v>
      </c>
      <c r="Y56" s="4">
        <f>'תקציב הנדסה 2020 '!Y56</f>
        <v>0</v>
      </c>
      <c r="Z56" s="4">
        <f>'תקציב הנדסה 2020 '!Z56</f>
        <v>0</v>
      </c>
      <c r="AA56" s="87" t="str">
        <f>'תקציב הנדסה 2020 '!AA56</f>
        <v>העסקת צוות יועצים לתכנון התב"ע  לדיור בר השגה רח' בן ציון.</v>
      </c>
      <c r="AB56" s="706">
        <f>'תקציב הנדסה 2020 '!AB56</f>
        <v>732000</v>
      </c>
      <c r="AC56" s="619"/>
      <c r="AD56" s="52"/>
    </row>
    <row r="57" spans="1:32" s="5" customFormat="1" ht="27.6">
      <c r="A57" s="3">
        <f t="shared" si="0"/>
        <v>52</v>
      </c>
      <c r="B57" s="706">
        <f>'תקציב הנדסה 2020 '!B57</f>
        <v>1826</v>
      </c>
      <c r="C57" s="87" t="str">
        <f>'תקציב הנדסה 2020 '!C57</f>
        <v>פיתוח שצ"פים במורדי הגטאות</v>
      </c>
      <c r="D57" s="4">
        <f>'תקציב הנדסה 2020 '!D57</f>
        <v>1500000</v>
      </c>
      <c r="E57" s="4">
        <f>'תקציב הנדסה 2020 '!E57</f>
        <v>1500000</v>
      </c>
      <c r="F57" s="4">
        <f>'תקציב הנדסה 2020 '!F57</f>
        <v>0</v>
      </c>
      <c r="G57" s="4">
        <f>'תקציב הנדסה 2020 '!G57</f>
        <v>400000</v>
      </c>
      <c r="H57" s="4">
        <f>'תקציב הנדסה 2020 '!H57</f>
        <v>14227</v>
      </c>
      <c r="I57" s="4">
        <f>'תקציב הנדסה 2020 '!I57</f>
        <v>0</v>
      </c>
      <c r="J57" s="4">
        <f>'תקציב הנדסה 2020 '!J57</f>
        <v>0</v>
      </c>
      <c r="K57" s="4">
        <f>'תקציב הנדסה 2020 '!K57</f>
        <v>0</v>
      </c>
      <c r="L57" s="4">
        <f>'תקציב הנדסה 2020 '!L57</f>
        <v>14227</v>
      </c>
      <c r="M57" s="4">
        <f>'תקציב הנדסה 2020 '!M57</f>
        <v>385773</v>
      </c>
      <c r="N57" s="4">
        <f>'תקציב הנדסה 2020 '!N57</f>
        <v>0</v>
      </c>
      <c r="O57" s="4">
        <f>'תקציב הנדסה 2020 '!O57</f>
        <v>1100000</v>
      </c>
      <c r="P57" s="4">
        <f>'תקציב הנדסה 2020 '!P57</f>
        <v>385773</v>
      </c>
      <c r="Q57" s="4">
        <f>'תקציב הנדסה 2020 '!Q57</f>
        <v>0</v>
      </c>
      <c r="R57" s="4">
        <f>'תקציב הנדסה 2020 '!R57</f>
        <v>0</v>
      </c>
      <c r="S57" s="4">
        <f>'תקציב הנדסה 2020 '!S57</f>
        <v>0</v>
      </c>
      <c r="T57" s="4">
        <f>'תקציב הנדסה 2020 '!T57</f>
        <v>0</v>
      </c>
      <c r="U57" s="4">
        <f>'תקציב הנדסה 2020 '!U57</f>
        <v>0</v>
      </c>
      <c r="V57" s="4">
        <f>'תקציב הנדסה 2020 '!V57</f>
        <v>0</v>
      </c>
      <c r="W57" s="4">
        <f>'תקציב הנדסה 2020 '!W57</f>
        <v>0</v>
      </c>
      <c r="X57" s="4">
        <f>'תקציב הנדסה 2020 '!X57</f>
        <v>0</v>
      </c>
      <c r="Y57" s="4">
        <f>'תקציב הנדסה 2020 '!Y57</f>
        <v>0</v>
      </c>
      <c r="Z57" s="4">
        <f>'תקציב הנדסה 2020 '!Z57</f>
        <v>0</v>
      </c>
      <c r="AA57" s="87" t="str">
        <f>'תקציב הנדסה 2020 '!AA57</f>
        <v>הסדרת דרכי גישה למבני מגורים והסדרת פלישות לשטחי ציבור. המשך תכנון השצ"פים כ - 1,300 מ"ר.</v>
      </c>
      <c r="AB57" s="706">
        <f>'תקציב הנדסה 2020 '!AB57</f>
        <v>742000</v>
      </c>
      <c r="AC57" s="620"/>
      <c r="AD57" s="52"/>
      <c r="AE57" s="6"/>
      <c r="AF57" s="6"/>
    </row>
    <row r="58" spans="1:32" s="5" customFormat="1" ht="19.95" customHeight="1">
      <c r="A58" s="3">
        <f t="shared" si="0"/>
        <v>53</v>
      </c>
      <c r="B58" s="706">
        <f>'תקציב הנדסה 2020 '!B58</f>
        <v>1843</v>
      </c>
      <c r="C58" s="87" t="str">
        <f>'תקציב הנדסה 2020 '!C58</f>
        <v>פינוי בינוי מול התחנה</v>
      </c>
      <c r="D58" s="4">
        <f>'תקציב הנדסה 2020 '!D58</f>
        <v>380000</v>
      </c>
      <c r="E58" s="4">
        <f>'תקציב הנדסה 2020 '!E58</f>
        <v>380000</v>
      </c>
      <c r="F58" s="4">
        <f>'תקציב הנדסה 2020 '!F58</f>
        <v>0</v>
      </c>
      <c r="G58" s="4">
        <f>'תקציב הנדסה 2020 '!G58</f>
        <v>70000</v>
      </c>
      <c r="H58" s="4">
        <f>'תקציב הנדסה 2020 '!H58</f>
        <v>0</v>
      </c>
      <c r="I58" s="4">
        <f>'תקציב הנדסה 2020 '!I58</f>
        <v>1.17</v>
      </c>
      <c r="J58" s="4">
        <f>'תקציב הנדסה 2020 '!J58</f>
        <v>0</v>
      </c>
      <c r="K58" s="4">
        <f>'תקציב הנדסה 2020 '!K58</f>
        <v>1.17</v>
      </c>
      <c r="L58" s="4">
        <f>'תקציב הנדסה 2020 '!L58</f>
        <v>1.17</v>
      </c>
      <c r="M58" s="4">
        <f>'תקציב הנדסה 2020 '!M58</f>
        <v>69998.83</v>
      </c>
      <c r="N58" s="4">
        <f>'תקציב הנדסה 2020 '!N58</f>
        <v>0</v>
      </c>
      <c r="O58" s="4">
        <f>'תקציב הנדסה 2020 '!O58</f>
        <v>310000</v>
      </c>
      <c r="P58" s="4">
        <f>'תקציב הנדסה 2020 '!P58</f>
        <v>69998.83</v>
      </c>
      <c r="Q58" s="4">
        <f>'תקציב הנדסה 2020 '!Q58</f>
        <v>0</v>
      </c>
      <c r="R58" s="4">
        <f>'תקציב הנדסה 2020 '!R58</f>
        <v>0</v>
      </c>
      <c r="S58" s="4">
        <f>'תקציב הנדסה 2020 '!S58</f>
        <v>0</v>
      </c>
      <c r="T58" s="4">
        <f>'תקציב הנדסה 2020 '!T58</f>
        <v>0</v>
      </c>
      <c r="U58" s="4">
        <f>'תקציב הנדסה 2020 '!U58</f>
        <v>0</v>
      </c>
      <c r="V58" s="4">
        <f>'תקציב הנדסה 2020 '!V58</f>
        <v>0</v>
      </c>
      <c r="W58" s="4">
        <f>'תקציב הנדסה 2020 '!W58</f>
        <v>0</v>
      </c>
      <c r="X58" s="4">
        <f>'תקציב הנדסה 2020 '!X58</f>
        <v>0</v>
      </c>
      <c r="Y58" s="4">
        <f>'תקציב הנדסה 2020 '!Y58</f>
        <v>0</v>
      </c>
      <c r="Z58" s="4">
        <f>'תקציב הנדסה 2020 '!Z58</f>
        <v>0</v>
      </c>
      <c r="AA58" s="87" t="str">
        <f>'תקציב הנדסה 2020 '!AA58</f>
        <v>הליך התנעה לתכנון מתחם לפינוי בינוי מול התחנה.</v>
      </c>
      <c r="AB58" s="706">
        <f>'תקציב הנדסה 2020 '!AB58</f>
        <v>732000</v>
      </c>
      <c r="AC58" s="619"/>
      <c r="AD58" s="52"/>
    </row>
    <row r="59" spans="1:32" s="5" customFormat="1" ht="19.95" customHeight="1">
      <c r="A59" s="3">
        <f t="shared" si="0"/>
        <v>54</v>
      </c>
      <c r="B59" s="706">
        <f>'תקציב הנדסה 2020 '!B59</f>
        <v>1844</v>
      </c>
      <c r="C59" s="87" t="str">
        <f>'תקציב הנדסה 2020 '!C59</f>
        <v>פינוי בינוי סוקולוב רח' ירושלים</v>
      </c>
      <c r="D59" s="4">
        <f>'תקציב הנדסה 2020 '!D59</f>
        <v>2078338</v>
      </c>
      <c r="E59" s="4">
        <f>'תקציב הנדסה 2020 '!E59</f>
        <v>2078338</v>
      </c>
      <c r="F59" s="4">
        <f>'תקציב הנדסה 2020 '!F59</f>
        <v>0</v>
      </c>
      <c r="G59" s="4">
        <f>'תקציב הנדסה 2020 '!G59</f>
        <v>120000</v>
      </c>
      <c r="H59" s="4">
        <f>'תקציב הנדסה 2020 '!H59</f>
        <v>62477.48</v>
      </c>
      <c r="I59" s="4">
        <f>'תקציב הנדסה 2020 '!I59</f>
        <v>0</v>
      </c>
      <c r="J59" s="4">
        <f>'תקציב הנדסה 2020 '!J59</f>
        <v>0</v>
      </c>
      <c r="K59" s="4">
        <f>'תקציב הנדסה 2020 '!K59</f>
        <v>0</v>
      </c>
      <c r="L59" s="4">
        <f>'תקציב הנדסה 2020 '!L59</f>
        <v>62477.48</v>
      </c>
      <c r="M59" s="4">
        <f>'תקציב הנדסה 2020 '!M59</f>
        <v>57522.52</v>
      </c>
      <c r="N59" s="4">
        <f>'תקציב הנדסה 2020 '!N59</f>
        <v>1958338</v>
      </c>
      <c r="O59" s="4">
        <f>'תקציב הנדסה 2020 '!O59</f>
        <v>0</v>
      </c>
      <c r="P59" s="4">
        <f>'תקציב הנדסה 2020 '!P59</f>
        <v>57522.52</v>
      </c>
      <c r="Q59" s="4">
        <f>'תקציב הנדסה 2020 '!Q59</f>
        <v>0</v>
      </c>
      <c r="R59" s="4">
        <f>'תקציב הנדסה 2020 '!R59</f>
        <v>0</v>
      </c>
      <c r="S59" s="4">
        <f>'תקציב הנדסה 2020 '!S59</f>
        <v>0</v>
      </c>
      <c r="T59" s="4">
        <f>'תקציב הנדסה 2020 '!T59</f>
        <v>0</v>
      </c>
      <c r="U59" s="4">
        <f>'תקציב הנדסה 2020 '!U59</f>
        <v>1958338</v>
      </c>
      <c r="V59" s="4">
        <f>'תקציב הנדסה 2020 '!V59</f>
        <v>703894</v>
      </c>
      <c r="W59" s="4">
        <f>'תקציב הנדסה 2020 '!W59</f>
        <v>0</v>
      </c>
      <c r="X59" s="4">
        <f>'תקציב הנדסה 2020 '!X59</f>
        <v>0</v>
      </c>
      <c r="Y59" s="4">
        <f>'תקציב הנדסה 2020 '!Y59</f>
        <v>0</v>
      </c>
      <c r="Z59" s="4">
        <f>'תקציב הנדסה 2020 '!Z59</f>
        <v>1254444</v>
      </c>
      <c r="AA59" s="87" t="str">
        <f>'תקציב הנדסה 2020 '!AA59</f>
        <v xml:space="preserve">פינוי בינוי סוקולוב רח' ירושלים . מימון מ. הבינוי. </v>
      </c>
      <c r="AB59" s="706">
        <f>'תקציב הנדסה 2020 '!AB59</f>
        <v>732000</v>
      </c>
      <c r="AC59" s="618"/>
      <c r="AD59" s="52"/>
    </row>
    <row r="60" spans="1:32" s="5" customFormat="1" ht="19.95" customHeight="1">
      <c r="A60" s="3">
        <f t="shared" si="0"/>
        <v>55</v>
      </c>
      <c r="B60" s="706">
        <f>'תקציב הנדסה 2020 '!B60</f>
        <v>1882</v>
      </c>
      <c r="C60" s="87" t="str">
        <f>'תקציב הנדסה 2020 '!C60</f>
        <v>פיתוח מתחם אולפני הרצליה</v>
      </c>
      <c r="D60" s="4">
        <f>'תקציב הנדסה 2020 '!D60</f>
        <v>14300000</v>
      </c>
      <c r="E60" s="4">
        <f>'תקציב הנדסה 2020 '!E60</f>
        <v>14300000</v>
      </c>
      <c r="F60" s="4">
        <f>'תקציב הנדסה 2020 '!F60</f>
        <v>0</v>
      </c>
      <c r="G60" s="4">
        <f>'תקציב הנדסה 2020 '!G60</f>
        <v>200000</v>
      </c>
      <c r="H60" s="4">
        <f>'תקציב הנדסה 2020 '!H60</f>
        <v>0</v>
      </c>
      <c r="I60" s="4">
        <f>'תקציב הנדסה 2020 '!I60</f>
        <v>0</v>
      </c>
      <c r="J60" s="4">
        <f>'תקציב הנדסה 2020 '!J60</f>
        <v>0</v>
      </c>
      <c r="K60" s="4">
        <f>'תקציב הנדסה 2020 '!K60</f>
        <v>0</v>
      </c>
      <c r="L60" s="4">
        <f>'תקציב הנדסה 2020 '!L60</f>
        <v>0</v>
      </c>
      <c r="M60" s="4">
        <f>'תקציב הנדסה 2020 '!M60</f>
        <v>200000</v>
      </c>
      <c r="N60" s="4">
        <f>'תקציב הנדסה 2020 '!N60</f>
        <v>0</v>
      </c>
      <c r="O60" s="4">
        <f>'תקציב הנדסה 2020 '!O60</f>
        <v>14100000</v>
      </c>
      <c r="P60" s="4">
        <f>'תקציב הנדסה 2020 '!P60</f>
        <v>200000</v>
      </c>
      <c r="Q60" s="4">
        <f>'תקציב הנדסה 2020 '!Q60</f>
        <v>0</v>
      </c>
      <c r="R60" s="4">
        <f>'תקציב הנדסה 2020 '!R60</f>
        <v>0</v>
      </c>
      <c r="S60" s="4">
        <f>'תקציב הנדסה 2020 '!S60</f>
        <v>0</v>
      </c>
      <c r="T60" s="4">
        <f>'תקציב הנדסה 2020 '!T60</f>
        <v>0</v>
      </c>
      <c r="U60" s="4">
        <f>'תקציב הנדסה 2020 '!U60</f>
        <v>0</v>
      </c>
      <c r="V60" s="4">
        <f>'תקציב הנדסה 2020 '!V60</f>
        <v>0</v>
      </c>
      <c r="W60" s="4">
        <f>'תקציב הנדסה 2020 '!W60</f>
        <v>0</v>
      </c>
      <c r="X60" s="4">
        <f>'תקציב הנדסה 2020 '!X60</f>
        <v>0</v>
      </c>
      <c r="Y60" s="4">
        <f>'תקציב הנדסה 2020 '!Y60</f>
        <v>0</v>
      </c>
      <c r="Z60" s="4">
        <f>'תקציב הנדסה 2020 '!Z60</f>
        <v>0</v>
      </c>
      <c r="AA60" s="87" t="str">
        <f>'תקציב הנדסה 2020 '!AA60</f>
        <v>פיתוח מתחם אולפני הרצליה תב"ע הר' 2180. תכנון.</v>
      </c>
      <c r="AB60" s="706">
        <f>'תקציב הנדסה 2020 '!AB60</f>
        <v>742000</v>
      </c>
      <c r="AC60" s="619"/>
      <c r="AD60" s="52"/>
    </row>
    <row r="61" spans="1:32" s="5" customFormat="1" ht="41.4">
      <c r="A61" s="3">
        <f t="shared" si="0"/>
        <v>56</v>
      </c>
      <c r="B61" s="706">
        <f>'תקציב הנדסה 2020 '!B61</f>
        <v>1937</v>
      </c>
      <c r="C61" s="87" t="str">
        <f>'תקציב הנדסה 2020 '!C61</f>
        <v>תב"ע משולש המנהרה הר' 2350</v>
      </c>
      <c r="D61" s="4">
        <f>'תקציב הנדסה 2020 '!D61</f>
        <v>1050000</v>
      </c>
      <c r="E61" s="4">
        <f>'תקציב הנדסה 2020 '!E61</f>
        <v>750000</v>
      </c>
      <c r="F61" s="4">
        <f>'תקציב הנדסה 2020 '!F61</f>
        <v>300000</v>
      </c>
      <c r="G61" s="4">
        <f>'תקציב הנדסה 2020 '!G61</f>
        <v>750000</v>
      </c>
      <c r="H61" s="4">
        <f>'תקציב הנדסה 2020 '!H61</f>
        <v>56082</v>
      </c>
      <c r="I61" s="4">
        <f>'תקציב הנדסה 2020 '!I61</f>
        <v>244936</v>
      </c>
      <c r="J61" s="4">
        <f>'תקציב הנדסה 2020 '!J61</f>
        <v>40357.54</v>
      </c>
      <c r="K61" s="4">
        <f>'תקציב הנדסה 2020 '!K61</f>
        <v>285293.53999999998</v>
      </c>
      <c r="L61" s="4">
        <f>'תקציב הנדסה 2020 '!L61</f>
        <v>341375.54</v>
      </c>
      <c r="M61" s="4">
        <f>'תקציב הנדסה 2020 '!M61</f>
        <v>408624.46</v>
      </c>
      <c r="N61" s="4">
        <f>'תקציב הנדסה 2020 '!N61</f>
        <v>300000</v>
      </c>
      <c r="O61" s="4">
        <f>'תקציב הנדסה 2020 '!O61</f>
        <v>0</v>
      </c>
      <c r="P61" s="4">
        <f>'תקציב הנדסה 2020 '!P61</f>
        <v>408624.46</v>
      </c>
      <c r="Q61" s="4">
        <f>'תקציב הנדסה 2020 '!Q61</f>
        <v>0</v>
      </c>
      <c r="R61" s="4">
        <f>'תקציב הנדסה 2020 '!R61</f>
        <v>0</v>
      </c>
      <c r="S61" s="4">
        <f>'תקציב הנדסה 2020 '!S61</f>
        <v>0</v>
      </c>
      <c r="T61" s="4">
        <f>'תקציב הנדסה 2020 '!T61</f>
        <v>0</v>
      </c>
      <c r="U61" s="4">
        <f>'תקציב הנדסה 2020 '!U61</f>
        <v>300000</v>
      </c>
      <c r="V61" s="4">
        <f>'תקציב הנדסה 2020 '!V61</f>
        <v>300000</v>
      </c>
      <c r="W61" s="4">
        <f>'תקציב הנדסה 2020 '!W61</f>
        <v>0</v>
      </c>
      <c r="X61" s="4">
        <f>'תקציב הנדסה 2020 '!X61</f>
        <v>0</v>
      </c>
      <c r="Y61" s="4">
        <f>'תקציב הנדסה 2020 '!Y61</f>
        <v>0</v>
      </c>
      <c r="Z61" s="4">
        <f>'תקציב הנדסה 2020 '!Z61</f>
        <v>0</v>
      </c>
      <c r="AA61" s="87" t="str">
        <f>'תקציב הנדסה 2020 '!AA61</f>
        <v>תוכנית מתארית ומפורטת חלקית לאורך רחוב המנהרה ועד פארק הואדי. התוכנית כוללת מתחם לשימור. יש עתירה לבימ"ש של בעלי קרקע פרטיים.</v>
      </c>
      <c r="AB61" s="706">
        <f>'תקציב הנדסה 2020 '!AB61</f>
        <v>732000</v>
      </c>
      <c r="AC61" s="620"/>
      <c r="AD61" s="52"/>
    </row>
    <row r="62" spans="1:32" s="6" customFormat="1" ht="27.6">
      <c r="A62" s="3">
        <f t="shared" si="0"/>
        <v>57</v>
      </c>
      <c r="B62" s="706">
        <f>'תקציב הנדסה 2020 '!B62</f>
        <v>1943</v>
      </c>
      <c r="C62" s="87" t="str">
        <f>'תקציב הנדסה 2020 '!C62</f>
        <v xml:space="preserve">מגרש סימולציה לאופניים </v>
      </c>
      <c r="D62" s="4">
        <f>'תקציב הנדסה 2020 '!D62</f>
        <v>6750000</v>
      </c>
      <c r="E62" s="4">
        <f>'תקציב הנדסה 2020 '!E62</f>
        <v>6750000</v>
      </c>
      <c r="F62" s="4">
        <f>'תקציב הנדסה 2020 '!F62</f>
        <v>0</v>
      </c>
      <c r="G62" s="4">
        <f>'תקציב הנדסה 2020 '!G62</f>
        <v>6750000</v>
      </c>
      <c r="H62" s="4">
        <f>'תקציב הנדסה 2020 '!H62</f>
        <v>4531769.8899999997</v>
      </c>
      <c r="I62" s="4">
        <f>'תקציב הנדסה 2020 '!I62</f>
        <v>68274.94</v>
      </c>
      <c r="J62" s="4">
        <f>'תקציב הנדסה 2020 '!J62</f>
        <v>1900030.88</v>
      </c>
      <c r="K62" s="4">
        <f>'תקציב הנדסה 2020 '!K62</f>
        <v>1968305.8199999998</v>
      </c>
      <c r="L62" s="4">
        <f>'תקציב הנדסה 2020 '!L62</f>
        <v>6500075.709999999</v>
      </c>
      <c r="M62" s="4">
        <f>'תקציב הנדסה 2020 '!M62</f>
        <v>249924.29000000097</v>
      </c>
      <c r="N62" s="4">
        <f>'תקציב הנדסה 2020 '!N62</f>
        <v>0</v>
      </c>
      <c r="O62" s="4">
        <f>'תקציב הנדסה 2020 '!O62</f>
        <v>0</v>
      </c>
      <c r="P62" s="4">
        <f>'תקציב הנדסה 2020 '!P62</f>
        <v>249924.29000000097</v>
      </c>
      <c r="Q62" s="4">
        <f>'תקציב הנדסה 2020 '!Q62</f>
        <v>0</v>
      </c>
      <c r="R62" s="4">
        <f>'תקציב הנדסה 2020 '!R62</f>
        <v>0</v>
      </c>
      <c r="S62" s="4">
        <f>'תקציב הנדסה 2020 '!S62</f>
        <v>0</v>
      </c>
      <c r="T62" s="4">
        <f>'תקציב הנדסה 2020 '!T62</f>
        <v>0</v>
      </c>
      <c r="U62" s="4">
        <f>'תקציב הנדסה 2020 '!U62</f>
        <v>0</v>
      </c>
      <c r="V62" s="4">
        <f>'תקציב הנדסה 2020 '!V62</f>
        <v>0</v>
      </c>
      <c r="W62" s="4">
        <f>'תקציב הנדסה 2020 '!W62</f>
        <v>0</v>
      </c>
      <c r="X62" s="4">
        <f>'תקציב הנדסה 2020 '!X62</f>
        <v>0</v>
      </c>
      <c r="Y62" s="4">
        <f>'תקציב הנדסה 2020 '!Y62</f>
        <v>0</v>
      </c>
      <c r="Z62" s="4">
        <f>'תקציב הנדסה 2020 '!Z62</f>
        <v>0</v>
      </c>
      <c r="AA62" s="87" t="str">
        <f>'תקציב הנדסה 2020 '!AA62</f>
        <v xml:space="preserve">עבודות השלמה סופיות  לרבות מתכננים ופיקוח עקב התארכות תקופת הביצוע של הפרויקט. </v>
      </c>
      <c r="AB62" s="706">
        <f>'תקציב הנדסה 2020 '!AB62</f>
        <v>744000</v>
      </c>
      <c r="AC62" s="619"/>
      <c r="AD62" s="52"/>
      <c r="AE62" s="5"/>
      <c r="AF62" s="5"/>
    </row>
    <row r="63" spans="1:32" s="5" customFormat="1" ht="27.6">
      <c r="A63" s="3">
        <f t="shared" si="0"/>
        <v>58</v>
      </c>
      <c r="B63" s="706">
        <f>'תקציב הנדסה 2020 '!B63</f>
        <v>1950</v>
      </c>
      <c r="C63" s="87" t="str">
        <f>'תקציב הנדסה 2020 '!C63</f>
        <v>תכנון שינוי גבולות העיר</v>
      </c>
      <c r="D63" s="4">
        <f>'תקציב הנדסה 2020 '!D63</f>
        <v>500000</v>
      </c>
      <c r="E63" s="4">
        <f>'תקציב הנדסה 2020 '!E63</f>
        <v>500000</v>
      </c>
      <c r="F63" s="4">
        <f>'תקציב הנדסה 2020 '!F63</f>
        <v>0</v>
      </c>
      <c r="G63" s="4">
        <f>'תקציב הנדסה 2020 '!G63</f>
        <v>100000</v>
      </c>
      <c r="H63" s="4">
        <f>'תקציב הנדסה 2020 '!H63</f>
        <v>0</v>
      </c>
      <c r="I63" s="4">
        <f>'תקציב הנדסה 2020 '!I63</f>
        <v>0</v>
      </c>
      <c r="J63" s="4">
        <f>'תקציב הנדסה 2020 '!J63</f>
        <v>0</v>
      </c>
      <c r="K63" s="4">
        <f>'תקציב הנדסה 2020 '!K63</f>
        <v>0</v>
      </c>
      <c r="L63" s="4">
        <f>'תקציב הנדסה 2020 '!L63</f>
        <v>0</v>
      </c>
      <c r="M63" s="4">
        <f>'תקציב הנדסה 2020 '!M63</f>
        <v>100000</v>
      </c>
      <c r="N63" s="4">
        <f>'תקציב הנדסה 2020 '!N63</f>
        <v>0</v>
      </c>
      <c r="O63" s="4">
        <f>'תקציב הנדסה 2020 '!O63</f>
        <v>400000</v>
      </c>
      <c r="P63" s="4">
        <f>'תקציב הנדסה 2020 '!P63</f>
        <v>100000</v>
      </c>
      <c r="Q63" s="4">
        <f>'תקציב הנדסה 2020 '!Q63</f>
        <v>0</v>
      </c>
      <c r="R63" s="4">
        <f>'תקציב הנדסה 2020 '!R63</f>
        <v>0</v>
      </c>
      <c r="S63" s="4">
        <f>'תקציב הנדסה 2020 '!S63</f>
        <v>0</v>
      </c>
      <c r="T63" s="4">
        <f>'תקציב הנדסה 2020 '!T63</f>
        <v>0</v>
      </c>
      <c r="U63" s="4">
        <f>'תקציב הנדסה 2020 '!U63</f>
        <v>0</v>
      </c>
      <c r="V63" s="4">
        <f>'תקציב הנדסה 2020 '!V63</f>
        <v>0</v>
      </c>
      <c r="W63" s="4">
        <f>'תקציב הנדסה 2020 '!W63</f>
        <v>0</v>
      </c>
      <c r="X63" s="4">
        <f>'תקציב הנדסה 2020 '!X63</f>
        <v>0</v>
      </c>
      <c r="Y63" s="4">
        <f>'תקציב הנדסה 2020 '!Y63</f>
        <v>0</v>
      </c>
      <c r="Z63" s="4">
        <f>'תקציב הנדסה 2020 '!Z63</f>
        <v>0</v>
      </c>
      <c r="AA63" s="87" t="str">
        <f>'תקציב הנדסה 2020 '!AA63</f>
        <v>עלויות לצורך מתן מענה לדיון במשרד הפנים עקב אישורה של תוכנית תמ"ל מס' 1068.</v>
      </c>
      <c r="AB63" s="706">
        <f>'תקציב הנדסה 2020 '!AB63</f>
        <v>732000</v>
      </c>
      <c r="AC63" s="621"/>
      <c r="AD63" s="52"/>
      <c r="AE63" s="6"/>
      <c r="AF63" s="6"/>
    </row>
    <row r="64" spans="1:32" s="5" customFormat="1" ht="19.95" customHeight="1">
      <c r="A64" s="3">
        <f t="shared" si="0"/>
        <v>59</v>
      </c>
      <c r="B64" s="706">
        <f>'תקציב הנדסה 2020 '!B64</f>
        <v>1951</v>
      </c>
      <c r="C64" s="87" t="str">
        <f>'תקציב הנדסה 2020 '!C64</f>
        <v>מתחם דן אכדייה ליווי תכנוני</v>
      </c>
      <c r="D64" s="4">
        <f>'תקציב הנדסה 2020 '!D64</f>
        <v>300000</v>
      </c>
      <c r="E64" s="4">
        <f>'תקציב הנדסה 2020 '!E64</f>
        <v>300000</v>
      </c>
      <c r="F64" s="4">
        <f>'תקציב הנדסה 2020 '!F64</f>
        <v>0</v>
      </c>
      <c r="G64" s="4">
        <f>'תקציב הנדסה 2020 '!G64</f>
        <v>160000</v>
      </c>
      <c r="H64" s="4">
        <f>'תקציב הנדסה 2020 '!H64</f>
        <v>145805</v>
      </c>
      <c r="I64" s="4">
        <f>'תקציב הנדסה 2020 '!I64</f>
        <v>12870</v>
      </c>
      <c r="J64" s="4">
        <f>'תקציב הנדסה 2020 '!J64</f>
        <v>0</v>
      </c>
      <c r="K64" s="4">
        <f>'תקציב הנדסה 2020 '!K64</f>
        <v>12870</v>
      </c>
      <c r="L64" s="4">
        <f>'תקציב הנדסה 2020 '!L64</f>
        <v>158675</v>
      </c>
      <c r="M64" s="4">
        <f>'תקציב הנדסה 2020 '!M64</f>
        <v>1325</v>
      </c>
      <c r="N64" s="4">
        <f>'תקציב הנדסה 2020 '!N64</f>
        <v>0</v>
      </c>
      <c r="O64" s="4">
        <f>'תקציב הנדסה 2020 '!O64</f>
        <v>140000</v>
      </c>
      <c r="P64" s="4">
        <f>'תקציב הנדסה 2020 '!P64</f>
        <v>1325</v>
      </c>
      <c r="Q64" s="4">
        <f>'תקציב הנדסה 2020 '!Q64</f>
        <v>0</v>
      </c>
      <c r="R64" s="4">
        <f>'תקציב הנדסה 2020 '!R64</f>
        <v>0</v>
      </c>
      <c r="S64" s="4">
        <f>'תקציב הנדסה 2020 '!S64</f>
        <v>0</v>
      </c>
      <c r="T64" s="4">
        <f>'תקציב הנדסה 2020 '!T64</f>
        <v>0</v>
      </c>
      <c r="U64" s="4">
        <f>'תקציב הנדסה 2020 '!U64</f>
        <v>0</v>
      </c>
      <c r="V64" s="4">
        <f>'תקציב הנדסה 2020 '!V64</f>
        <v>0</v>
      </c>
      <c r="W64" s="4">
        <f>'תקציב הנדסה 2020 '!W64</f>
        <v>0</v>
      </c>
      <c r="X64" s="4">
        <f>'תקציב הנדסה 2020 '!X64</f>
        <v>0</v>
      </c>
      <c r="Y64" s="4">
        <f>'תקציב הנדסה 2020 '!Y64</f>
        <v>0</v>
      </c>
      <c r="Z64" s="4">
        <f>'תקציב הנדסה 2020 '!Z64</f>
        <v>0</v>
      </c>
      <c r="AA64" s="87">
        <f>'תקציב הנדסה 2020 '!AA64</f>
        <v>0</v>
      </c>
      <c r="AB64" s="706">
        <f>'תקציב הנדסה 2020 '!AB64</f>
        <v>732000</v>
      </c>
      <c r="AC64" s="621"/>
      <c r="AD64" s="52"/>
      <c r="AE64" s="6"/>
      <c r="AF64" s="6"/>
    </row>
    <row r="65" spans="1:32" s="5" customFormat="1" ht="19.95" customHeight="1">
      <c r="A65" s="3">
        <f t="shared" si="0"/>
        <v>60</v>
      </c>
      <c r="B65" s="706">
        <f>'תקציב הנדסה 2020 '!B65</f>
        <v>2007</v>
      </c>
      <c r="C65" s="87" t="str">
        <f>'תקציב הנדסה 2020 '!C65</f>
        <v>חניון עצמאות</v>
      </c>
      <c r="D65" s="4">
        <f>'תקציב הנדסה 2020 '!D65</f>
        <v>1100000</v>
      </c>
      <c r="E65" s="4">
        <f>'תקציב הנדסה 2020 '!E65</f>
        <v>1100000</v>
      </c>
      <c r="F65" s="4">
        <f>'תקציב הנדסה 2020 '!F65</f>
        <v>0</v>
      </c>
      <c r="G65" s="4">
        <f>'תקציב הנדסה 2020 '!G65</f>
        <v>1100000</v>
      </c>
      <c r="H65" s="4">
        <f>'תקציב הנדסה 2020 '!H65</f>
        <v>95247.31</v>
      </c>
      <c r="I65" s="4">
        <f>'תקציב הנדסה 2020 '!I65</f>
        <v>0</v>
      </c>
      <c r="J65" s="4">
        <f>'תקציב הנדסה 2020 '!J65</f>
        <v>869179.37</v>
      </c>
      <c r="K65" s="4">
        <f>'תקציב הנדסה 2020 '!K65</f>
        <v>869179.37</v>
      </c>
      <c r="L65" s="4">
        <f>'תקציב הנדסה 2020 '!L65</f>
        <v>964426.67999999993</v>
      </c>
      <c r="M65" s="4">
        <f>'תקציב הנדסה 2020 '!M65</f>
        <v>135573.32000000007</v>
      </c>
      <c r="N65" s="4">
        <f>'תקציב הנדסה 2020 '!N65</f>
        <v>0</v>
      </c>
      <c r="O65" s="4">
        <f>'תקציב הנדסה 2020 '!O65</f>
        <v>0</v>
      </c>
      <c r="P65" s="4">
        <f>'תקציב הנדסה 2020 '!P65</f>
        <v>135573.32000000007</v>
      </c>
      <c r="Q65" s="4">
        <f>'תקציב הנדסה 2020 '!Q65</f>
        <v>0</v>
      </c>
      <c r="R65" s="4">
        <f>'תקציב הנדסה 2020 '!R65</f>
        <v>0</v>
      </c>
      <c r="S65" s="4">
        <f>'תקציב הנדסה 2020 '!S65</f>
        <v>0</v>
      </c>
      <c r="T65" s="4">
        <f>'תקציב הנדסה 2020 '!T65</f>
        <v>0</v>
      </c>
      <c r="U65" s="4">
        <f>'תקציב הנדסה 2020 '!U65</f>
        <v>0</v>
      </c>
      <c r="V65" s="4">
        <f>'תקציב הנדסה 2020 '!V65</f>
        <v>0</v>
      </c>
      <c r="W65" s="4">
        <f>'תקציב הנדסה 2020 '!W65</f>
        <v>0</v>
      </c>
      <c r="X65" s="4">
        <f>'תקציב הנדסה 2020 '!X65</f>
        <v>0</v>
      </c>
      <c r="Y65" s="4">
        <f>'תקציב הנדסה 2020 '!Y65</f>
        <v>0</v>
      </c>
      <c r="Z65" s="4">
        <f>'תקציב הנדסה 2020 '!Z65</f>
        <v>0</v>
      </c>
      <c r="AA65" s="87" t="str">
        <f>'תקציב הנדסה 2020 '!AA65</f>
        <v>פיתוח חניון זמני במתחם אגד. סיום.חן סופיים.</v>
      </c>
      <c r="AB65" s="706">
        <f>'תקציב הנדסה 2020 '!AB65</f>
        <v>742000</v>
      </c>
      <c r="AC65" s="618"/>
      <c r="AD65" s="52"/>
    </row>
    <row r="66" spans="1:32" s="5" customFormat="1" ht="27.6">
      <c r="A66" s="3">
        <f t="shared" si="0"/>
        <v>61</v>
      </c>
      <c r="B66" s="706">
        <f>'תקציב הנדסה 2020 '!B66</f>
        <v>2009</v>
      </c>
      <c r="C66" s="87" t="str">
        <f>'תקציב הנדסה 2020 '!C66</f>
        <v>סמטת ניסנוב</v>
      </c>
      <c r="D66" s="4">
        <f>'תקציב הנדסה 2020 '!D66</f>
        <v>9000000</v>
      </c>
      <c r="E66" s="4">
        <f>'תקציב הנדסה 2020 '!E66</f>
        <v>9000000</v>
      </c>
      <c r="F66" s="4">
        <f>'תקציב הנדסה 2020 '!F66</f>
        <v>0</v>
      </c>
      <c r="G66" s="4">
        <f>'תקציב הנדסה 2020 '!G66</f>
        <v>1000000</v>
      </c>
      <c r="H66" s="4">
        <f>'תקציב הנדסה 2020 '!H66</f>
        <v>0</v>
      </c>
      <c r="I66" s="4">
        <f>'תקציב הנדסה 2020 '!I66</f>
        <v>0</v>
      </c>
      <c r="J66" s="4">
        <f>'תקציב הנדסה 2020 '!J66</f>
        <v>0</v>
      </c>
      <c r="K66" s="4">
        <f>'תקציב הנדסה 2020 '!K66</f>
        <v>0</v>
      </c>
      <c r="L66" s="4">
        <f>'תקציב הנדסה 2020 '!L66</f>
        <v>0</v>
      </c>
      <c r="M66" s="4">
        <f>'תקציב הנדסה 2020 '!M66</f>
        <v>1000000</v>
      </c>
      <c r="N66" s="4">
        <f>'תקציב הנדסה 2020 '!N66</f>
        <v>4200000</v>
      </c>
      <c r="O66" s="4">
        <f>'תקציב הנדסה 2020 '!O66</f>
        <v>3800000</v>
      </c>
      <c r="P66" s="4">
        <f>'תקציב הנדסה 2020 '!P66</f>
        <v>1000000</v>
      </c>
      <c r="Q66" s="4">
        <f>'תקציב הנדסה 2020 '!Q66</f>
        <v>0</v>
      </c>
      <c r="R66" s="4">
        <f>'תקציב הנדסה 2020 '!R66</f>
        <v>0</v>
      </c>
      <c r="S66" s="4">
        <f>'תקציב הנדסה 2020 '!S66</f>
        <v>0</v>
      </c>
      <c r="T66" s="4">
        <f>'תקציב הנדסה 2020 '!T66</f>
        <v>0</v>
      </c>
      <c r="U66" s="4">
        <f>'תקציב הנדסה 2020 '!U66</f>
        <v>4200000</v>
      </c>
      <c r="V66" s="4">
        <f>'תקציב הנדסה 2020 '!V66</f>
        <v>4200000</v>
      </c>
      <c r="W66" s="4">
        <f>'תקציב הנדסה 2020 '!W66</f>
        <v>0</v>
      </c>
      <c r="X66" s="4">
        <f>'תקציב הנדסה 2020 '!X66</f>
        <v>0</v>
      </c>
      <c r="Y66" s="4">
        <f>'תקציב הנדסה 2020 '!Y66</f>
        <v>0</v>
      </c>
      <c r="Z66" s="4">
        <f>'תקציב הנדסה 2020 '!Z66</f>
        <v>0</v>
      </c>
      <c r="AA66" s="87" t="str">
        <f>'תקציב הנדסה 2020 '!AA66</f>
        <v xml:space="preserve">פיתוח סימטה שהפכה לדרך במסגרת תב"ע 2029 בנווה עמל. </v>
      </c>
      <c r="AB66" s="706">
        <f>'תקציב הנדסה 2020 '!AB66</f>
        <v>742000</v>
      </c>
      <c r="AC66" s="619"/>
      <c r="AD66" s="52"/>
    </row>
    <row r="67" spans="1:32" s="5" customFormat="1" ht="27.6">
      <c r="A67" s="3">
        <f t="shared" si="0"/>
        <v>62</v>
      </c>
      <c r="B67" s="706">
        <f>'תקציב הנדסה 2020 '!B67</f>
        <v>2012</v>
      </c>
      <c r="C67" s="87" t="str">
        <f>'תקציב הנדסה 2020 '!C67</f>
        <v>ציר העדפה</v>
      </c>
      <c r="D67" s="4">
        <f>'תקציב הנדסה 2020 '!D67</f>
        <v>5000000</v>
      </c>
      <c r="E67" s="4">
        <f>'תקציב הנדסה 2020 '!E67</f>
        <v>5000000</v>
      </c>
      <c r="F67" s="4">
        <f>'תקציב הנדסה 2020 '!F67</f>
        <v>0</v>
      </c>
      <c r="G67" s="4">
        <f>'תקציב הנדסה 2020 '!G67</f>
        <v>200000</v>
      </c>
      <c r="H67" s="4">
        <f>'תקציב הנדסה 2020 '!H67</f>
        <v>0</v>
      </c>
      <c r="I67" s="4">
        <f>'תקציב הנדסה 2020 '!I67</f>
        <v>0</v>
      </c>
      <c r="J67" s="4">
        <f>'תקציב הנדסה 2020 '!J67</f>
        <v>0</v>
      </c>
      <c r="K67" s="4">
        <f>'תקציב הנדסה 2020 '!K67</f>
        <v>0</v>
      </c>
      <c r="L67" s="4">
        <f>'תקציב הנדסה 2020 '!L67</f>
        <v>0</v>
      </c>
      <c r="M67" s="4">
        <f>'תקציב הנדסה 2020 '!M67</f>
        <v>0</v>
      </c>
      <c r="N67" s="4">
        <f>'תקציב הנדסה 2020 '!N67</f>
        <v>200000</v>
      </c>
      <c r="O67" s="4">
        <f>'תקציב הנדסה 2020 '!O67</f>
        <v>4800000</v>
      </c>
      <c r="P67" s="4">
        <f>'תקציב הנדסה 2020 '!P67</f>
        <v>200000</v>
      </c>
      <c r="Q67" s="4">
        <f>'תקציב הנדסה 2020 '!Q67</f>
        <v>0</v>
      </c>
      <c r="R67" s="4">
        <f>'תקציב הנדסה 2020 '!R67</f>
        <v>0</v>
      </c>
      <c r="S67" s="4">
        <f>'תקציב הנדסה 2020 '!S67</f>
        <v>0</v>
      </c>
      <c r="T67" s="4">
        <f>'תקציב הנדסה 2020 '!T67</f>
        <v>200000</v>
      </c>
      <c r="U67" s="4">
        <f>'תקציב הנדסה 2020 '!U67</f>
        <v>0</v>
      </c>
      <c r="V67" s="4">
        <f>'תקציב הנדסה 2020 '!V67</f>
        <v>0</v>
      </c>
      <c r="W67" s="4">
        <f>'תקציב הנדסה 2020 '!W67</f>
        <v>0</v>
      </c>
      <c r="X67" s="4">
        <f>'תקציב הנדסה 2020 '!X67</f>
        <v>0</v>
      </c>
      <c r="Y67" s="4">
        <f>'תקציב הנדסה 2020 '!Y67</f>
        <v>0</v>
      </c>
      <c r="Z67" s="4">
        <f>'תקציב הנדסה 2020 '!Z67</f>
        <v>0</v>
      </c>
      <c r="AA67" s="87" t="str">
        <f>'תקציב הנדסה 2020 '!AA67</f>
        <v>עבודות עקב פרויקט " מהיר לעיר" כולל תוספת חיפוי קיר בטון.</v>
      </c>
      <c r="AB67" s="706">
        <f>'תקציב הנדסה 2020 '!AB67</f>
        <v>742000</v>
      </c>
      <c r="AC67" s="619"/>
      <c r="AD67" s="52"/>
    </row>
    <row r="68" spans="1:32" s="5" customFormat="1" ht="27.6">
      <c r="A68" s="3">
        <f t="shared" si="0"/>
        <v>63</v>
      </c>
      <c r="B68" s="706">
        <f>'תקציב הנדסה 2020 '!B68</f>
        <v>2014</v>
      </c>
      <c r="C68" s="87" t="str">
        <f>'תקציב הנדסה 2020 '!C68</f>
        <v>תכנון אסטרטגי ציר מעפילים</v>
      </c>
      <c r="D68" s="4">
        <f>'תקציב הנדסה 2020 '!D68</f>
        <v>750000</v>
      </c>
      <c r="E68" s="4">
        <f>'תקציב הנדסה 2020 '!E68</f>
        <v>750000</v>
      </c>
      <c r="F68" s="4">
        <f>'תקציב הנדסה 2020 '!F68</f>
        <v>0</v>
      </c>
      <c r="G68" s="4">
        <f>'תקציב הנדסה 2020 '!G68</f>
        <v>100000</v>
      </c>
      <c r="H68" s="4">
        <f>'תקציב הנדסה 2020 '!H68</f>
        <v>0</v>
      </c>
      <c r="I68" s="4">
        <f>'תקציב הנדסה 2020 '!I68</f>
        <v>0</v>
      </c>
      <c r="J68" s="4">
        <f>'תקציב הנדסה 2020 '!J68</f>
        <v>0</v>
      </c>
      <c r="K68" s="4">
        <f>'תקציב הנדסה 2020 '!K68</f>
        <v>0</v>
      </c>
      <c r="L68" s="4">
        <f>'תקציב הנדסה 2020 '!L68</f>
        <v>0</v>
      </c>
      <c r="M68" s="4">
        <f>'תקציב הנדסה 2020 '!M68</f>
        <v>100000</v>
      </c>
      <c r="N68" s="4">
        <f>'תקציב הנדסה 2020 '!N68</f>
        <v>0</v>
      </c>
      <c r="O68" s="4">
        <f>'תקציב הנדסה 2020 '!O68</f>
        <v>650000</v>
      </c>
      <c r="P68" s="4">
        <f>'תקציב הנדסה 2020 '!P68</f>
        <v>100000</v>
      </c>
      <c r="Q68" s="4">
        <f>'תקציב הנדסה 2020 '!Q68</f>
        <v>0</v>
      </c>
      <c r="R68" s="4">
        <f>'תקציב הנדסה 2020 '!R68</f>
        <v>0</v>
      </c>
      <c r="S68" s="4">
        <f>'תקציב הנדסה 2020 '!S68</f>
        <v>0</v>
      </c>
      <c r="T68" s="4">
        <f>'תקציב הנדסה 2020 '!T68</f>
        <v>0</v>
      </c>
      <c r="U68" s="4">
        <f>'תקציב הנדסה 2020 '!U68</f>
        <v>0</v>
      </c>
      <c r="V68" s="4">
        <f>'תקציב הנדסה 2020 '!V68</f>
        <v>0</v>
      </c>
      <c r="W68" s="4">
        <f>'תקציב הנדסה 2020 '!W68</f>
        <v>0</v>
      </c>
      <c r="X68" s="4">
        <f>'תקציב הנדסה 2020 '!X68</f>
        <v>0</v>
      </c>
      <c r="Y68" s="4">
        <f>'תקציב הנדסה 2020 '!Y68</f>
        <v>0</v>
      </c>
      <c r="Z68" s="4">
        <f>'תקציב הנדסה 2020 '!Z68</f>
        <v>0</v>
      </c>
      <c r="AA68" s="87" t="str">
        <f>'תקציב הנדסה 2020 '!AA68</f>
        <v xml:space="preserve">תכנון ציר המעפילים הכניסה הצפונית לעיר בשיתוף מועצה מקומית כפר שמריהו. </v>
      </c>
      <c r="AB68" s="706">
        <f>'תקציב הנדסה 2020 '!AB68</f>
        <v>732000</v>
      </c>
      <c r="AC68" s="620"/>
      <c r="AD68" s="52"/>
    </row>
    <row r="69" spans="1:32" s="6" customFormat="1" ht="27.6">
      <c r="A69" s="3">
        <f t="shared" si="0"/>
        <v>64</v>
      </c>
      <c r="B69" s="706">
        <f>'תקציב הנדסה 2020 '!B69</f>
        <v>2077</v>
      </c>
      <c r="C69" s="87" t="str">
        <f>'תקציב הנדסה 2020 '!C69</f>
        <v xml:space="preserve">פיתוח משה דיין </v>
      </c>
      <c r="D69" s="4">
        <f>'תקציב הנדסה 2020 '!D69</f>
        <v>4000000</v>
      </c>
      <c r="E69" s="4">
        <f>'תקציב הנדסה 2020 '!E69</f>
        <v>4000000</v>
      </c>
      <c r="F69" s="4">
        <f>'תקציב הנדסה 2020 '!F69</f>
        <v>0</v>
      </c>
      <c r="G69" s="4">
        <f>'תקציב הנדסה 2020 '!G69</f>
        <v>0</v>
      </c>
      <c r="H69" s="4">
        <f>'תקציב הנדסה 2020 '!H69</f>
        <v>0</v>
      </c>
      <c r="I69" s="4">
        <f>'תקציב הנדסה 2020 '!I69</f>
        <v>0</v>
      </c>
      <c r="J69" s="4">
        <f>'תקציב הנדסה 2020 '!J69</f>
        <v>0</v>
      </c>
      <c r="K69" s="4">
        <f>'תקציב הנדסה 2020 '!K69</f>
        <v>0</v>
      </c>
      <c r="L69" s="4">
        <f>'תקציב הנדסה 2020 '!L69</f>
        <v>0</v>
      </c>
      <c r="M69" s="4">
        <f>'תקציב הנדסה 2020 '!M69</f>
        <v>0</v>
      </c>
      <c r="N69" s="4">
        <f>'תקציב הנדסה 2020 '!N69</f>
        <v>0</v>
      </c>
      <c r="O69" s="4">
        <f>'תקציב הנדסה 2020 '!O69</f>
        <v>4000000</v>
      </c>
      <c r="P69" s="4">
        <f>'תקציב הנדסה 2020 '!P69</f>
        <v>0</v>
      </c>
      <c r="Q69" s="4">
        <f>'תקציב הנדסה 2020 '!Q69</f>
        <v>0</v>
      </c>
      <c r="R69" s="4">
        <f>'תקציב הנדסה 2020 '!R69</f>
        <v>0</v>
      </c>
      <c r="S69" s="4">
        <f>'תקציב הנדסה 2020 '!S69</f>
        <v>0</v>
      </c>
      <c r="T69" s="4">
        <f>'תקציב הנדסה 2020 '!T69</f>
        <v>0</v>
      </c>
      <c r="U69" s="4">
        <f>'תקציב הנדסה 2020 '!U69</f>
        <v>0</v>
      </c>
      <c r="V69" s="4">
        <f>'תקציב הנדסה 2020 '!V69</f>
        <v>0</v>
      </c>
      <c r="W69" s="4">
        <f>'תקציב הנדסה 2020 '!W69</f>
        <v>0</v>
      </c>
      <c r="X69" s="4">
        <f>'תקציב הנדסה 2020 '!X69</f>
        <v>0</v>
      </c>
      <c r="Y69" s="4">
        <f>'תקציב הנדסה 2020 '!Y69</f>
        <v>0</v>
      </c>
      <c r="Z69" s="4">
        <f>'תקציב הנדסה 2020 '!Z69</f>
        <v>0</v>
      </c>
      <c r="AA69" s="87" t="str">
        <f>'תקציב הנדסה 2020 '!AA69</f>
        <v>תכנון וביצוע רחוב משה דיין כולל חיבור לכביש 20, הילס, אופני דן.</v>
      </c>
      <c r="AB69" s="706">
        <f>'תקציב הנדסה 2020 '!AB69</f>
        <v>742000</v>
      </c>
      <c r="AC69" s="619"/>
      <c r="AD69" s="52"/>
      <c r="AE69" s="5"/>
      <c r="AF69" s="5"/>
    </row>
    <row r="70" spans="1:32" s="5" customFormat="1" ht="27.6">
      <c r="A70" s="3">
        <f t="shared" si="0"/>
        <v>65</v>
      </c>
      <c r="B70" s="706">
        <f>'תקציב הנדסה 2020 '!B70</f>
        <v>2105</v>
      </c>
      <c r="C70" s="87" t="str">
        <f>'תקציב הנדסה 2020 '!C70</f>
        <v>הארכת דרך ירושלים והתחברות אליה</v>
      </c>
      <c r="D70" s="4">
        <f>'תקציב הנדסה 2020 '!D70</f>
        <v>60000000</v>
      </c>
      <c r="E70" s="4">
        <f>'תקציב הנדסה 2020 '!E70</f>
        <v>60000000</v>
      </c>
      <c r="F70" s="4">
        <f>'תקציב הנדסה 2020 '!F70</f>
        <v>0</v>
      </c>
      <c r="G70" s="4">
        <f>'תקציב הנדסה 2020 '!G70</f>
        <v>0</v>
      </c>
      <c r="H70" s="4">
        <f>'תקציב הנדסה 2020 '!H70</f>
        <v>0</v>
      </c>
      <c r="I70" s="4">
        <f>'תקציב הנדסה 2020 '!I70</f>
        <v>0</v>
      </c>
      <c r="J70" s="4">
        <f>'תקציב הנדסה 2020 '!J70</f>
        <v>0</v>
      </c>
      <c r="K70" s="4">
        <f>'תקציב הנדסה 2020 '!K70</f>
        <v>0</v>
      </c>
      <c r="L70" s="4">
        <f>'תקציב הנדסה 2020 '!L70</f>
        <v>0</v>
      </c>
      <c r="M70" s="4">
        <f>'תקציב הנדסה 2020 '!M70</f>
        <v>0</v>
      </c>
      <c r="N70" s="4">
        <f>'תקציב הנדסה 2020 '!N70</f>
        <v>0</v>
      </c>
      <c r="O70" s="4">
        <f>'תקציב הנדסה 2020 '!O70</f>
        <v>60000000</v>
      </c>
      <c r="P70" s="4">
        <f>'תקציב הנדסה 2020 '!P70</f>
        <v>0</v>
      </c>
      <c r="Q70" s="4">
        <f>'תקציב הנדסה 2020 '!Q70</f>
        <v>0</v>
      </c>
      <c r="R70" s="4">
        <f>'תקציב הנדסה 2020 '!R70</f>
        <v>0</v>
      </c>
      <c r="S70" s="4">
        <f>'תקציב הנדסה 2020 '!S70</f>
        <v>0</v>
      </c>
      <c r="T70" s="4">
        <f>'תקציב הנדסה 2020 '!T70</f>
        <v>0</v>
      </c>
      <c r="U70" s="4">
        <f>'תקציב הנדסה 2020 '!U70</f>
        <v>0</v>
      </c>
      <c r="V70" s="4">
        <f>'תקציב הנדסה 2020 '!V70</f>
        <v>0</v>
      </c>
      <c r="W70" s="4">
        <f>'תקציב הנדסה 2020 '!W70</f>
        <v>0</v>
      </c>
      <c r="X70" s="4">
        <f>'תקציב הנדסה 2020 '!X70</f>
        <v>0</v>
      </c>
      <c r="Y70" s="4">
        <f>'תקציב הנדסה 2020 '!Y70</f>
        <v>0</v>
      </c>
      <c r="Z70" s="4">
        <f>'תקציב הנדסה 2020 '!Z70</f>
        <v>0</v>
      </c>
      <c r="AA70" s="87" t="str">
        <f>'תקציב הנדסה 2020 '!AA70</f>
        <v xml:space="preserve">הארכת דרך ירושלים  מרחוב סוקולוב עד ליפקין שחק כול דרך ושביל אופניים . </v>
      </c>
      <c r="AB70" s="706">
        <f>'תקציב הנדסה 2020 '!AB70</f>
        <v>742000</v>
      </c>
      <c r="AC70" s="620"/>
      <c r="AD70" s="52"/>
    </row>
    <row r="71" spans="1:32" s="6" customFormat="1" ht="41.4">
      <c r="A71" s="3">
        <f t="shared" si="0"/>
        <v>66</v>
      </c>
      <c r="B71" s="706">
        <f>'תקציב הנדסה 2020 '!B71</f>
        <v>2107</v>
      </c>
      <c r="C71" s="87" t="str">
        <f>'תקציב הנדסה 2020 '!C71</f>
        <v>פיתוח וביצוע שידרוג ויזואלי מתחם בני בניימין הנדיב</v>
      </c>
      <c r="D71" s="4">
        <f>'תקציב הנדסה 2020 '!D71</f>
        <v>340000</v>
      </c>
      <c r="E71" s="4">
        <f>'תקציב הנדסה 2020 '!E71</f>
        <v>340000</v>
      </c>
      <c r="F71" s="4">
        <f>'תקציב הנדסה 2020 '!F71</f>
        <v>0</v>
      </c>
      <c r="G71" s="4">
        <f>'תקציב הנדסה 2020 '!G71</f>
        <v>0</v>
      </c>
      <c r="H71" s="4">
        <f>'תקציב הנדסה 2020 '!H71</f>
        <v>0</v>
      </c>
      <c r="I71" s="4">
        <f>'תקציב הנדסה 2020 '!I71</f>
        <v>0</v>
      </c>
      <c r="J71" s="4">
        <f>'תקציב הנדסה 2020 '!J71</f>
        <v>0</v>
      </c>
      <c r="K71" s="4">
        <f>'תקציב הנדסה 2020 '!K71</f>
        <v>0</v>
      </c>
      <c r="L71" s="4">
        <f>'תקציב הנדסה 2020 '!L71</f>
        <v>0</v>
      </c>
      <c r="M71" s="4">
        <f>'תקציב הנדסה 2020 '!M71</f>
        <v>0</v>
      </c>
      <c r="N71" s="4">
        <f>'תקציב הנדסה 2020 '!N71</f>
        <v>340000</v>
      </c>
      <c r="O71" s="4">
        <f>'תקציב הנדסה 2020 '!O71</f>
        <v>0</v>
      </c>
      <c r="P71" s="4">
        <f>'תקציב הנדסה 2020 '!P71</f>
        <v>0</v>
      </c>
      <c r="Q71" s="4">
        <f>'תקציב הנדסה 2020 '!Q71</f>
        <v>0</v>
      </c>
      <c r="R71" s="4">
        <f>'תקציב הנדסה 2020 '!R71</f>
        <v>0</v>
      </c>
      <c r="S71" s="4">
        <f>'תקציב הנדסה 2020 '!S71</f>
        <v>0</v>
      </c>
      <c r="T71" s="4">
        <f>'תקציב הנדסה 2020 '!T71</f>
        <v>0</v>
      </c>
      <c r="U71" s="4">
        <f>'תקציב הנדסה 2020 '!U71</f>
        <v>340000</v>
      </c>
      <c r="V71" s="4">
        <f>'תקציב הנדסה 2020 '!V71</f>
        <v>340000</v>
      </c>
      <c r="W71" s="4">
        <f>'תקציב הנדסה 2020 '!W71</f>
        <v>0</v>
      </c>
      <c r="X71" s="4">
        <f>'תקציב הנדסה 2020 '!X71</f>
        <v>0</v>
      </c>
      <c r="Y71" s="4">
        <f>'תקציב הנדסה 2020 '!Y71</f>
        <v>0</v>
      </c>
      <c r="Z71" s="4">
        <f>'תקציב הנדסה 2020 '!Z71</f>
        <v>0</v>
      </c>
      <c r="AA71" s="87" t="str">
        <f>'תקציב הנדסה 2020 '!AA71</f>
        <v>הסדרת שבילי גישה רגלית וכניסת כלי רכב לחניות,שביל פינוי אשפה,פיתוח כולל גינון ותאורה.ב-2020 מתוכנן מרכז "מייקרים" בשיתוף אדריכלית השימור.</v>
      </c>
      <c r="AB71" s="706">
        <f>'תקציב הנדסה 2020 '!AB71</f>
        <v>742000</v>
      </c>
      <c r="AC71" s="620"/>
      <c r="AD71" s="52"/>
      <c r="AE71" s="5"/>
      <c r="AF71" s="5"/>
    </row>
    <row r="72" spans="1:32" s="5" customFormat="1" ht="27.6">
      <c r="A72" s="3">
        <f t="shared" ref="A72:A80" si="1">A71+1</f>
        <v>67</v>
      </c>
      <c r="B72" s="706">
        <f>'תקציב הנדסה 2020 '!B72</f>
        <v>2112</v>
      </c>
      <c r="C72" s="87" t="str">
        <f>'תקציב הנדסה 2020 '!C72</f>
        <v>סקר חריגות בניה ברחבי העיר</v>
      </c>
      <c r="D72" s="4">
        <f>'תקציב הנדסה 2020 '!D72</f>
        <v>7650000</v>
      </c>
      <c r="E72" s="4">
        <f>'תקציב הנדסה 2020 '!E72</f>
        <v>7650000</v>
      </c>
      <c r="F72" s="4">
        <f>'תקציב הנדסה 2020 '!F72</f>
        <v>0</v>
      </c>
      <c r="G72" s="4">
        <f>'תקציב הנדסה 2020 '!G72</f>
        <v>0</v>
      </c>
      <c r="H72" s="4">
        <f>'תקציב הנדסה 2020 '!H72</f>
        <v>0</v>
      </c>
      <c r="I72" s="4">
        <f>'תקציב הנדסה 2020 '!I72</f>
        <v>0</v>
      </c>
      <c r="J72" s="4">
        <f>'תקציב הנדסה 2020 '!J72</f>
        <v>0</v>
      </c>
      <c r="K72" s="4">
        <f>'תקציב הנדסה 2020 '!K72</f>
        <v>0</v>
      </c>
      <c r="L72" s="4">
        <f>'תקציב הנדסה 2020 '!L72</f>
        <v>0</v>
      </c>
      <c r="M72" s="4">
        <f>'תקציב הנדסה 2020 '!M72</f>
        <v>0</v>
      </c>
      <c r="N72" s="4">
        <f>'תקציב הנדסה 2020 '!N72</f>
        <v>2160000</v>
      </c>
      <c r="O72" s="4">
        <f>'תקציב הנדסה 2020 '!O72</f>
        <v>5490000</v>
      </c>
      <c r="P72" s="4">
        <f>'תקציב הנדסה 2020 '!P72</f>
        <v>0</v>
      </c>
      <c r="Q72" s="4">
        <f>'תקציב הנדסה 2020 '!Q72</f>
        <v>0</v>
      </c>
      <c r="R72" s="4">
        <f>'תקציב הנדסה 2020 '!R72</f>
        <v>0</v>
      </c>
      <c r="S72" s="4">
        <f>'תקציב הנדסה 2020 '!S72</f>
        <v>0</v>
      </c>
      <c r="T72" s="4">
        <f>'תקציב הנדסה 2020 '!T72</f>
        <v>0</v>
      </c>
      <c r="U72" s="4">
        <f>'תקציב הנדסה 2020 '!U72</f>
        <v>2160000</v>
      </c>
      <c r="V72" s="4">
        <f>'תקציב הנדסה 2020 '!V72</f>
        <v>2160000</v>
      </c>
      <c r="W72" s="4">
        <f>'תקציב הנדסה 2020 '!W72</f>
        <v>0</v>
      </c>
      <c r="X72" s="4">
        <f>'תקציב הנדסה 2020 '!X72</f>
        <v>0</v>
      </c>
      <c r="Y72" s="4">
        <f>'תקציב הנדסה 2020 '!Y72</f>
        <v>0</v>
      </c>
      <c r="Z72" s="4">
        <f>'תקציב הנדסה 2020 '!Z72</f>
        <v>0</v>
      </c>
      <c r="AA72" s="87" t="str">
        <f>'תקציב הנדסה 2020 '!AA72</f>
        <v>נדרש ביצוע סקר חריגות בנייה עפ"י תיקון לחוק הרשויות.</v>
      </c>
      <c r="AB72" s="706">
        <f>'תקציב הנדסה 2020 '!AB72</f>
        <v>732000</v>
      </c>
      <c r="AC72" s="619"/>
      <c r="AD72" s="52"/>
    </row>
    <row r="73" spans="1:32" s="5" customFormat="1" ht="27.6">
      <c r="A73" s="3">
        <f t="shared" si="1"/>
        <v>68</v>
      </c>
      <c r="B73" s="706">
        <f>'תקציב הנדסה 2020 '!B73</f>
        <v>2113</v>
      </c>
      <c r="C73" s="87" t="str">
        <f>'תקציב הנדסה 2020 '!C73</f>
        <v>ביצוע הריסות עפ"י צווים</v>
      </c>
      <c r="D73" s="4">
        <f>'תקציב הנדסה 2020 '!D73</f>
        <v>2550000</v>
      </c>
      <c r="E73" s="4">
        <f>'תקציב הנדסה 2020 '!E73</f>
        <v>2550000</v>
      </c>
      <c r="F73" s="4">
        <f>'תקציב הנדסה 2020 '!F73</f>
        <v>0</v>
      </c>
      <c r="G73" s="4">
        <f>'תקציב הנדסה 2020 '!G73</f>
        <v>0</v>
      </c>
      <c r="H73" s="4">
        <f>'תקציב הנדסה 2020 '!H73</f>
        <v>0</v>
      </c>
      <c r="I73" s="4">
        <f>'תקציב הנדסה 2020 '!I73</f>
        <v>0</v>
      </c>
      <c r="J73" s="4">
        <f>'תקציב הנדסה 2020 '!J73</f>
        <v>0</v>
      </c>
      <c r="K73" s="4">
        <f>'תקציב הנדסה 2020 '!K73</f>
        <v>0</v>
      </c>
      <c r="L73" s="4">
        <f>'תקציב הנדסה 2020 '!L73</f>
        <v>0</v>
      </c>
      <c r="M73" s="4">
        <f>'תקציב הנדסה 2020 '!M73</f>
        <v>0</v>
      </c>
      <c r="N73" s="4">
        <f>'תקציב הנדסה 2020 '!N73</f>
        <v>200000</v>
      </c>
      <c r="O73" s="4">
        <f>'תקציב הנדסה 2020 '!O73</f>
        <v>2350000</v>
      </c>
      <c r="P73" s="4">
        <f>'תקציב הנדסה 2020 '!P73</f>
        <v>0</v>
      </c>
      <c r="Q73" s="4">
        <f>'תקציב הנדסה 2020 '!Q73</f>
        <v>0</v>
      </c>
      <c r="R73" s="4">
        <f>'תקציב הנדסה 2020 '!R73</f>
        <v>0</v>
      </c>
      <c r="S73" s="4">
        <f>'תקציב הנדסה 2020 '!S73</f>
        <v>0</v>
      </c>
      <c r="T73" s="4">
        <f>'תקציב הנדסה 2020 '!T73</f>
        <v>0</v>
      </c>
      <c r="U73" s="4">
        <f>'תקציב הנדסה 2020 '!U73</f>
        <v>200000</v>
      </c>
      <c r="V73" s="4">
        <f>'תקציב הנדסה 2020 '!V73</f>
        <v>200000</v>
      </c>
      <c r="W73" s="4">
        <f>'תקציב הנדסה 2020 '!W73</f>
        <v>0</v>
      </c>
      <c r="X73" s="4">
        <f>'תקציב הנדסה 2020 '!X73</f>
        <v>0</v>
      </c>
      <c r="Y73" s="4">
        <f>'תקציב הנדסה 2020 '!Y73</f>
        <v>0</v>
      </c>
      <c r="Z73" s="4">
        <f>'תקציב הנדסה 2020 '!Z73</f>
        <v>0</v>
      </c>
      <c r="AA73" s="87" t="str">
        <f>'תקציב הנדסה 2020 '!AA73</f>
        <v>בהמשך לסקר חריגות בניה, נדרש לבצע צווים שיפוטיים ולבצע הריסות במקרים בהם לא בוצעו.</v>
      </c>
      <c r="AB73" s="706">
        <f>'תקציב הנדסה 2020 '!AB73</f>
        <v>732000</v>
      </c>
      <c r="AC73" s="618"/>
      <c r="AD73" s="52"/>
    </row>
    <row r="74" spans="1:32" s="6" customFormat="1" ht="55.2">
      <c r="A74" s="3">
        <f t="shared" si="1"/>
        <v>69</v>
      </c>
      <c r="B74" s="706">
        <f>'תקציב הנדסה 2020 '!B74</f>
        <v>2114</v>
      </c>
      <c r="C74" s="87" t="str">
        <f>'תקציב הנדסה 2020 '!C74</f>
        <v>תב"ע תוכנית שיקום המסילה המתפנה הר '2435</v>
      </c>
      <c r="D74" s="4">
        <f>'תקציב הנדסה 2020 '!D74</f>
        <v>1450000</v>
      </c>
      <c r="E74" s="4">
        <f>'תקציב הנדסה 2020 '!E74</f>
        <v>1450000</v>
      </c>
      <c r="F74" s="4">
        <f>'תקציב הנדסה 2020 '!F74</f>
        <v>0</v>
      </c>
      <c r="G74" s="4">
        <f>'תקציב הנדסה 2020 '!G74</f>
        <v>700000</v>
      </c>
      <c r="H74" s="4">
        <f>'תקציב הנדסה 2020 '!H74</f>
        <v>0</v>
      </c>
      <c r="I74" s="4">
        <f>'תקציב הנדסה 2020 '!I74</f>
        <v>0</v>
      </c>
      <c r="J74" s="4">
        <f>'תקציב הנדסה 2020 '!J74</f>
        <v>0</v>
      </c>
      <c r="K74" s="4">
        <f>'תקציב הנדסה 2020 '!K74</f>
        <v>0</v>
      </c>
      <c r="L74" s="4">
        <f>'תקציב הנדסה 2020 '!L74</f>
        <v>0</v>
      </c>
      <c r="M74" s="4">
        <f>'תקציב הנדסה 2020 '!M74</f>
        <v>700000</v>
      </c>
      <c r="N74" s="4">
        <f>'תקציב הנדסה 2020 '!N74</f>
        <v>500000</v>
      </c>
      <c r="O74" s="4">
        <f>'תקציב הנדסה 2020 '!O74</f>
        <v>250000</v>
      </c>
      <c r="P74" s="4">
        <f>'תקציב הנדסה 2020 '!P74</f>
        <v>700000</v>
      </c>
      <c r="Q74" s="4">
        <f>'תקציב הנדסה 2020 '!Q74</f>
        <v>0</v>
      </c>
      <c r="R74" s="4">
        <f>'תקציב הנדסה 2020 '!R74</f>
        <v>0</v>
      </c>
      <c r="S74" s="4">
        <f>'תקציב הנדסה 2020 '!S74</f>
        <v>0</v>
      </c>
      <c r="T74" s="4">
        <f>'תקציב הנדסה 2020 '!T74</f>
        <v>0</v>
      </c>
      <c r="U74" s="4">
        <f>'תקציב הנדסה 2020 '!U74</f>
        <v>500000</v>
      </c>
      <c r="V74" s="4">
        <f>'תקציב הנדסה 2020 '!V74</f>
        <v>500000</v>
      </c>
      <c r="W74" s="4">
        <f>'תקציב הנדסה 2020 '!W74</f>
        <v>0</v>
      </c>
      <c r="X74" s="4">
        <f>'תקציב הנדסה 2020 '!X74</f>
        <v>0</v>
      </c>
      <c r="Y74" s="4">
        <f>'תקציב הנדסה 2020 '!Y74</f>
        <v>0</v>
      </c>
      <c r="Z74" s="4">
        <f>'תקציב הנדסה 2020 '!Z74</f>
        <v>0</v>
      </c>
      <c r="AA74" s="87" t="str">
        <f>'תקציב הנדסה 2020 '!AA74</f>
        <v>הכנת תב"ע בשיתוף מועצת כפר שמריהו לתכנון קישוריות שביל אופניים ופארק בתחום המסילה המתפנה ואפשרות לבחינת חיבור תחבורתי נוסף להרצליה ב'.</v>
      </c>
      <c r="AB74" s="706">
        <f>'תקציב הנדסה 2020 '!AB74</f>
        <v>732000</v>
      </c>
      <c r="AC74" s="618"/>
      <c r="AD74" s="52"/>
      <c r="AE74" s="5"/>
      <c r="AF74" s="5"/>
    </row>
    <row r="75" spans="1:32" s="6" customFormat="1" ht="27.6">
      <c r="A75" s="3">
        <f t="shared" si="1"/>
        <v>70</v>
      </c>
      <c r="B75" s="706">
        <f>'תקציב הנדסה 2020 '!B75</f>
        <v>2116</v>
      </c>
      <c r="C75" s="87" t="str">
        <f>'תקציב הנדסה 2020 '!C75</f>
        <v>תב"ע מעברת רשף - מערב נוף ים</v>
      </c>
      <c r="D75" s="4">
        <f>'תקציב הנדסה 2020 '!D75</f>
        <v>1700000</v>
      </c>
      <c r="E75" s="4">
        <f>'תקציב הנדסה 2020 '!E75</f>
        <v>1700000</v>
      </c>
      <c r="F75" s="4">
        <f>'תקציב הנדסה 2020 '!F75</f>
        <v>0</v>
      </c>
      <c r="G75" s="4">
        <f>'תקציב הנדסה 2020 '!G75</f>
        <v>300000</v>
      </c>
      <c r="H75" s="4">
        <f>'תקציב הנדסה 2020 '!H75</f>
        <v>0</v>
      </c>
      <c r="I75" s="4">
        <f>'תקציב הנדסה 2020 '!I75</f>
        <v>0</v>
      </c>
      <c r="J75" s="4">
        <f>'תקציב הנדסה 2020 '!J75</f>
        <v>0</v>
      </c>
      <c r="K75" s="4">
        <f>'תקציב הנדסה 2020 '!K75</f>
        <v>0</v>
      </c>
      <c r="L75" s="4">
        <f>'תקציב הנדסה 2020 '!L75</f>
        <v>0</v>
      </c>
      <c r="M75" s="4">
        <f>'תקציב הנדסה 2020 '!M75</f>
        <v>300000</v>
      </c>
      <c r="N75" s="4">
        <f>'תקציב הנדסה 2020 '!N75</f>
        <v>0</v>
      </c>
      <c r="O75" s="4">
        <f>'תקציב הנדסה 2020 '!O75</f>
        <v>1400000</v>
      </c>
      <c r="P75" s="4">
        <f>'תקציב הנדסה 2020 '!P75</f>
        <v>300000</v>
      </c>
      <c r="Q75" s="4">
        <f>'תקציב הנדסה 2020 '!Q75</f>
        <v>0</v>
      </c>
      <c r="R75" s="4">
        <f>'תקציב הנדסה 2020 '!R75</f>
        <v>0</v>
      </c>
      <c r="S75" s="4">
        <f>'תקציב הנדסה 2020 '!S75</f>
        <v>0</v>
      </c>
      <c r="T75" s="4">
        <f>'תקציב הנדסה 2020 '!T75</f>
        <v>0</v>
      </c>
      <c r="U75" s="4">
        <f>'תקציב הנדסה 2020 '!U75</f>
        <v>0</v>
      </c>
      <c r="V75" s="4">
        <f>'תקציב הנדסה 2020 '!V75</f>
        <v>0</v>
      </c>
      <c r="W75" s="4">
        <f>'תקציב הנדסה 2020 '!W75</f>
        <v>0</v>
      </c>
      <c r="X75" s="4">
        <f>'תקציב הנדסה 2020 '!X75</f>
        <v>0</v>
      </c>
      <c r="Y75" s="4">
        <f>'תקציב הנדסה 2020 '!Y75</f>
        <v>0</v>
      </c>
      <c r="Z75" s="4">
        <f>'תקציב הנדסה 2020 '!Z75</f>
        <v>0</v>
      </c>
      <c r="AA75" s="87" t="str">
        <f>'תקציב הנדסה 2020 '!AA75</f>
        <v>תוכנית לשיקום מעברת רשף והקמת שכונת מגורים חדשה בשילוב שטחי ציבור , שטחים פתוחים ותיירות.</v>
      </c>
      <c r="AB75" s="706">
        <f>'תקציב הנדסה 2020 '!AB75</f>
        <v>732000</v>
      </c>
      <c r="AC75" s="620"/>
      <c r="AD75" s="52"/>
    </row>
    <row r="76" spans="1:32" s="6" customFormat="1" ht="27.6">
      <c r="A76" s="3">
        <f t="shared" si="1"/>
        <v>71</v>
      </c>
      <c r="B76" s="706">
        <f>'תקציב הנדסה 2020 '!B76</f>
        <v>2117</v>
      </c>
      <c r="C76" s="87" t="str">
        <f>'תקציב הנדסה 2020 '!C76</f>
        <v>שינוי תוכנית גליל ים א' ב'</v>
      </c>
      <c r="D76" s="4">
        <f>'תקציב הנדסה 2020 '!D76</f>
        <v>600000</v>
      </c>
      <c r="E76" s="4">
        <f>'תקציב הנדסה 2020 '!E76</f>
        <v>600000</v>
      </c>
      <c r="F76" s="4">
        <f>'תקציב הנדסה 2020 '!F76</f>
        <v>0</v>
      </c>
      <c r="G76" s="4">
        <f>'תקציב הנדסה 2020 '!G76</f>
        <v>300000</v>
      </c>
      <c r="H76" s="4">
        <f>'תקציב הנדסה 2020 '!H76</f>
        <v>0</v>
      </c>
      <c r="I76" s="4">
        <f>'תקציב הנדסה 2020 '!I76</f>
        <v>0</v>
      </c>
      <c r="J76" s="4">
        <f>'תקציב הנדסה 2020 '!J76</f>
        <v>0</v>
      </c>
      <c r="K76" s="4">
        <f>'תקציב הנדסה 2020 '!K76</f>
        <v>0</v>
      </c>
      <c r="L76" s="4">
        <f>'תקציב הנדסה 2020 '!L76</f>
        <v>0</v>
      </c>
      <c r="M76" s="4">
        <f>'תקציב הנדסה 2020 '!M76</f>
        <v>0</v>
      </c>
      <c r="N76" s="4">
        <f>'תקציב הנדסה 2020 '!N76</f>
        <v>600000</v>
      </c>
      <c r="O76" s="4">
        <f>'תקציב הנדסה 2020 '!O76</f>
        <v>0</v>
      </c>
      <c r="P76" s="4">
        <f>'תקציב הנדסה 2020 '!P76</f>
        <v>300000</v>
      </c>
      <c r="Q76" s="4">
        <f>'תקציב הנדסה 2020 '!Q76</f>
        <v>0</v>
      </c>
      <c r="R76" s="4">
        <f>'תקציב הנדסה 2020 '!R76</f>
        <v>0</v>
      </c>
      <c r="S76" s="4">
        <f>'תקציב הנדסה 2020 '!S76</f>
        <v>0</v>
      </c>
      <c r="T76" s="4">
        <f>'תקציב הנדסה 2020 '!T76</f>
        <v>300000</v>
      </c>
      <c r="U76" s="4">
        <f>'תקציב הנדסה 2020 '!U76</f>
        <v>300000</v>
      </c>
      <c r="V76" s="4">
        <f>'תקציב הנדסה 2020 '!V76</f>
        <v>300000</v>
      </c>
      <c r="W76" s="4">
        <f>'תקציב הנדסה 2020 '!W76</f>
        <v>0</v>
      </c>
      <c r="X76" s="4">
        <f>'תקציב הנדסה 2020 '!X76</f>
        <v>0</v>
      </c>
      <c r="Y76" s="4">
        <f>'תקציב הנדסה 2020 '!Y76</f>
        <v>0</v>
      </c>
      <c r="Z76" s="4">
        <f>'תקציב הנדסה 2020 '!Z76</f>
        <v>0</v>
      </c>
      <c r="AA76" s="87" t="str">
        <f>'תקציב הנדסה 2020 '!AA76</f>
        <v>שינוי לתוכנית הר' 1985 ב' עקב ריבוי יח"ד והצורך לספק שטחים ציבוריים בגינם.</v>
      </c>
      <c r="AB76" s="706">
        <f>'תקציב הנדסה 2020 '!AB76</f>
        <v>732000</v>
      </c>
      <c r="AC76" s="620"/>
      <c r="AD76" s="52"/>
    </row>
    <row r="77" spans="1:32" s="5" customFormat="1" ht="27.6">
      <c r="A77" s="3">
        <f t="shared" si="1"/>
        <v>72</v>
      </c>
      <c r="B77" s="706">
        <f>'תקציב הנדסה 2020 '!B77</f>
        <v>2119</v>
      </c>
      <c r="C77" s="87" t="str">
        <f>'תקציב הנדסה 2020 '!C77</f>
        <v>שביל מתחם העצמאות הרב גורן הבנים</v>
      </c>
      <c r="D77" s="4">
        <f>'תקציב הנדסה 2020 '!D77</f>
        <v>1400000</v>
      </c>
      <c r="E77" s="4">
        <f>'תקציב הנדסה 2020 '!E77</f>
        <v>1400000</v>
      </c>
      <c r="F77" s="4">
        <f>'תקציב הנדסה 2020 '!F77</f>
        <v>0</v>
      </c>
      <c r="G77" s="4">
        <f>'תקציב הנדסה 2020 '!G77</f>
        <v>0</v>
      </c>
      <c r="H77" s="4">
        <f>'תקציב הנדסה 2020 '!H77</f>
        <v>0</v>
      </c>
      <c r="I77" s="4">
        <f>'תקציב הנדסה 2020 '!I77</f>
        <v>0</v>
      </c>
      <c r="J77" s="4">
        <f>'תקציב הנדסה 2020 '!J77</f>
        <v>0</v>
      </c>
      <c r="K77" s="4">
        <f>'תקציב הנדסה 2020 '!K77</f>
        <v>0</v>
      </c>
      <c r="L77" s="4">
        <f>'תקציב הנדסה 2020 '!L77</f>
        <v>0</v>
      </c>
      <c r="M77" s="4">
        <f>'תקציב הנדסה 2020 '!M77</f>
        <v>0</v>
      </c>
      <c r="N77" s="4">
        <f>'תקציב הנדסה 2020 '!N77</f>
        <v>1100000</v>
      </c>
      <c r="O77" s="4">
        <f>'תקציב הנדסה 2020 '!O77</f>
        <v>300000</v>
      </c>
      <c r="P77" s="4">
        <f>'תקציב הנדסה 2020 '!P77</f>
        <v>0</v>
      </c>
      <c r="Q77" s="4">
        <f>'תקציב הנדסה 2020 '!Q77</f>
        <v>0</v>
      </c>
      <c r="R77" s="4">
        <f>'תקציב הנדסה 2020 '!R77</f>
        <v>0</v>
      </c>
      <c r="S77" s="4">
        <f>'תקציב הנדסה 2020 '!S77</f>
        <v>0</v>
      </c>
      <c r="T77" s="4">
        <f>'תקציב הנדסה 2020 '!T77</f>
        <v>0</v>
      </c>
      <c r="U77" s="4">
        <f>'תקציב הנדסה 2020 '!U77</f>
        <v>1100000</v>
      </c>
      <c r="V77" s="4">
        <f>'תקציב הנדסה 2020 '!V77</f>
        <v>1100000</v>
      </c>
      <c r="W77" s="4">
        <f>'תקציב הנדסה 2020 '!W77</f>
        <v>0</v>
      </c>
      <c r="X77" s="4">
        <f>'תקציב הנדסה 2020 '!X77</f>
        <v>0</v>
      </c>
      <c r="Y77" s="4">
        <f>'תקציב הנדסה 2020 '!Y77</f>
        <v>0</v>
      </c>
      <c r="Z77" s="4">
        <f>'תקציב הנדסה 2020 '!Z77</f>
        <v>0</v>
      </c>
      <c r="AA77" s="87" t="str">
        <f>'תקציב הנדסה 2020 '!AA77</f>
        <v>עבודות פיתוח מערך שבילים בין הרחובות העצמאות הרב גורן ורחוב הבנים.</v>
      </c>
      <c r="AB77" s="706">
        <f>'תקציב הנדסה 2020 '!AB77</f>
        <v>742000</v>
      </c>
      <c r="AC77" s="618"/>
      <c r="AD77" s="52"/>
      <c r="AE77" s="6"/>
      <c r="AF77" s="6"/>
    </row>
    <row r="78" spans="1:32" s="5" customFormat="1" ht="27.6">
      <c r="A78" s="3">
        <f t="shared" si="1"/>
        <v>73</v>
      </c>
      <c r="B78" s="706">
        <f>'תקציב הנדסה 2020 '!B78</f>
        <v>2120</v>
      </c>
      <c r="C78" s="87" t="str">
        <f>'תקציב הנדסה 2020 '!C78</f>
        <v>הכנת פרוגרמות עירוניות עפ"י הנדרש</v>
      </c>
      <c r="D78" s="4">
        <f>'תקציב הנדסה 2020 '!D78</f>
        <v>1000000</v>
      </c>
      <c r="E78" s="4">
        <f>'תקציב הנדסה 2020 '!E78</f>
        <v>1000000</v>
      </c>
      <c r="F78" s="4">
        <f>'תקציב הנדסה 2020 '!F78</f>
        <v>0</v>
      </c>
      <c r="G78" s="4">
        <f>'תקציב הנדסה 2020 '!G78</f>
        <v>0</v>
      </c>
      <c r="H78" s="4">
        <f>'תקציב הנדסה 2020 '!H78</f>
        <v>0</v>
      </c>
      <c r="I78" s="4">
        <f>'תקציב הנדסה 2020 '!I78</f>
        <v>0</v>
      </c>
      <c r="J78" s="4">
        <f>'תקציב הנדסה 2020 '!J78</f>
        <v>0</v>
      </c>
      <c r="K78" s="4">
        <f>'תקציב הנדסה 2020 '!K78</f>
        <v>0</v>
      </c>
      <c r="L78" s="4">
        <f>'תקציב הנדסה 2020 '!L78</f>
        <v>0</v>
      </c>
      <c r="M78" s="4">
        <f>'תקציב הנדסה 2020 '!M78</f>
        <v>0</v>
      </c>
      <c r="N78" s="4">
        <f>'תקציב הנדסה 2020 '!N78</f>
        <v>0</v>
      </c>
      <c r="O78" s="4">
        <f>'תקציב הנדסה 2020 '!O78</f>
        <v>1000000</v>
      </c>
      <c r="P78" s="4">
        <f>'תקציב הנדסה 2020 '!P78</f>
        <v>0</v>
      </c>
      <c r="Q78" s="4">
        <f>'תקציב הנדסה 2020 '!Q78</f>
        <v>0</v>
      </c>
      <c r="R78" s="4">
        <f>'תקציב הנדסה 2020 '!R78</f>
        <v>0</v>
      </c>
      <c r="S78" s="4">
        <f>'תקציב הנדסה 2020 '!S78</f>
        <v>0</v>
      </c>
      <c r="T78" s="4">
        <f>'תקציב הנדסה 2020 '!T78</f>
        <v>0</v>
      </c>
      <c r="U78" s="4">
        <f>'תקציב הנדסה 2020 '!U78</f>
        <v>0</v>
      </c>
      <c r="V78" s="4">
        <f>'תקציב הנדסה 2020 '!V78</f>
        <v>0</v>
      </c>
      <c r="W78" s="4">
        <f>'תקציב הנדסה 2020 '!W78</f>
        <v>0</v>
      </c>
      <c r="X78" s="4">
        <f>'תקציב הנדסה 2020 '!X78</f>
        <v>0</v>
      </c>
      <c r="Y78" s="4">
        <f>'תקציב הנדסה 2020 '!Y78</f>
        <v>0</v>
      </c>
      <c r="Z78" s="4">
        <f>'תקציב הנדסה 2020 '!Z78</f>
        <v>0</v>
      </c>
      <c r="AA78" s="87" t="str">
        <f>'תקציב הנדסה 2020 '!AA78</f>
        <v>הכנת פרוגרמות עירוניות : שטחים מבונים,איזור תעשיה, מרחב ציבורי,תוכניות תמ"א 38, סוקולוב.</v>
      </c>
      <c r="AB78" s="706">
        <f>'תקציב הנדסה 2020 '!AB78</f>
        <v>732000</v>
      </c>
      <c r="AC78" s="618"/>
      <c r="AD78" s="52"/>
      <c r="AE78" s="6"/>
      <c r="AF78" s="6"/>
    </row>
    <row r="79" spans="1:32" s="5" customFormat="1" ht="27.6">
      <c r="A79" s="3">
        <f t="shared" si="1"/>
        <v>74</v>
      </c>
      <c r="B79" s="706">
        <f>'תקציב הנדסה 2020 '!B79</f>
        <v>2121</v>
      </c>
      <c r="C79" s="87" t="str">
        <f>'תקציב הנדסה 2020 '!C79</f>
        <v>צומת הבריגדה היהודית -מנחם בגין- בטיחות</v>
      </c>
      <c r="D79" s="4">
        <f>'תקציב הנדסה 2020 '!D79</f>
        <v>300000</v>
      </c>
      <c r="E79" s="4">
        <f>'תקציב הנדסה 2020 '!E79</f>
        <v>300000</v>
      </c>
      <c r="F79" s="4">
        <f>'תקציב הנדסה 2020 '!F79</f>
        <v>0</v>
      </c>
      <c r="G79" s="4">
        <f>'תקציב הנדסה 2020 '!G79</f>
        <v>300000</v>
      </c>
      <c r="H79" s="4">
        <f>'תקציב הנדסה 2020 '!H79</f>
        <v>0</v>
      </c>
      <c r="I79" s="4">
        <f>'תקציב הנדסה 2020 '!I79</f>
        <v>0</v>
      </c>
      <c r="J79" s="4">
        <f>'תקציב הנדסה 2020 '!J79</f>
        <v>30864.6</v>
      </c>
      <c r="K79" s="4">
        <f>'תקציב הנדסה 2020 '!K79</f>
        <v>30864.6</v>
      </c>
      <c r="L79" s="4">
        <f>'תקציב הנדסה 2020 '!L79</f>
        <v>30864.6</v>
      </c>
      <c r="M79" s="4">
        <f>'תקציב הנדסה 2020 '!M79</f>
        <v>269135.40000000002</v>
      </c>
      <c r="N79" s="4">
        <f>'תקציב הנדסה 2020 '!N79</f>
        <v>0</v>
      </c>
      <c r="O79" s="4">
        <f>'תקציב הנדסה 2020 '!O79</f>
        <v>0</v>
      </c>
      <c r="P79" s="4">
        <f>'תקציב הנדסה 2020 '!P79</f>
        <v>269135.40000000002</v>
      </c>
      <c r="Q79" s="4">
        <f>'תקציב הנדסה 2020 '!Q79</f>
        <v>0</v>
      </c>
      <c r="R79" s="4">
        <f>'תקציב הנדסה 2020 '!R79</f>
        <v>0</v>
      </c>
      <c r="S79" s="4">
        <f>'תקציב הנדסה 2020 '!S79</f>
        <v>0</v>
      </c>
      <c r="T79" s="4">
        <f>'תקציב הנדסה 2020 '!T79</f>
        <v>0</v>
      </c>
      <c r="U79" s="4">
        <f>'תקציב הנדסה 2020 '!U79</f>
        <v>0</v>
      </c>
      <c r="V79" s="4">
        <f>'תקציב הנדסה 2020 '!V79</f>
        <v>0</v>
      </c>
      <c r="W79" s="4">
        <f>'תקציב הנדסה 2020 '!W79</f>
        <v>0</v>
      </c>
      <c r="X79" s="4">
        <f>'תקציב הנדסה 2020 '!X79</f>
        <v>0</v>
      </c>
      <c r="Y79" s="4">
        <f>'תקציב הנדסה 2020 '!Y79</f>
        <v>0</v>
      </c>
      <c r="Z79" s="4">
        <f>'תקציב הנדסה 2020 '!Z79</f>
        <v>0</v>
      </c>
      <c r="AA79" s="87" t="str">
        <f>'תקציב הנדסה 2020 '!AA79</f>
        <v>תכנון צומת הבריגדה היהודית -מנחם בגין עקב ריבוי תאונות דרכים עפ"י נתוני הרלב"ד. מימון מ. התחבורה.</v>
      </c>
      <c r="AB79" s="706">
        <f>'תקציב הנדסה 2020 '!AB79</f>
        <v>742000</v>
      </c>
      <c r="AC79" s="618"/>
      <c r="AD79" s="52"/>
      <c r="AE79" s="6"/>
      <c r="AF79" s="6"/>
    </row>
    <row r="80" spans="1:32" s="5" customFormat="1" ht="27.6">
      <c r="A80" s="3">
        <f t="shared" si="1"/>
        <v>75</v>
      </c>
      <c r="B80" s="706">
        <f>'תקציב הנדסה 2020 '!B80</f>
        <v>2123</v>
      </c>
      <c r="C80" s="87" t="str">
        <f>'תקציב הנדסה 2020 '!C80</f>
        <v>צומת השרון בר אילן -בטיחות</v>
      </c>
      <c r="D80" s="4">
        <f>'תקציב הנדסה 2020 '!D80</f>
        <v>750000</v>
      </c>
      <c r="E80" s="4">
        <f>'תקציב הנדסה 2020 '!E80</f>
        <v>750000</v>
      </c>
      <c r="F80" s="4">
        <f>'תקציב הנדסה 2020 '!F80</f>
        <v>0</v>
      </c>
      <c r="G80" s="4">
        <f>'תקציב הנדסה 2020 '!G80</f>
        <v>0</v>
      </c>
      <c r="H80" s="4">
        <f>'תקציב הנדסה 2020 '!H80</f>
        <v>0</v>
      </c>
      <c r="I80" s="4">
        <f>'תקציב הנדסה 2020 '!I80</f>
        <v>0</v>
      </c>
      <c r="J80" s="4">
        <f>'תקציב הנדסה 2020 '!J80</f>
        <v>0</v>
      </c>
      <c r="K80" s="4">
        <f>'תקציב הנדסה 2020 '!K80</f>
        <v>0</v>
      </c>
      <c r="L80" s="4">
        <f>'תקציב הנדסה 2020 '!L80</f>
        <v>0</v>
      </c>
      <c r="M80" s="4">
        <f>'תקציב הנדסה 2020 '!M80</f>
        <v>50000</v>
      </c>
      <c r="N80" s="4">
        <f>'תקציב הנדסה 2020 '!N80</f>
        <v>700000</v>
      </c>
      <c r="O80" s="4">
        <f>'תקציב הנדסה 2020 '!O80</f>
        <v>0</v>
      </c>
      <c r="P80" s="4">
        <f>'תקציב הנדסה 2020 '!P80</f>
        <v>0</v>
      </c>
      <c r="Q80" s="4">
        <f>'תקציב הנדסה 2020 '!Q80</f>
        <v>750000</v>
      </c>
      <c r="R80" s="4">
        <f>'תקציב הנדסה 2020 '!R80</f>
        <v>0</v>
      </c>
      <c r="S80" s="4">
        <f>'תקציב הנדסה 2020 '!S80</f>
        <v>750000</v>
      </c>
      <c r="T80" s="4">
        <f>'תקציב הנדסה 2020 '!T80</f>
        <v>700000</v>
      </c>
      <c r="U80" s="4">
        <f>'תקציב הנדסה 2020 '!U80</f>
        <v>0</v>
      </c>
      <c r="V80" s="4">
        <f>'תקציב הנדסה 2020 '!V80</f>
        <v>0</v>
      </c>
      <c r="W80" s="4">
        <f>'תקציב הנדסה 2020 '!W80</f>
        <v>0</v>
      </c>
      <c r="X80" s="4">
        <f>'תקציב הנדסה 2020 '!X80</f>
        <v>0</v>
      </c>
      <c r="Y80" s="4">
        <f>'תקציב הנדסה 2020 '!Y80</f>
        <v>0</v>
      </c>
      <c r="Z80" s="4">
        <f>'תקציב הנדסה 2020 '!Z80</f>
        <v>0</v>
      </c>
      <c r="AA80" s="87" t="str">
        <f>'תקציב הנדסה 2020 '!AA80</f>
        <v>תכנון צומת השרון בר אילן  עקב ריבוי תאונות דרכים עפ"י נתוני הרלב"ד. מימון מ. התחבורה.</v>
      </c>
      <c r="AB80" s="706">
        <f>'תקציב הנדסה 2020 '!AB80</f>
        <v>742000</v>
      </c>
      <c r="AC80" s="618"/>
      <c r="AD80" s="52"/>
      <c r="AE80" s="6"/>
      <c r="AF80" s="6"/>
    </row>
    <row r="81" spans="1:32" s="5" customFormat="1" ht="55.2">
      <c r="A81" s="3">
        <f>A80+1</f>
        <v>76</v>
      </c>
      <c r="B81" s="706">
        <f>'תקציב הנדסה 2020 '!B81</f>
        <v>2141</v>
      </c>
      <c r="C81" s="87" t="str">
        <f>'תקציב הנדסה 2020 '!C81</f>
        <v>תכנית פיתוח של המרחב הציבורי תל מיכל</v>
      </c>
      <c r="D81" s="4">
        <f>'תקציב הנדסה 2020 '!D81</f>
        <v>640000</v>
      </c>
      <c r="E81" s="4">
        <f>'תקציב הנדסה 2020 '!E81</f>
        <v>0</v>
      </c>
      <c r="F81" s="4">
        <f>'תקציב הנדסה 2020 '!F81</f>
        <v>640000</v>
      </c>
      <c r="G81" s="4">
        <f>'תקציב הנדסה 2020 '!G81</f>
        <v>0</v>
      </c>
      <c r="H81" s="4">
        <f>'תקציב הנדסה 2020 '!H81</f>
        <v>0</v>
      </c>
      <c r="I81" s="4">
        <f>'תקציב הנדסה 2020 '!I81</f>
        <v>0</v>
      </c>
      <c r="J81" s="4">
        <f>'תקציב הנדסה 2020 '!J81</f>
        <v>0</v>
      </c>
      <c r="K81" s="4">
        <f>'תקציב הנדסה 2020 '!K81</f>
        <v>0</v>
      </c>
      <c r="L81" s="4">
        <f>'תקציב הנדסה 2020 '!L81</f>
        <v>0</v>
      </c>
      <c r="M81" s="4">
        <f>'תקציב הנדסה 2020 '!M81</f>
        <v>0</v>
      </c>
      <c r="N81" s="4">
        <f>'תקציב הנדסה 2020 '!N81</f>
        <v>350000</v>
      </c>
      <c r="O81" s="4">
        <f>'תקציב הנדסה 2020 '!O81</f>
        <v>290000</v>
      </c>
      <c r="P81" s="4">
        <f>'תקציב הנדסה 2020 '!P81</f>
        <v>0</v>
      </c>
      <c r="Q81" s="4">
        <f>'תקציב הנדסה 2020 '!Q81</f>
        <v>0</v>
      </c>
      <c r="R81" s="4">
        <f>'תקציב הנדסה 2020 '!R81</f>
        <v>0</v>
      </c>
      <c r="S81" s="4">
        <f>'תקציב הנדסה 2020 '!S81</f>
        <v>0</v>
      </c>
      <c r="T81" s="4">
        <f>'תקציב הנדסה 2020 '!T81</f>
        <v>0</v>
      </c>
      <c r="U81" s="4">
        <f>'תקציב הנדסה 2020 '!U81</f>
        <v>350000</v>
      </c>
      <c r="V81" s="4">
        <f>'תקציב הנדסה 2020 '!V81</f>
        <v>350000</v>
      </c>
      <c r="W81" s="4">
        <f>'תקציב הנדסה 2020 '!W81</f>
        <v>0</v>
      </c>
      <c r="X81" s="4">
        <f>'תקציב הנדסה 2020 '!X81</f>
        <v>0</v>
      </c>
      <c r="Y81" s="4">
        <f>'תקציב הנדסה 2020 '!Y81</f>
        <v>0</v>
      </c>
      <c r="Z81" s="4">
        <f>'תקציב הנדסה 2020 '!Z81</f>
        <v>0</v>
      </c>
      <c r="AA81" s="87" t="str">
        <f>'תקציב הנדסה 2020 '!AA81</f>
        <v xml:space="preserve">תוכנית לבחינת הקשר בין השביל הירוק המטרופולוני לאורך רחוב אבא אבן תל מיכל והמרחב הציבורי של המרינה לחיזוק הקישוריות העיר אל המרינה וחוף הים. נדרש בעקבות דיון בוולחו"ף. </v>
      </c>
      <c r="AB81" s="706">
        <f>'תקציב הנדסה 2020 '!AB81</f>
        <v>732000</v>
      </c>
      <c r="AC81" s="618"/>
      <c r="AD81" s="52"/>
      <c r="AE81" s="6"/>
      <c r="AF81" s="6"/>
    </row>
    <row r="82" spans="1:32" s="5" customFormat="1" ht="19.95" customHeight="1">
      <c r="A82" s="3">
        <f>A81+1</f>
        <v>77</v>
      </c>
      <c r="B82" s="706">
        <f>'תקציב הנדסה 2020 '!B82</f>
        <v>2142</v>
      </c>
      <c r="C82" s="87" t="str">
        <f>'תקציב הנדסה 2020 '!C82</f>
        <v>פיתוח רח' הארז והחרוב</v>
      </c>
      <c r="D82" s="4">
        <f>'תקציב הנדסה 2020 '!D82</f>
        <v>2400000</v>
      </c>
      <c r="E82" s="4">
        <f>'תקציב הנדסה 2020 '!E82</f>
        <v>0</v>
      </c>
      <c r="F82" s="4">
        <f>'תקציב הנדסה 2020 '!F82</f>
        <v>2400000</v>
      </c>
      <c r="G82" s="4">
        <f>'תקציב הנדסה 2020 '!G82</f>
        <v>0</v>
      </c>
      <c r="H82" s="4">
        <f>'תקציב הנדסה 2020 '!H82</f>
        <v>0</v>
      </c>
      <c r="I82" s="4">
        <f>'תקציב הנדסה 2020 '!I82</f>
        <v>0</v>
      </c>
      <c r="J82" s="4">
        <f>'תקציב הנדסה 2020 '!J82</f>
        <v>0</v>
      </c>
      <c r="K82" s="4">
        <f>'תקציב הנדסה 2020 '!K82</f>
        <v>0</v>
      </c>
      <c r="L82" s="4">
        <f>'תקציב הנדסה 2020 '!L82</f>
        <v>0</v>
      </c>
      <c r="M82" s="4">
        <f>'תקציב הנדסה 2020 '!M82</f>
        <v>0</v>
      </c>
      <c r="N82" s="4">
        <f>'תקציב הנדסה 2020 '!N82</f>
        <v>2400000</v>
      </c>
      <c r="O82" s="4">
        <f>'תקציב הנדסה 2020 '!O82</f>
        <v>0</v>
      </c>
      <c r="P82" s="4">
        <f>'תקציב הנדסה 2020 '!P82</f>
        <v>0</v>
      </c>
      <c r="Q82" s="4">
        <f>'תקציב הנדסה 2020 '!Q82</f>
        <v>0</v>
      </c>
      <c r="R82" s="4">
        <f>'תקציב הנדסה 2020 '!R82</f>
        <v>0</v>
      </c>
      <c r="S82" s="4">
        <f>'תקציב הנדסה 2020 '!S82</f>
        <v>0</v>
      </c>
      <c r="T82" s="4">
        <f>'תקציב הנדסה 2020 '!T82</f>
        <v>0</v>
      </c>
      <c r="U82" s="4">
        <f>'תקציב הנדסה 2020 '!U82</f>
        <v>2400000</v>
      </c>
      <c r="V82" s="4">
        <f>'תקציב הנדסה 2020 '!V82</f>
        <v>2400000</v>
      </c>
      <c r="W82" s="4">
        <f>'תקציב הנדסה 2020 '!W82</f>
        <v>0</v>
      </c>
      <c r="X82" s="4">
        <f>'תקציב הנדסה 2020 '!X82</f>
        <v>0</v>
      </c>
      <c r="Y82" s="4">
        <f>'תקציב הנדסה 2020 '!Y82</f>
        <v>0</v>
      </c>
      <c r="Z82" s="4">
        <f>'תקציב הנדסה 2020 '!Z82</f>
        <v>0</v>
      </c>
      <c r="AA82" s="87" t="str">
        <f>'תקציב הנדסה 2020 '!AA82</f>
        <v>פיתוח רחובות הארז והחרוב. תכנון וביצוע.</v>
      </c>
      <c r="AB82" s="706">
        <f>'תקציב הנדסה 2020 '!AB82</f>
        <v>742000</v>
      </c>
      <c r="AC82" s="618"/>
      <c r="AD82" s="52"/>
      <c r="AE82" s="6"/>
      <c r="AF82" s="6"/>
    </row>
    <row r="83" spans="1:32" s="5" customFormat="1">
      <c r="A83" s="3">
        <f>A82+1</f>
        <v>78</v>
      </c>
      <c r="B83" s="706">
        <f>'תקציב הנדסה 2020 '!B83</f>
        <v>2143</v>
      </c>
      <c r="C83" s="87" t="str">
        <f>'תקציב הנדסה 2020 '!C83</f>
        <v>סקר תשתיות קיימות</v>
      </c>
      <c r="D83" s="4">
        <f>'תקציב הנדסה 2020 '!D83</f>
        <v>500000</v>
      </c>
      <c r="E83" s="4">
        <f>'תקציב הנדסה 2020 '!E83</f>
        <v>0</v>
      </c>
      <c r="F83" s="4">
        <f>'תקציב הנדסה 2020 '!F83</f>
        <v>500000</v>
      </c>
      <c r="G83" s="4">
        <f>'תקציב הנדסה 2020 '!G83</f>
        <v>0</v>
      </c>
      <c r="H83" s="4">
        <f>'תקציב הנדסה 2020 '!H83</f>
        <v>0</v>
      </c>
      <c r="I83" s="4">
        <f>'תקציב הנדסה 2020 '!I83</f>
        <v>0</v>
      </c>
      <c r="J83" s="4">
        <f>'תקציב הנדסה 2020 '!J83</f>
        <v>0</v>
      </c>
      <c r="K83" s="4">
        <f>'תקציב הנדסה 2020 '!K83</f>
        <v>0</v>
      </c>
      <c r="L83" s="4">
        <f>'תקציב הנדסה 2020 '!L83</f>
        <v>0</v>
      </c>
      <c r="M83" s="4">
        <f>'תקציב הנדסה 2020 '!M83</f>
        <v>0</v>
      </c>
      <c r="N83" s="4">
        <f>'תקציב הנדסה 2020 '!N83</f>
        <v>500000</v>
      </c>
      <c r="O83" s="4">
        <f>'תקציב הנדסה 2020 '!O83</f>
        <v>0</v>
      </c>
      <c r="P83" s="4">
        <f>'תקציב הנדסה 2020 '!P83</f>
        <v>0</v>
      </c>
      <c r="Q83" s="4">
        <f>'תקציב הנדסה 2020 '!Q83</f>
        <v>0</v>
      </c>
      <c r="R83" s="4">
        <f>'תקציב הנדסה 2020 '!R83</f>
        <v>0</v>
      </c>
      <c r="S83" s="4">
        <f>'תקציב הנדסה 2020 '!S83</f>
        <v>0</v>
      </c>
      <c r="T83" s="4">
        <f>'תקציב הנדסה 2020 '!T83</f>
        <v>0</v>
      </c>
      <c r="U83" s="4">
        <f>'תקציב הנדסה 2020 '!U83</f>
        <v>500000</v>
      </c>
      <c r="V83" s="4">
        <f>'תקציב הנדסה 2020 '!V83</f>
        <v>500000</v>
      </c>
      <c r="W83" s="4">
        <f>'תקציב הנדסה 2020 '!W83</f>
        <v>0</v>
      </c>
      <c r="X83" s="4">
        <f>'תקציב הנדסה 2020 '!X83</f>
        <v>0</v>
      </c>
      <c r="Y83" s="4">
        <f>'תקציב הנדסה 2020 '!Y83</f>
        <v>0</v>
      </c>
      <c r="Z83" s="4">
        <f>'תקציב הנדסה 2020 '!Z83</f>
        <v>0</v>
      </c>
      <c r="AA83" s="87" t="str">
        <f>'תקציב הנדסה 2020 '!AA83</f>
        <v xml:space="preserve">מיחשוב כלל התשתיות הקיימות במרחב הציבורי. </v>
      </c>
      <c r="AB83" s="706">
        <f>'תקציב הנדסה 2020 '!AB83</f>
        <v>732000</v>
      </c>
      <c r="AC83" s="618"/>
      <c r="AD83" s="52"/>
      <c r="AE83" s="6"/>
      <c r="AF83" s="6"/>
    </row>
    <row r="84" spans="1:32" s="5" customFormat="1" ht="27.6">
      <c r="A84" s="3">
        <f t="shared" ref="A84:A86" si="2">A83+1</f>
        <v>79</v>
      </c>
      <c r="B84" s="706">
        <f>'תקציב הנדסה 2020 '!B84</f>
        <v>2144</v>
      </c>
      <c r="C84" s="87" t="str">
        <f>'תקציב הנדסה 2020 '!C84</f>
        <v>תוכנת ניהול ותאום תשתיות</v>
      </c>
      <c r="D84" s="4">
        <f>'תקציב הנדסה 2020 '!D84</f>
        <v>500000</v>
      </c>
      <c r="E84" s="4">
        <f>'תקציב הנדסה 2020 '!E84</f>
        <v>0</v>
      </c>
      <c r="F84" s="4">
        <f>'תקציב הנדסה 2020 '!F84</f>
        <v>500000</v>
      </c>
      <c r="G84" s="4">
        <f>'תקציב הנדסה 2020 '!G84</f>
        <v>0</v>
      </c>
      <c r="H84" s="4">
        <f>'תקציב הנדסה 2020 '!H84</f>
        <v>0</v>
      </c>
      <c r="I84" s="4">
        <f>'תקציב הנדסה 2020 '!I84</f>
        <v>0</v>
      </c>
      <c r="J84" s="4">
        <f>'תקציב הנדסה 2020 '!J84</f>
        <v>0</v>
      </c>
      <c r="K84" s="4">
        <f>'תקציב הנדסה 2020 '!K84</f>
        <v>0</v>
      </c>
      <c r="L84" s="4">
        <f>'תקציב הנדסה 2020 '!L84</f>
        <v>0</v>
      </c>
      <c r="M84" s="4">
        <f>'תקציב הנדסה 2020 '!M84</f>
        <v>0</v>
      </c>
      <c r="N84" s="4">
        <f>'תקציב הנדסה 2020 '!N84</f>
        <v>500000</v>
      </c>
      <c r="O84" s="4">
        <f>'תקציב הנדסה 2020 '!O84</f>
        <v>0</v>
      </c>
      <c r="P84" s="4">
        <f>'תקציב הנדסה 2020 '!P84</f>
        <v>0</v>
      </c>
      <c r="Q84" s="4">
        <f>'תקציב הנדסה 2020 '!Q84</f>
        <v>0</v>
      </c>
      <c r="R84" s="4">
        <f>'תקציב הנדסה 2020 '!R84</f>
        <v>0</v>
      </c>
      <c r="S84" s="4">
        <f>'תקציב הנדסה 2020 '!S84</f>
        <v>0</v>
      </c>
      <c r="T84" s="4">
        <f>'תקציב הנדסה 2020 '!T84</f>
        <v>0</v>
      </c>
      <c r="U84" s="4">
        <f>'תקציב הנדסה 2020 '!U84</f>
        <v>500000</v>
      </c>
      <c r="V84" s="4">
        <f>'תקציב הנדסה 2020 '!V84</f>
        <v>500000</v>
      </c>
      <c r="W84" s="4">
        <f>'תקציב הנדסה 2020 '!W84</f>
        <v>0</v>
      </c>
      <c r="X84" s="4">
        <f>'תקציב הנדסה 2020 '!X84</f>
        <v>0</v>
      </c>
      <c r="Y84" s="4">
        <f>'תקציב הנדסה 2020 '!Y84</f>
        <v>0</v>
      </c>
      <c r="Z84" s="4">
        <f>'תקציב הנדסה 2020 '!Z84</f>
        <v>0</v>
      </c>
      <c r="AA84" s="87" t="str">
        <f>'תקציב הנדסה 2020 '!AA84</f>
        <v xml:space="preserve">בניית אתר הנדסי לתשתיות וסנכרון בין עבודות התשתית השונות ברחבי העיר. </v>
      </c>
      <c r="AB84" s="706">
        <f>'תקציב הנדסה 2020 '!AB84</f>
        <v>732000</v>
      </c>
      <c r="AC84" s="618"/>
      <c r="AD84" s="52"/>
      <c r="AE84" s="6"/>
      <c r="AF84" s="6"/>
    </row>
    <row r="85" spans="1:32" s="5" customFormat="1" ht="27.6">
      <c r="A85" s="3">
        <f t="shared" si="2"/>
        <v>80</v>
      </c>
      <c r="B85" s="706">
        <f>'תקציב הנדסה 2020 '!B85</f>
        <v>2145</v>
      </c>
      <c r="C85" s="87" t="str">
        <f>'תקציב הנדסה 2020 '!C85</f>
        <v>ציר ירושלים יבנה/הנגב</v>
      </c>
      <c r="D85" s="4">
        <f>'תקציב הנדסה 2020 '!D85</f>
        <v>2050000</v>
      </c>
      <c r="E85" s="4">
        <f>'תקציב הנדסה 2020 '!E85</f>
        <v>0</v>
      </c>
      <c r="F85" s="4">
        <f>'תקציב הנדסה 2020 '!F85</f>
        <v>2050000</v>
      </c>
      <c r="G85" s="4">
        <f>'תקציב הנדסה 2020 '!G85</f>
        <v>0</v>
      </c>
      <c r="H85" s="4">
        <f>'תקציב הנדסה 2020 '!H85</f>
        <v>0</v>
      </c>
      <c r="I85" s="4">
        <f>'תקציב הנדסה 2020 '!I85</f>
        <v>0</v>
      </c>
      <c r="J85" s="4">
        <f>'תקציב הנדסה 2020 '!J85</f>
        <v>0</v>
      </c>
      <c r="K85" s="4">
        <f>'תקציב הנדסה 2020 '!K85</f>
        <v>0</v>
      </c>
      <c r="L85" s="4">
        <f>'תקציב הנדסה 2020 '!L85</f>
        <v>0</v>
      </c>
      <c r="M85" s="4">
        <f>'תקציב הנדסה 2020 '!M85</f>
        <v>0</v>
      </c>
      <c r="N85" s="4">
        <f>'תקציב הנדסה 2020 '!N85</f>
        <v>500000</v>
      </c>
      <c r="O85" s="4">
        <f>'תקציב הנדסה 2020 '!O85</f>
        <v>1550000</v>
      </c>
      <c r="P85" s="4">
        <f>'תקציב הנדסה 2020 '!P85</f>
        <v>0</v>
      </c>
      <c r="Q85" s="4">
        <f>'תקציב הנדסה 2020 '!Q85</f>
        <v>0</v>
      </c>
      <c r="R85" s="4">
        <f>'תקציב הנדסה 2020 '!R85</f>
        <v>0</v>
      </c>
      <c r="S85" s="4">
        <f>'תקציב הנדסה 2020 '!S85</f>
        <v>0</v>
      </c>
      <c r="T85" s="4">
        <f>'תקציב הנדסה 2020 '!T85</f>
        <v>0</v>
      </c>
      <c r="U85" s="4">
        <f>'תקציב הנדסה 2020 '!U85</f>
        <v>500000</v>
      </c>
      <c r="V85" s="4">
        <f>'תקציב הנדסה 2020 '!V85</f>
        <v>500000</v>
      </c>
      <c r="W85" s="4">
        <f>'תקציב הנדסה 2020 '!W85</f>
        <v>0</v>
      </c>
      <c r="X85" s="4">
        <f>'תקציב הנדסה 2020 '!X85</f>
        <v>0</v>
      </c>
      <c r="Y85" s="4">
        <f>'תקציב הנדסה 2020 '!Y85</f>
        <v>0</v>
      </c>
      <c r="Z85" s="4">
        <f>'תקציב הנדסה 2020 '!Z85</f>
        <v>0</v>
      </c>
      <c r="AA85" s="87" t="str">
        <f>'תקציב הנדסה 2020 '!AA85</f>
        <v>תכנון ציר הרחובות ירושלים יבנה/הנגב המסתמן להיות אחד מעורקי התחבורה הראשיים בעיר.</v>
      </c>
      <c r="AB85" s="706">
        <f>'תקציב הנדסה 2020 '!AB85</f>
        <v>742000</v>
      </c>
      <c r="AC85" s="618"/>
      <c r="AD85" s="52"/>
      <c r="AE85" s="6"/>
      <c r="AF85" s="6"/>
    </row>
    <row r="86" spans="1:32" s="5" customFormat="1" ht="27.6">
      <c r="A86" s="3">
        <f t="shared" si="2"/>
        <v>81</v>
      </c>
      <c r="B86" s="706">
        <f>'תקציב הנדסה 2020 '!B86</f>
        <v>2146</v>
      </c>
      <c r="C86" s="87" t="str">
        <f>'תקציב הנדסה 2020 '!C86</f>
        <v>תוכנית שבילי אופניים בשצ"פים עירוניים</v>
      </c>
      <c r="D86" s="4">
        <f>'תקציב הנדסה 2020 '!D86</f>
        <v>220000</v>
      </c>
      <c r="E86" s="4">
        <f>'תקציב הנדסה 2020 '!E86</f>
        <v>0</v>
      </c>
      <c r="F86" s="4">
        <f>'תקציב הנדסה 2020 '!F86</f>
        <v>220000</v>
      </c>
      <c r="G86" s="4">
        <f>'תקציב הנדסה 2020 '!G86</f>
        <v>0</v>
      </c>
      <c r="H86" s="4">
        <f>'תקציב הנדסה 2020 '!H86</f>
        <v>0</v>
      </c>
      <c r="I86" s="4">
        <f>'תקציב הנדסה 2020 '!I86</f>
        <v>0</v>
      </c>
      <c r="J86" s="4">
        <f>'תקציב הנדסה 2020 '!J86</f>
        <v>0</v>
      </c>
      <c r="K86" s="4">
        <f>'תקציב הנדסה 2020 '!K86</f>
        <v>0</v>
      </c>
      <c r="L86" s="4">
        <f>'תקציב הנדסה 2020 '!L86</f>
        <v>0</v>
      </c>
      <c r="M86" s="4">
        <f>'תקציב הנדסה 2020 '!M86</f>
        <v>0</v>
      </c>
      <c r="N86" s="4">
        <f>'תקציב הנדסה 2020 '!N86</f>
        <v>130000</v>
      </c>
      <c r="O86" s="4">
        <f>'תקציב הנדסה 2020 '!O86</f>
        <v>90000</v>
      </c>
      <c r="P86" s="4">
        <f>'תקציב הנדסה 2020 '!P86</f>
        <v>0</v>
      </c>
      <c r="Q86" s="4">
        <f>'תקציב הנדסה 2020 '!Q86</f>
        <v>0</v>
      </c>
      <c r="R86" s="4">
        <f>'תקציב הנדסה 2020 '!R86</f>
        <v>0</v>
      </c>
      <c r="S86" s="4">
        <f>'תקציב הנדסה 2020 '!S86</f>
        <v>0</v>
      </c>
      <c r="T86" s="4">
        <f>'תקציב הנדסה 2020 '!T86</f>
        <v>0</v>
      </c>
      <c r="U86" s="4">
        <f>'תקציב הנדסה 2020 '!U86</f>
        <v>130000</v>
      </c>
      <c r="V86" s="4">
        <f>'תקציב הנדסה 2020 '!V86</f>
        <v>130000</v>
      </c>
      <c r="W86" s="4">
        <f>'תקציב הנדסה 2020 '!W86</f>
        <v>0</v>
      </c>
      <c r="X86" s="4">
        <f>'תקציב הנדסה 2020 '!X86</f>
        <v>0</v>
      </c>
      <c r="Y86" s="4">
        <f>'תקציב הנדסה 2020 '!Y86</f>
        <v>0</v>
      </c>
      <c r="Z86" s="4">
        <f>'תקציב הנדסה 2020 '!Z86</f>
        <v>0</v>
      </c>
      <c r="AA86" s="87" t="str">
        <f>'תקציב הנדסה 2020 '!AA86</f>
        <v>הכנת תוכנית לניצול יעיל לשצ"פים ברחבי העיר לשימושי שבילי אופניים והתקנת מצללות.</v>
      </c>
      <c r="AB86" s="706">
        <f>'תקציב הנדסה 2020 '!AB86</f>
        <v>732000</v>
      </c>
      <c r="AC86" s="618"/>
      <c r="AD86" s="52"/>
      <c r="AE86" s="6"/>
      <c r="AF86" s="6"/>
    </row>
    <row r="87" spans="1:32" s="84" customFormat="1" ht="19.95" customHeight="1">
      <c r="A87" s="41">
        <f>A86</f>
        <v>81</v>
      </c>
      <c r="B87" s="725"/>
      <c r="C87" s="705" t="s">
        <v>666</v>
      </c>
      <c r="D87" s="88">
        <f>SUM(D6:D86)</f>
        <v>622652129</v>
      </c>
      <c r="E87" s="88">
        <f t="shared" ref="E87:Z87" si="3">SUM(E6:E86)</f>
        <v>607401879</v>
      </c>
      <c r="F87" s="88">
        <f t="shared" si="3"/>
        <v>15250250</v>
      </c>
      <c r="G87" s="88">
        <f t="shared" si="3"/>
        <v>282994229</v>
      </c>
      <c r="H87" s="88">
        <f t="shared" si="3"/>
        <v>231832205.63999996</v>
      </c>
      <c r="I87" s="88">
        <f t="shared" si="3"/>
        <v>10898105.370000001</v>
      </c>
      <c r="J87" s="88">
        <f t="shared" si="3"/>
        <v>11954790.389999997</v>
      </c>
      <c r="K87" s="88">
        <f t="shared" si="3"/>
        <v>22852895.760000002</v>
      </c>
      <c r="L87" s="88">
        <f t="shared" si="3"/>
        <v>254685101.39999998</v>
      </c>
      <c r="M87" s="88">
        <f t="shared" si="3"/>
        <v>26266450.599999994</v>
      </c>
      <c r="N87" s="88">
        <f t="shared" si="3"/>
        <v>37708338</v>
      </c>
      <c r="O87" s="88">
        <f t="shared" si="3"/>
        <v>303992239</v>
      </c>
      <c r="P87" s="88">
        <f t="shared" si="3"/>
        <v>28309127.599999994</v>
      </c>
      <c r="Q87" s="88">
        <f t="shared" si="3"/>
        <v>3107323</v>
      </c>
      <c r="R87" s="88">
        <f t="shared" si="3"/>
        <v>0</v>
      </c>
      <c r="S87" s="88">
        <f t="shared" si="3"/>
        <v>3107323</v>
      </c>
      <c r="T87" s="88">
        <f t="shared" si="3"/>
        <v>5150000</v>
      </c>
      <c r="U87" s="88">
        <f t="shared" si="3"/>
        <v>32558338</v>
      </c>
      <c r="V87" s="88">
        <f t="shared" si="3"/>
        <v>31303894</v>
      </c>
      <c r="W87" s="88">
        <f t="shared" si="3"/>
        <v>0</v>
      </c>
      <c r="X87" s="88">
        <f t="shared" si="3"/>
        <v>0</v>
      </c>
      <c r="Y87" s="88">
        <f t="shared" si="3"/>
        <v>0</v>
      </c>
      <c r="Z87" s="88">
        <f t="shared" si="3"/>
        <v>1254444</v>
      </c>
      <c r="AA87" s="705"/>
      <c r="AB87" s="41"/>
      <c r="AC87" s="622"/>
      <c r="AD87" s="438"/>
    </row>
    <row r="88" spans="1:32" hidden="1">
      <c r="L88" s="16">
        <f>K87+H87</f>
        <v>254685101.39999995</v>
      </c>
      <c r="M88" s="16">
        <f>P88+S87-T87</f>
        <v>26266450.600000054</v>
      </c>
      <c r="P88" s="16">
        <f>G87-L88</f>
        <v>28309127.600000054</v>
      </c>
      <c r="U88" s="16">
        <f>N87-T87</f>
        <v>32558338</v>
      </c>
    </row>
    <row r="89" spans="1:32">
      <c r="U89" s="16"/>
    </row>
    <row r="91" spans="1:32">
      <c r="U91" s="16"/>
      <c r="V91" s="16"/>
    </row>
    <row r="92" spans="1:32">
      <c r="U92" s="16"/>
      <c r="V92" s="16"/>
    </row>
    <row r="93" spans="1:32">
      <c r="U93" s="16"/>
      <c r="V93" s="16"/>
    </row>
    <row r="94" spans="1:32">
      <c r="U94" s="16"/>
      <c r="V94" s="1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97"/>
  <sheetViews>
    <sheetView showZeros="0" rightToLeft="1" zoomScaleNormal="100" workbookViewId="0">
      <pane xSplit="3" ySplit="4" topLeftCell="D79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E90" sqref="E90:F90"/>
    </sheetView>
  </sheetViews>
  <sheetFormatPr defaultColWidth="9.44140625" defaultRowHeight="13.8"/>
  <cols>
    <col min="1" max="1" width="4.44140625" style="14" customWidth="1"/>
    <col min="2" max="2" width="5.33203125" style="776" customWidth="1"/>
    <col min="3" max="3" width="29.5546875" style="408" customWidth="1"/>
    <col min="4" max="4" width="11.33203125" style="16" customWidth="1"/>
    <col min="5" max="5" width="12.33203125" style="16" customWidth="1"/>
    <col min="6" max="6" width="11.44140625" style="16" customWidth="1"/>
    <col min="7" max="10" width="13" style="16" customWidth="1"/>
    <col min="11" max="11" width="11.6640625" style="16" customWidth="1"/>
    <col min="12" max="12" width="11.109375" style="16" customWidth="1"/>
    <col min="13" max="13" width="9.88671875" style="16" customWidth="1"/>
    <col min="14" max="14" width="10.109375" style="16" customWidth="1"/>
    <col min="15" max="15" width="11.109375" style="16" customWidth="1"/>
    <col min="16" max="16" width="11.44140625" style="16" hidden="1" customWidth="1"/>
    <col min="17" max="17" width="16.33203125" style="16" hidden="1" customWidth="1"/>
    <col min="18" max="18" width="12.33203125" style="16" hidden="1" customWidth="1"/>
    <col min="19" max="19" width="12" style="16" hidden="1" customWidth="1"/>
    <col min="20" max="20" width="10.109375" style="16" bestFit="1" customWidth="1"/>
    <col min="21" max="21" width="10.109375" style="14" customWidth="1"/>
    <col min="22" max="22" width="10.33203125" style="14" customWidth="1"/>
    <col min="23" max="23" width="7.109375" style="14" hidden="1" customWidth="1"/>
    <col min="24" max="25" width="5" style="14" hidden="1" customWidth="1"/>
    <col min="26" max="26" width="9.21875" style="14" customWidth="1"/>
    <col min="27" max="27" width="31.6640625" style="408" customWidth="1"/>
    <col min="28" max="28" width="8.109375" style="14" customWidth="1"/>
    <col min="29" max="29" width="15.77734375" style="618" customWidth="1"/>
    <col min="30" max="30" width="10.88671875" style="20" bestFit="1" customWidth="1"/>
    <col min="31" max="16384" width="9.44140625" style="14"/>
  </cols>
  <sheetData>
    <row r="1" spans="1:32" s="36" customFormat="1" ht="18">
      <c r="A1" s="35"/>
      <c r="B1" s="774"/>
      <c r="C1" s="70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04"/>
      <c r="AC1" s="618"/>
      <c r="AD1" s="20"/>
    </row>
    <row r="2" spans="1:32" ht="18">
      <c r="A2" s="86" t="s">
        <v>668</v>
      </c>
      <c r="B2" s="774"/>
      <c r="C2" s="704"/>
      <c r="D2" s="700"/>
      <c r="E2" s="35"/>
      <c r="F2" s="35"/>
      <c r="G2" s="35"/>
      <c r="H2" s="35"/>
      <c r="I2" s="35"/>
      <c r="J2" s="35"/>
      <c r="K2" s="35"/>
      <c r="L2" s="700"/>
      <c r="M2" s="700"/>
      <c r="N2" s="700"/>
      <c r="O2" s="700"/>
      <c r="P2" s="700"/>
      <c r="Q2" s="700"/>
      <c r="R2" s="700"/>
      <c r="S2" s="700"/>
      <c r="T2" s="700"/>
      <c r="U2" s="702"/>
      <c r="V2" s="700"/>
      <c r="W2" s="700"/>
      <c r="X2" s="700"/>
      <c r="Y2" s="700"/>
      <c r="Z2" s="700"/>
    </row>
    <row r="3" spans="1:32" ht="24.6" customHeight="1">
      <c r="D3" s="701"/>
      <c r="E3" s="15"/>
      <c r="F3" s="15"/>
      <c r="G3" s="15"/>
      <c r="H3" s="15"/>
      <c r="I3" s="15"/>
      <c r="J3" s="15"/>
      <c r="K3" s="15"/>
      <c r="L3" s="701"/>
      <c r="M3" s="701"/>
      <c r="N3" s="701"/>
      <c r="O3" s="701"/>
      <c r="P3" s="701"/>
      <c r="Q3" s="701"/>
      <c r="R3" s="701"/>
      <c r="S3" s="701"/>
      <c r="T3" s="701"/>
      <c r="U3" s="701"/>
      <c r="V3" s="701"/>
      <c r="W3" s="701"/>
      <c r="X3" s="701"/>
      <c r="Y3" s="701"/>
      <c r="Z3" s="701"/>
    </row>
    <row r="4" spans="1:32" s="38" customFormat="1" ht="86.25" customHeight="1">
      <c r="A4" s="10" t="s">
        <v>0</v>
      </c>
      <c r="B4" s="777" t="s">
        <v>1</v>
      </c>
      <c r="C4" s="10" t="s">
        <v>2</v>
      </c>
      <c r="D4" s="10" t="s">
        <v>113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9</v>
      </c>
      <c r="J4" s="10" t="s">
        <v>215</v>
      </c>
      <c r="K4" s="10" t="s">
        <v>10</v>
      </c>
      <c r="L4" s="10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10" t="s">
        <v>13</v>
      </c>
      <c r="W4" s="10" t="s">
        <v>14</v>
      </c>
      <c r="X4" s="10" t="s">
        <v>15</v>
      </c>
      <c r="Y4" s="10" t="s">
        <v>354</v>
      </c>
      <c r="Z4" s="10" t="s">
        <v>105</v>
      </c>
      <c r="AA4" s="18" t="s">
        <v>410</v>
      </c>
      <c r="AB4" s="10" t="s">
        <v>16</v>
      </c>
      <c r="AC4" s="618"/>
      <c r="AD4" s="20"/>
    </row>
    <row r="5" spans="1:32" s="5" customFormat="1">
      <c r="A5" s="3"/>
      <c r="B5" s="706"/>
      <c r="C5" s="1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25"/>
      <c r="AB5" s="3"/>
      <c r="AC5" s="618"/>
      <c r="AD5" s="20"/>
    </row>
    <row r="6" spans="1:32" s="5" customFormat="1" ht="27.6">
      <c r="A6" s="3">
        <f t="shared" ref="A6:A48" si="0">A5+1</f>
        <v>1</v>
      </c>
      <c r="B6" s="706">
        <f>'תקציב הנדסה 2020 '!B6</f>
        <v>179</v>
      </c>
      <c r="C6" s="87" t="str">
        <f>'תקציב הנדסה 2020 '!C6</f>
        <v>יעודי קרקע -מפת בסיס</v>
      </c>
      <c r="D6" s="4">
        <f>'תקציב הנדסה 2020 '!D6</f>
        <v>3170250</v>
      </c>
      <c r="E6" s="4">
        <f>'תקציב הנדסה 2020 '!E6</f>
        <v>3000000</v>
      </c>
      <c r="F6" s="4">
        <f>'תקציב הנדסה 2020 '!F6</f>
        <v>170250</v>
      </c>
      <c r="G6" s="4">
        <f>'תקציב הנדסה 2020 '!G6</f>
        <v>2970250</v>
      </c>
      <c r="H6" s="4">
        <f>'תקציב הנדסה 2020 '!H6</f>
        <v>2858878.69</v>
      </c>
      <c r="I6" s="4">
        <f>'תקציב הנדסה 2020 '!I6</f>
        <v>0</v>
      </c>
      <c r="J6" s="4">
        <f>'תקציב הנדסה 2020 '!J6</f>
        <v>27296.1</v>
      </c>
      <c r="K6" s="4">
        <f>'תקציב הנדסה 2020 '!K6</f>
        <v>27296.1</v>
      </c>
      <c r="L6" s="4">
        <f>'תקציב הנדסה 2020 '!L6</f>
        <v>2886174.79</v>
      </c>
      <c r="M6" s="4">
        <f>'תקציב הנדסה 2020 '!M6</f>
        <v>84075.209999999963</v>
      </c>
      <c r="N6" s="4">
        <f>'תקציב הנדסה 2020 '!N6</f>
        <v>200000</v>
      </c>
      <c r="O6" s="4">
        <f>'תקציב הנדסה 2020 '!O6</f>
        <v>0</v>
      </c>
      <c r="P6" s="4">
        <f>'תקציב הנדסה 2020 '!P6</f>
        <v>84075.209999999963</v>
      </c>
      <c r="Q6" s="4">
        <f>'תקציב הנדסה 2020 '!Q6</f>
        <v>0</v>
      </c>
      <c r="R6" s="4">
        <f>'תקציב הנדסה 2020 '!R6</f>
        <v>0</v>
      </c>
      <c r="S6" s="4">
        <f>'תקציב הנדסה 2020 '!S6</f>
        <v>0</v>
      </c>
      <c r="T6" s="4">
        <f>'תקציב הנדסה 2020 '!T6</f>
        <v>0</v>
      </c>
      <c r="U6" s="4">
        <f>'תקציב הנדסה 2020 '!U6</f>
        <v>200000</v>
      </c>
      <c r="V6" s="4">
        <f>'תקציב הנדסה 2020 '!V6</f>
        <v>200000</v>
      </c>
      <c r="W6" s="4">
        <f>'תקציב הנדסה 2020 '!W6</f>
        <v>0</v>
      </c>
      <c r="X6" s="4">
        <f>'תקציב הנדסה 2020 '!X6</f>
        <v>0</v>
      </c>
      <c r="Y6" s="4">
        <f>'תקציב הנדסה 2020 '!Y6</f>
        <v>0</v>
      </c>
      <c r="Z6" s="4">
        <f>'תקציב הנדסה 2020 '!Z6</f>
        <v>0</v>
      </c>
      <c r="AA6" s="87" t="str">
        <f>'תקציב הנדסה 2020 '!AA6</f>
        <v>עדכון מע. מידע הנדסי כתוצאה משינוי ייעודי קרקע עקב החלטות ועדות התכנון.</v>
      </c>
      <c r="AB6" s="706">
        <f>'תקציב הנדסה 2020 '!AB6</f>
        <v>732000</v>
      </c>
      <c r="AC6" s="618"/>
      <c r="AD6" s="52"/>
    </row>
    <row r="7" spans="1:32" s="5" customFormat="1" ht="41.4">
      <c r="A7" s="3">
        <f t="shared" si="0"/>
        <v>2</v>
      </c>
      <c r="B7" s="706">
        <f>'תקציב הנדסה 2020 '!B12</f>
        <v>626</v>
      </c>
      <c r="C7" s="87" t="str">
        <f>'תקציב הנדסה 2020 '!C12</f>
        <v xml:space="preserve">תכנון וביצוע  תוכנית אב לשבילי אופניים </v>
      </c>
      <c r="D7" s="4">
        <f>'תקציב הנדסה 2020 '!D12</f>
        <v>25195000</v>
      </c>
      <c r="E7" s="4">
        <f>'תקציב הנדסה 2020 '!E12</f>
        <v>20025000</v>
      </c>
      <c r="F7" s="4">
        <f>'תקציב הנדסה 2020 '!F12</f>
        <v>5170000</v>
      </c>
      <c r="G7" s="4">
        <f>'תקציב הנדסה 2020 '!G12</f>
        <v>14775000</v>
      </c>
      <c r="H7" s="4">
        <f>'תקציב הנדסה 2020 '!H12</f>
        <v>13572560.42</v>
      </c>
      <c r="I7" s="4">
        <f>'תקציב הנדסה 2020 '!I12</f>
        <v>277593.86</v>
      </c>
      <c r="J7" s="4">
        <f>'תקציב הנדסה 2020 '!J12</f>
        <v>64255.41</v>
      </c>
      <c r="K7" s="4">
        <f>'תקציב הנדסה 2020 '!K12</f>
        <v>341849.27</v>
      </c>
      <c r="L7" s="4">
        <f>'תקציב הנדסה 2020 '!L12</f>
        <v>13914409.689999999</v>
      </c>
      <c r="M7" s="4">
        <f>'תקציב הנדסה 2020 '!M12</f>
        <v>860590.31000000052</v>
      </c>
      <c r="N7" s="4">
        <f>'תקציב הנדסה 2020 '!N12</f>
        <v>3000000</v>
      </c>
      <c r="O7" s="4">
        <f>'תקציב הנדסה 2020 '!O12</f>
        <v>7420000</v>
      </c>
      <c r="P7" s="4">
        <f>'תקציב הנדסה 2020 '!P12</f>
        <v>860590.31000000052</v>
      </c>
      <c r="Q7" s="4">
        <f>'תקציב הנדסה 2020 '!Q12</f>
        <v>0</v>
      </c>
      <c r="R7" s="4">
        <f>'תקציב הנדסה 2020 '!R12</f>
        <v>0</v>
      </c>
      <c r="S7" s="4">
        <f>'תקציב הנדסה 2020 '!S12</f>
        <v>0</v>
      </c>
      <c r="T7" s="4">
        <f>'תקציב הנדסה 2020 '!T12</f>
        <v>0</v>
      </c>
      <c r="U7" s="4">
        <f>'תקציב הנדסה 2020 '!U12</f>
        <v>3000000</v>
      </c>
      <c r="V7" s="4">
        <f>'תקציב הנדסה 2020 '!V12</f>
        <v>3000000</v>
      </c>
      <c r="W7" s="4">
        <f>'תקציב הנדסה 2020 '!W12</f>
        <v>0</v>
      </c>
      <c r="X7" s="4">
        <f>'תקציב הנדסה 2020 '!X12</f>
        <v>0</v>
      </c>
      <c r="Y7" s="4">
        <f>'תקציב הנדסה 2020 '!Y12</f>
        <v>0</v>
      </c>
      <c r="Z7" s="4">
        <f>'תקציב הנדסה 2020 '!Z12</f>
        <v>0</v>
      </c>
      <c r="AA7" s="87" t="str">
        <f>'תקציב הנדסה 2020 '!AA12</f>
        <v>תכנון וביצוע שבילי אופנים וביצוע ברחבי העיר . ב - 2020 : תכנון: רח' הבנים, גן רשל, ארלוזרוב,הדר ,לפקין שחק.</v>
      </c>
      <c r="AB7" s="706">
        <f>'תקציב הנדסה 2020 '!AB12</f>
        <v>732000</v>
      </c>
      <c r="AC7" s="620"/>
      <c r="AD7" s="52"/>
    </row>
    <row r="8" spans="1:32" s="5" customFormat="1" ht="41.4">
      <c r="A8" s="3">
        <f t="shared" si="0"/>
        <v>3</v>
      </c>
      <c r="B8" s="706">
        <f>'תקציב הנדסה 2020 '!B15</f>
        <v>1100</v>
      </c>
      <c r="C8" s="87" t="str">
        <f>'תקציב הנדסה 2020 '!C15</f>
        <v>תכנון מתחם הר' 2200</v>
      </c>
      <c r="D8" s="4">
        <f>'תקציב הנדסה 2020 '!D15</f>
        <v>7000000</v>
      </c>
      <c r="E8" s="4">
        <f>'תקציב הנדסה 2020 '!E15</f>
        <v>7000000</v>
      </c>
      <c r="F8" s="4">
        <f>'תקציב הנדסה 2020 '!F15</f>
        <v>0</v>
      </c>
      <c r="G8" s="4">
        <f>'תקציב הנדסה 2020 '!G15</f>
        <v>5900000</v>
      </c>
      <c r="H8" s="4">
        <f>'תקציב הנדסה 2020 '!H15</f>
        <v>3232572.1</v>
      </c>
      <c r="I8" s="4">
        <f>'תקציב הנדסה 2020 '!I15</f>
        <v>1951485.78</v>
      </c>
      <c r="J8" s="4">
        <f>'תקציב הנדסה 2020 '!J15</f>
        <v>142466.79</v>
      </c>
      <c r="K8" s="4">
        <f>'תקציב הנדסה 2020 '!K15</f>
        <v>2093952.57</v>
      </c>
      <c r="L8" s="4">
        <f>'תקציב הנדסה 2020 '!L15</f>
        <v>5326524.67</v>
      </c>
      <c r="M8" s="4">
        <f>'תקציב הנדסה 2020 '!M15</f>
        <v>573475.33000000007</v>
      </c>
      <c r="N8" s="4">
        <f>'תקציב הנדסה 2020 '!N15</f>
        <v>400000</v>
      </c>
      <c r="O8" s="4">
        <f>'תקציב הנדסה 2020 '!O15</f>
        <v>700000</v>
      </c>
      <c r="P8" s="4">
        <f>'תקציב הנדסה 2020 '!P15</f>
        <v>573475.33000000007</v>
      </c>
      <c r="Q8" s="4">
        <f>'תקציב הנדסה 2020 '!Q15</f>
        <v>0</v>
      </c>
      <c r="R8" s="4">
        <f>'תקציב הנדסה 2020 '!R15</f>
        <v>0</v>
      </c>
      <c r="S8" s="4">
        <f>'תקציב הנדסה 2020 '!S15</f>
        <v>0</v>
      </c>
      <c r="T8" s="4">
        <f>'תקציב הנדסה 2020 '!T15</f>
        <v>0</v>
      </c>
      <c r="U8" s="4">
        <f>'תקציב הנדסה 2020 '!U15</f>
        <v>400000</v>
      </c>
      <c r="V8" s="4">
        <f>'תקציב הנדסה 2020 '!V15</f>
        <v>400000</v>
      </c>
      <c r="W8" s="4">
        <f>'תקציב הנדסה 2020 '!W15</f>
        <v>0</v>
      </c>
      <c r="X8" s="4">
        <f>'תקציב הנדסה 2020 '!X15</f>
        <v>0</v>
      </c>
      <c r="Y8" s="4">
        <f>'תקציב הנדסה 2020 '!Y15</f>
        <v>0</v>
      </c>
      <c r="Z8" s="4">
        <f>'תקציב הנדסה 2020 '!Z15</f>
        <v>0</v>
      </c>
      <c r="AA8" s="87" t="str">
        <f>'תקציב הנדסה 2020 '!AA15</f>
        <v xml:space="preserve">תכנון מתחם חוף התכלת. עתירה של בעלי הקרקע הפרטיים על השתהות בקידום  התוכנית . </v>
      </c>
      <c r="AB8" s="706">
        <f>'תקציב הנדסה 2020 '!AB15</f>
        <v>732000</v>
      </c>
      <c r="AC8" s="619"/>
      <c r="AD8" s="52"/>
    </row>
    <row r="9" spans="1:32" s="5" customFormat="1" ht="27.6">
      <c r="A9" s="3">
        <f t="shared" si="0"/>
        <v>4</v>
      </c>
      <c r="B9" s="706">
        <f>'תקציב הנדסה 2020 '!B17</f>
        <v>1220</v>
      </c>
      <c r="C9" s="87" t="str">
        <f>'תקציב הנדסה 2020 '!C17</f>
        <v>תכנונים כלליים</v>
      </c>
      <c r="D9" s="4">
        <f>'תקציב הנדסה 2020 '!D17</f>
        <v>7000000</v>
      </c>
      <c r="E9" s="4">
        <f>'תקציב הנדסה 2020 '!E17</f>
        <v>7000000</v>
      </c>
      <c r="F9" s="4">
        <f>'תקציב הנדסה 2020 '!F17</f>
        <v>0</v>
      </c>
      <c r="G9" s="4">
        <f>'תקציב הנדסה 2020 '!G17</f>
        <v>5600000</v>
      </c>
      <c r="H9" s="4">
        <f>'תקציב הנדסה 2020 '!H17</f>
        <v>4582039.07</v>
      </c>
      <c r="I9" s="4">
        <f>'תקציב הנדסה 2020 '!I17</f>
        <v>104327.73</v>
      </c>
      <c r="J9" s="4">
        <f>'תקציב הנדסה 2020 '!J17</f>
        <v>313039.26</v>
      </c>
      <c r="K9" s="4">
        <f>'תקציב הנדסה 2020 '!K17</f>
        <v>417366.99</v>
      </c>
      <c r="L9" s="4">
        <f>'תקציב הנדסה 2020 '!L17</f>
        <v>4999406.0600000005</v>
      </c>
      <c r="M9" s="4">
        <f>'תקציב הנדסה 2020 '!M17</f>
        <v>600593.93999999948</v>
      </c>
      <c r="N9" s="4">
        <f>'תקציב הנדסה 2020 '!N17</f>
        <v>700000</v>
      </c>
      <c r="O9" s="4">
        <f>'תקציב הנדסה 2020 '!O17</f>
        <v>700000</v>
      </c>
      <c r="P9" s="4">
        <f>'תקציב הנדסה 2020 '!P17</f>
        <v>600593.93999999948</v>
      </c>
      <c r="Q9" s="4">
        <f>'תקציב הנדסה 2020 '!Q17</f>
        <v>0</v>
      </c>
      <c r="R9" s="4">
        <f>'תקציב הנדסה 2020 '!R17</f>
        <v>0</v>
      </c>
      <c r="S9" s="4">
        <f>'תקציב הנדסה 2020 '!S17</f>
        <v>0</v>
      </c>
      <c r="T9" s="4">
        <f>'תקציב הנדסה 2020 '!T17</f>
        <v>0</v>
      </c>
      <c r="U9" s="4">
        <f>'תקציב הנדסה 2020 '!U17</f>
        <v>700000</v>
      </c>
      <c r="V9" s="4">
        <f>'תקציב הנדסה 2020 '!V17</f>
        <v>700000</v>
      </c>
      <c r="W9" s="4">
        <f>'תקציב הנדסה 2020 '!W17</f>
        <v>0</v>
      </c>
      <c r="X9" s="4">
        <f>'תקציב הנדסה 2020 '!X17</f>
        <v>0</v>
      </c>
      <c r="Y9" s="4">
        <f>'תקציב הנדסה 2020 '!Y17</f>
        <v>0</v>
      </c>
      <c r="Z9" s="4">
        <f>'תקציב הנדסה 2020 '!Z17</f>
        <v>0</v>
      </c>
      <c r="AA9" s="87" t="str">
        <f>'תקציב הנדסה 2020 '!AA17</f>
        <v>סל תכנון של תוכניות ופרויקטים, מדידות ותכנון ראשוני.</v>
      </c>
      <c r="AB9" s="706">
        <f>'תקציב הנדסה 2020 '!AB17</f>
        <v>732000</v>
      </c>
      <c r="AC9" s="619"/>
      <c r="AD9" s="52"/>
    </row>
    <row r="10" spans="1:32" s="5" customFormat="1">
      <c r="A10" s="3">
        <f t="shared" si="0"/>
        <v>5</v>
      </c>
      <c r="B10" s="706">
        <f>'תקציב הנדסה 2020 '!B22</f>
        <v>1406</v>
      </c>
      <c r="C10" s="87" t="str">
        <f>'תקציב הנדסה 2020 '!C22</f>
        <v>שימור אתרים</v>
      </c>
      <c r="D10" s="4">
        <f>'תקציב הנדסה 2020 '!D22</f>
        <v>1400000</v>
      </c>
      <c r="E10" s="4">
        <f>'תקציב הנדסה 2020 '!E22</f>
        <v>1300000</v>
      </c>
      <c r="F10" s="4">
        <f>'תקציב הנדסה 2020 '!F22</f>
        <v>100000</v>
      </c>
      <c r="G10" s="4">
        <f>'תקציב הנדסה 2020 '!G22</f>
        <v>1300000</v>
      </c>
      <c r="H10" s="4">
        <f>'תקציב הנדסה 2020 '!H22</f>
        <v>833530.52</v>
      </c>
      <c r="I10" s="4">
        <f>'תקציב הנדסה 2020 '!I22</f>
        <v>33785.1</v>
      </c>
      <c r="J10" s="4">
        <f>'תקציב הנדסה 2020 '!J22</f>
        <v>15530.64</v>
      </c>
      <c r="K10" s="4">
        <f>'תקציב הנדסה 2020 '!K22</f>
        <v>49315.74</v>
      </c>
      <c r="L10" s="4">
        <f>'תקציב הנדסה 2020 '!L22</f>
        <v>882846.26</v>
      </c>
      <c r="M10" s="4">
        <f>'תקציב הנדסה 2020 '!M22</f>
        <v>417153.74</v>
      </c>
      <c r="N10" s="4">
        <f>'תקציב הנדסה 2020 '!N22</f>
        <v>100000</v>
      </c>
      <c r="O10" s="4">
        <f>'תקציב הנדסה 2020 '!O22</f>
        <v>0</v>
      </c>
      <c r="P10" s="4">
        <f>'תקציב הנדסה 2020 '!P22</f>
        <v>417153.74</v>
      </c>
      <c r="Q10" s="4">
        <f>'תקציב הנדסה 2020 '!Q22</f>
        <v>0</v>
      </c>
      <c r="R10" s="4">
        <f>'תקציב הנדסה 2020 '!R22</f>
        <v>0</v>
      </c>
      <c r="S10" s="4">
        <f>'תקציב הנדסה 2020 '!S22</f>
        <v>0</v>
      </c>
      <c r="T10" s="4">
        <f>'תקציב הנדסה 2020 '!T22</f>
        <v>0</v>
      </c>
      <c r="U10" s="4">
        <f>'תקציב הנדסה 2020 '!U22</f>
        <v>100000</v>
      </c>
      <c r="V10" s="4">
        <f>'תקציב הנדסה 2020 '!V22</f>
        <v>100000</v>
      </c>
      <c r="W10" s="4">
        <f>'תקציב הנדסה 2020 '!W22</f>
        <v>0</v>
      </c>
      <c r="X10" s="4">
        <f>'תקציב הנדסה 2020 '!X22</f>
        <v>0</v>
      </c>
      <c r="Y10" s="4">
        <f>'תקציב הנדסה 2020 '!Y22</f>
        <v>0</v>
      </c>
      <c r="Z10" s="4">
        <f>'תקציב הנדסה 2020 '!Z22</f>
        <v>0</v>
      </c>
      <c r="AA10" s="87" t="str">
        <f>'תקציב הנדסה 2020 '!AA22</f>
        <v>הכנת תב"עות לשימור אתרים.</v>
      </c>
      <c r="AB10" s="706">
        <f>'תקציב הנדסה 2020 '!AB22</f>
        <v>732000</v>
      </c>
      <c r="AC10" s="620"/>
      <c r="AD10" s="52"/>
    </row>
    <row r="11" spans="1:32" s="5" customFormat="1" ht="27.6">
      <c r="A11" s="3">
        <f t="shared" si="0"/>
        <v>6</v>
      </c>
      <c r="B11" s="706">
        <f>'תקציב הנדסה 2020 '!B23</f>
        <v>1407</v>
      </c>
      <c r="C11" s="87" t="str">
        <f>'תקציב הנדסה 2020 '!C23</f>
        <v>תב"עות קטנות</v>
      </c>
      <c r="D11" s="4">
        <f>'תקציב הנדסה 2020 '!D23</f>
        <v>4895000</v>
      </c>
      <c r="E11" s="4">
        <f>'תקציב הנדסה 2020 '!E23</f>
        <v>4895000</v>
      </c>
      <c r="F11" s="4">
        <f>'תקציב הנדסה 2020 '!F23</f>
        <v>0</v>
      </c>
      <c r="G11" s="4">
        <f>'תקציב הנדסה 2020 '!G23</f>
        <v>3795000</v>
      </c>
      <c r="H11" s="4">
        <f>'תקציב הנדסה 2020 '!H23</f>
        <v>2554334.1800000002</v>
      </c>
      <c r="I11" s="4">
        <f>'תקציב הנדסה 2020 '!I23</f>
        <v>107604.98</v>
      </c>
      <c r="J11" s="4">
        <f>'תקציב הנדסה 2020 '!J23</f>
        <v>699067.14</v>
      </c>
      <c r="K11" s="4">
        <f>'תקציב הנדסה 2020 '!K23</f>
        <v>806672.12</v>
      </c>
      <c r="L11" s="4">
        <f>'תקציב הנדסה 2020 '!L23</f>
        <v>3361006.3000000003</v>
      </c>
      <c r="M11" s="4">
        <f>'תקציב הנדסה 2020 '!M23</f>
        <v>433993.69999999972</v>
      </c>
      <c r="N11" s="4">
        <f>'תקציב הנדסה 2020 '!N23</f>
        <v>800000</v>
      </c>
      <c r="O11" s="4">
        <f>'תקציב הנדסה 2020 '!O23</f>
        <v>300000</v>
      </c>
      <c r="P11" s="4">
        <f>'תקציב הנדסה 2020 '!P23</f>
        <v>433993.69999999972</v>
      </c>
      <c r="Q11" s="4">
        <f>'תקציב הנדסה 2020 '!Q23</f>
        <v>0</v>
      </c>
      <c r="R11" s="4">
        <f>'תקציב הנדסה 2020 '!R23</f>
        <v>0</v>
      </c>
      <c r="S11" s="4">
        <f>'תקציב הנדסה 2020 '!S23</f>
        <v>0</v>
      </c>
      <c r="T11" s="4">
        <f>'תקציב הנדסה 2020 '!T23</f>
        <v>0</v>
      </c>
      <c r="U11" s="4">
        <f>'תקציב הנדסה 2020 '!U23</f>
        <v>800000</v>
      </c>
      <c r="V11" s="4">
        <f>'תקציב הנדסה 2020 '!V23</f>
        <v>800000</v>
      </c>
      <c r="W11" s="4">
        <f>'תקציב הנדסה 2020 '!W23</f>
        <v>0</v>
      </c>
      <c r="X11" s="4">
        <f>'תקציב הנדסה 2020 '!X23</f>
        <v>0</v>
      </c>
      <c r="Y11" s="4">
        <f>'תקציב הנדסה 2020 '!Y23</f>
        <v>0</v>
      </c>
      <c r="Z11" s="4">
        <f>'תקציב הנדסה 2020 '!Z23</f>
        <v>0</v>
      </c>
      <c r="AA11" s="87" t="str">
        <f>'תקציב הנדסה 2020 '!AA23</f>
        <v>סל תכנון של תב"עות הנדרשות במהלך השנה.</v>
      </c>
      <c r="AB11" s="706">
        <f>'תקציב הנדסה 2020 '!AB23</f>
        <v>732000</v>
      </c>
      <c r="AC11" s="620"/>
      <c r="AD11" s="52"/>
      <c r="AE11" s="6"/>
      <c r="AF11" s="6"/>
    </row>
    <row r="12" spans="1:32" s="6" customFormat="1" ht="41.4">
      <c r="A12" s="3">
        <f t="shared" si="0"/>
        <v>7</v>
      </c>
      <c r="B12" s="706">
        <f>'תקציב הנדסה 2020 '!B24</f>
        <v>1409</v>
      </c>
      <c r="C12" s="87" t="str">
        <f>'תקציב הנדסה 2020 '!C24</f>
        <v xml:space="preserve"> תוכנית המתאר הכוללנית </v>
      </c>
      <c r="D12" s="4">
        <f>'תקציב הנדסה 2020 '!D24</f>
        <v>7680000</v>
      </c>
      <c r="E12" s="4">
        <f>'תקציב הנדסה 2020 '!E24</f>
        <v>7680000</v>
      </c>
      <c r="F12" s="4">
        <f>'תקציב הנדסה 2020 '!F24</f>
        <v>0</v>
      </c>
      <c r="G12" s="4">
        <f>'תקציב הנדסה 2020 '!G24</f>
        <v>7680000</v>
      </c>
      <c r="H12" s="4">
        <f>'תקציב הנדסה 2020 '!H24</f>
        <v>3947924.35</v>
      </c>
      <c r="I12" s="4">
        <f>'תקציב הנדסה 2020 '!I24</f>
        <v>2279160</v>
      </c>
      <c r="J12" s="4">
        <f>'תקציב הנדסה 2020 '!J24</f>
        <v>8716.5</v>
      </c>
      <c r="K12" s="4">
        <f>'תקציב הנדסה 2020 '!K24</f>
        <v>2287876.5</v>
      </c>
      <c r="L12" s="4">
        <f>'תקציב הנדסה 2020 '!L24</f>
        <v>6235800.8499999996</v>
      </c>
      <c r="M12" s="4">
        <f>'תקציב הנדסה 2020 '!M24</f>
        <v>1444199.1500000004</v>
      </c>
      <c r="N12" s="4">
        <f>'תקציב הנדסה 2020 '!N24</f>
        <v>0</v>
      </c>
      <c r="O12" s="4">
        <f>'תקציב הנדסה 2020 '!O24</f>
        <v>0</v>
      </c>
      <c r="P12" s="4">
        <f>'תקציב הנדסה 2020 '!P24</f>
        <v>1444199.1500000004</v>
      </c>
      <c r="Q12" s="4">
        <f>'תקציב הנדסה 2020 '!Q24</f>
        <v>0</v>
      </c>
      <c r="R12" s="4">
        <f>'תקציב הנדסה 2020 '!R24</f>
        <v>0</v>
      </c>
      <c r="S12" s="4">
        <f>'תקציב הנדסה 2020 '!S24</f>
        <v>0</v>
      </c>
      <c r="T12" s="4">
        <f>'תקציב הנדסה 2020 '!T24</f>
        <v>0</v>
      </c>
      <c r="U12" s="4">
        <f>'תקציב הנדסה 2020 '!U24</f>
        <v>0</v>
      </c>
      <c r="V12" s="4">
        <f>'תקציב הנדסה 2020 '!V24</f>
        <v>0</v>
      </c>
      <c r="W12" s="4">
        <f>'תקציב הנדסה 2020 '!W24</f>
        <v>0</v>
      </c>
      <c r="X12" s="4">
        <f>'תקציב הנדסה 2020 '!X24</f>
        <v>0</v>
      </c>
      <c r="Y12" s="4">
        <f>'תקציב הנדסה 2020 '!Y24</f>
        <v>0</v>
      </c>
      <c r="Z12" s="4">
        <f>'תקציב הנדסה 2020 '!Z24</f>
        <v>0</v>
      </c>
      <c r="AA12" s="87" t="str">
        <f>'תקציב הנדסה 2020 '!AA24</f>
        <v>הכנת תוכנית מתאר כוללנית על מנת לאפשר לעיריה לתכנן תוכניות בסמכות וועדה מקומית.</v>
      </c>
      <c r="AB12" s="706">
        <f>'תקציב הנדסה 2020 '!AB24</f>
        <v>732000</v>
      </c>
      <c r="AC12" s="619"/>
      <c r="AD12" s="52"/>
    </row>
    <row r="13" spans="1:32" s="5" customFormat="1" ht="27.6">
      <c r="A13" s="3">
        <f t="shared" si="0"/>
        <v>8</v>
      </c>
      <c r="B13" s="706">
        <f>'תקציב הנדסה 2020 '!B26</f>
        <v>1466</v>
      </c>
      <c r="C13" s="87" t="str">
        <f>'תקציב הנדסה 2020 '!C26</f>
        <v>תמ"א 38</v>
      </c>
      <c r="D13" s="4">
        <f>'תקציב הנדסה 2020 '!D26</f>
        <v>2200000</v>
      </c>
      <c r="E13" s="4">
        <f>'תקציב הנדסה 2020 '!E26</f>
        <v>2200000</v>
      </c>
      <c r="F13" s="4">
        <f>'תקציב הנדסה 2020 '!F26</f>
        <v>0</v>
      </c>
      <c r="G13" s="4">
        <f>'תקציב הנדסה 2020 '!G26</f>
        <v>1500000</v>
      </c>
      <c r="H13" s="4">
        <f>'תקציב הנדסה 2020 '!H26</f>
        <v>1218739.8899999999</v>
      </c>
      <c r="I13" s="4">
        <f>'תקציב הנדסה 2020 '!I26</f>
        <v>0</v>
      </c>
      <c r="J13" s="4">
        <f>'תקציב הנדסה 2020 '!J26</f>
        <v>25974</v>
      </c>
      <c r="K13" s="4">
        <f>'תקציב הנדסה 2020 '!K26</f>
        <v>25974</v>
      </c>
      <c r="L13" s="4">
        <f>'תקציב הנדסה 2020 '!L26</f>
        <v>1244713.8899999999</v>
      </c>
      <c r="M13" s="4">
        <f>'תקציב הנדסה 2020 '!M26</f>
        <v>155286.1100000001</v>
      </c>
      <c r="N13" s="4">
        <f>'תקציב הנדסה 2020 '!N26</f>
        <v>100000</v>
      </c>
      <c r="O13" s="4">
        <f>'תקציב הנדסה 2020 '!O26</f>
        <v>700000</v>
      </c>
      <c r="P13" s="4">
        <f>'תקציב הנדסה 2020 '!P26</f>
        <v>255286.1100000001</v>
      </c>
      <c r="Q13" s="4">
        <f>'תקציב הנדסה 2020 '!Q26</f>
        <v>0</v>
      </c>
      <c r="R13" s="4">
        <f>'תקציב הנדסה 2020 '!R26</f>
        <v>0</v>
      </c>
      <c r="S13" s="4">
        <f>'תקציב הנדסה 2020 '!S26</f>
        <v>0</v>
      </c>
      <c r="T13" s="4">
        <f>'תקציב הנדסה 2020 '!T26</f>
        <v>100000</v>
      </c>
      <c r="U13" s="4">
        <f>'תקציב הנדסה 2020 '!U26</f>
        <v>0</v>
      </c>
      <c r="V13" s="4">
        <f>'תקציב הנדסה 2020 '!V26</f>
        <v>0</v>
      </c>
      <c r="W13" s="4">
        <f>'תקציב הנדסה 2020 '!W26</f>
        <v>0</v>
      </c>
      <c r="X13" s="4">
        <f>'תקציב הנדסה 2020 '!X26</f>
        <v>0</v>
      </c>
      <c r="Y13" s="4">
        <f>'תקציב הנדסה 2020 '!Y26</f>
        <v>0</v>
      </c>
      <c r="Z13" s="4">
        <f>'תקציב הנדסה 2020 '!Z26</f>
        <v>0</v>
      </c>
      <c r="AA13" s="87" t="str">
        <f>'תקציב הנדסה 2020 '!AA26</f>
        <v>העצמת הזכויות הנוספות לבנינים לצורך הגברת הכדאיות של ביצוע חיזוק מבנים.</v>
      </c>
      <c r="AB13" s="706">
        <f>'תקציב הנדסה 2020 '!AB26</f>
        <v>732000</v>
      </c>
      <c r="AC13" s="619"/>
      <c r="AD13" s="52"/>
      <c r="AE13" s="6"/>
      <c r="AF13" s="6"/>
    </row>
    <row r="14" spans="1:32" s="5" customFormat="1" ht="27.6">
      <c r="A14" s="3">
        <f t="shared" si="0"/>
        <v>9</v>
      </c>
      <c r="B14" s="706">
        <f>'תקציב הנדסה 2020 '!B28</f>
        <v>1527</v>
      </c>
      <c r="C14" s="87" t="str">
        <f>'תקציב הנדסה 2020 '!C28</f>
        <v xml:space="preserve">התחדשות עירונית יד  התשעה </v>
      </c>
      <c r="D14" s="4">
        <f>'תקציב הנדסה 2020 '!D28</f>
        <v>3000000</v>
      </c>
      <c r="E14" s="4">
        <f>'תקציב הנדסה 2020 '!E28</f>
        <v>3000000</v>
      </c>
      <c r="F14" s="4">
        <f>'תקציב הנדסה 2020 '!F28</f>
        <v>0</v>
      </c>
      <c r="G14" s="4">
        <f>'תקציב הנדסה 2020 '!G28</f>
        <v>850000</v>
      </c>
      <c r="H14" s="4">
        <f>'תקציב הנדסה 2020 '!H28</f>
        <v>821144.02</v>
      </c>
      <c r="I14" s="4">
        <f>'תקציב הנדסה 2020 '!I28</f>
        <v>0</v>
      </c>
      <c r="J14" s="4">
        <f>'תקציב הנדסה 2020 '!J28</f>
        <v>526.5</v>
      </c>
      <c r="K14" s="4">
        <f>'תקציב הנדסה 2020 '!K28</f>
        <v>526.5</v>
      </c>
      <c r="L14" s="4">
        <f>'תקציב הנדסה 2020 '!L28</f>
        <v>821670.52</v>
      </c>
      <c r="M14" s="4">
        <f>'תקציב הנדסה 2020 '!M28</f>
        <v>28329.479999999981</v>
      </c>
      <c r="N14" s="4">
        <f>'תקציב הנדסה 2020 '!N28</f>
        <v>350000</v>
      </c>
      <c r="O14" s="4">
        <f>'תקציב הנדסה 2020 '!O28</f>
        <v>1800000</v>
      </c>
      <c r="P14" s="4">
        <f>'תקציב הנדסה 2020 '!P28</f>
        <v>28329.479999999981</v>
      </c>
      <c r="Q14" s="4">
        <f>'תקציב הנדסה 2020 '!Q28</f>
        <v>0</v>
      </c>
      <c r="R14" s="4">
        <f>'תקציב הנדסה 2020 '!R28</f>
        <v>0</v>
      </c>
      <c r="S14" s="4">
        <f>'תקציב הנדסה 2020 '!S28</f>
        <v>0</v>
      </c>
      <c r="T14" s="4">
        <f>'תקציב הנדסה 2020 '!T28</f>
        <v>0</v>
      </c>
      <c r="U14" s="4">
        <f>'תקציב הנדסה 2020 '!U28</f>
        <v>350000</v>
      </c>
      <c r="V14" s="4">
        <f>'תקציב הנדסה 2020 '!V28</f>
        <v>350000</v>
      </c>
      <c r="W14" s="4">
        <f>'תקציב הנדסה 2020 '!W28</f>
        <v>0</v>
      </c>
      <c r="X14" s="4">
        <f>'תקציב הנדסה 2020 '!X28</f>
        <v>0</v>
      </c>
      <c r="Y14" s="4">
        <f>'תקציב הנדסה 2020 '!Y28</f>
        <v>0</v>
      </c>
      <c r="Z14" s="4">
        <f>'תקציב הנדסה 2020 '!Z28</f>
        <v>0</v>
      </c>
      <c r="AA14" s="87" t="str">
        <f>'תקציב הנדסה 2020 '!AA28</f>
        <v>תכנון התחדשות עירונית ביד התשעה במסגרת תוכנית כללית/תוכניות מתחמיות.</v>
      </c>
      <c r="AB14" s="706">
        <f>'תקציב הנדסה 2020 '!AB28</f>
        <v>732000</v>
      </c>
      <c r="AC14" s="618"/>
      <c r="AD14" s="52"/>
    </row>
    <row r="15" spans="1:32" s="5" customFormat="1" ht="41.4">
      <c r="A15" s="3">
        <f t="shared" si="0"/>
        <v>10</v>
      </c>
      <c r="B15" s="706">
        <f>'תקציב הנדסה 2020 '!B30</f>
        <v>1551</v>
      </c>
      <c r="C15" s="87" t="str">
        <f>'תקציב הנדסה 2020 '!C30</f>
        <v>צפון הרצליה הר' 2035</v>
      </c>
      <c r="D15" s="4">
        <f>'תקציב הנדסה 2020 '!D30</f>
        <v>525240</v>
      </c>
      <c r="E15" s="4">
        <f>'תקציב הנדסה 2020 '!E30</f>
        <v>525240</v>
      </c>
      <c r="F15" s="4">
        <f>'תקציב הנדסה 2020 '!F30</f>
        <v>0</v>
      </c>
      <c r="G15" s="4">
        <f>'תקציב הנדסה 2020 '!G30</f>
        <v>375240</v>
      </c>
      <c r="H15" s="4">
        <f>'תקציב הנדסה 2020 '!H30</f>
        <v>204671</v>
      </c>
      <c r="I15" s="4">
        <f>'תקציב הנדסה 2020 '!I30</f>
        <v>0</v>
      </c>
      <c r="J15" s="4">
        <f>'תקציב הנדסה 2020 '!J30</f>
        <v>19855</v>
      </c>
      <c r="K15" s="4">
        <f>'תקציב הנדסה 2020 '!K30</f>
        <v>19855</v>
      </c>
      <c r="L15" s="4">
        <f>'תקציב הנדסה 2020 '!L30</f>
        <v>224526</v>
      </c>
      <c r="M15" s="4">
        <f>'תקציב הנדסה 2020 '!M30</f>
        <v>150714</v>
      </c>
      <c r="N15" s="4">
        <f>'תקציב הנדסה 2020 '!N30</f>
        <v>150000</v>
      </c>
      <c r="O15" s="4">
        <f>'תקציב הנדסה 2020 '!O30</f>
        <v>0</v>
      </c>
      <c r="P15" s="4">
        <f>'תקציב הנדסה 2020 '!P30</f>
        <v>150714</v>
      </c>
      <c r="Q15" s="4">
        <f>'תקציב הנדסה 2020 '!Q30</f>
        <v>0</v>
      </c>
      <c r="R15" s="4">
        <f>'תקציב הנדסה 2020 '!R30</f>
        <v>0</v>
      </c>
      <c r="S15" s="4">
        <f>'תקציב הנדסה 2020 '!S30</f>
        <v>0</v>
      </c>
      <c r="T15" s="4">
        <f>'תקציב הנדסה 2020 '!T30</f>
        <v>0</v>
      </c>
      <c r="U15" s="4">
        <f>'תקציב הנדסה 2020 '!U30</f>
        <v>150000</v>
      </c>
      <c r="V15" s="4">
        <f>'תקציב הנדסה 2020 '!V30</f>
        <v>150000</v>
      </c>
      <c r="W15" s="4">
        <f>'תקציב הנדסה 2020 '!W30</f>
        <v>0</v>
      </c>
      <c r="X15" s="4">
        <f>'תקציב הנדסה 2020 '!X30</f>
        <v>0</v>
      </c>
      <c r="Y15" s="4">
        <f>'תקציב הנדסה 2020 '!Y30</f>
        <v>0</v>
      </c>
      <c r="Z15" s="4">
        <f>'תקציב הנדסה 2020 '!Z30</f>
        <v>0</v>
      </c>
      <c r="AA15" s="87" t="str">
        <f>'תקציב הנדסה 2020 '!AA30</f>
        <v>הערכות להתנגדות לתוכנית שמקדם מינהל התכנון והועדה המחוזית לכל צפון הרצליה ללא שיתוף העירייה.</v>
      </c>
      <c r="AB15" s="706">
        <f>'תקציב הנדסה 2020 '!AB30</f>
        <v>732000</v>
      </c>
      <c r="AC15" s="620"/>
      <c r="AD15" s="52"/>
    </row>
    <row r="16" spans="1:32" s="6" customFormat="1">
      <c r="A16" s="3">
        <f t="shared" si="0"/>
        <v>11</v>
      </c>
      <c r="B16" s="706">
        <f>'תקציב הנדסה 2020 '!B32</f>
        <v>1576</v>
      </c>
      <c r="C16" s="87" t="str">
        <f>'תקציב הנדסה 2020 '!C32</f>
        <v>הוצאות אכיפה-דירות נופש במרינה</v>
      </c>
      <c r="D16" s="4">
        <f>'תקציב הנדסה 2020 '!D32</f>
        <v>1000000</v>
      </c>
      <c r="E16" s="4">
        <f>'תקציב הנדסה 2020 '!E32</f>
        <v>1000000</v>
      </c>
      <c r="F16" s="4">
        <f>'תקציב הנדסה 2020 '!F32</f>
        <v>0</v>
      </c>
      <c r="G16" s="4">
        <f>'תקציב הנדסה 2020 '!G32</f>
        <v>420000</v>
      </c>
      <c r="H16" s="4">
        <f>'תקציב הנדסה 2020 '!H32</f>
        <v>363674.17</v>
      </c>
      <c r="I16" s="4">
        <f>'תקציב הנדסה 2020 '!I32</f>
        <v>35099</v>
      </c>
      <c r="J16" s="4">
        <f>'תקציב הנדסה 2020 '!J32</f>
        <v>0</v>
      </c>
      <c r="K16" s="4">
        <f>'תקציב הנדסה 2020 '!K32</f>
        <v>35099</v>
      </c>
      <c r="L16" s="4">
        <f>'תקציב הנדסה 2020 '!L32</f>
        <v>398773.17</v>
      </c>
      <c r="M16" s="4">
        <f>'תקציב הנדסה 2020 '!M32</f>
        <v>21226.830000000016</v>
      </c>
      <c r="N16" s="4">
        <f>'תקציב הנדסה 2020 '!N32</f>
        <v>30000</v>
      </c>
      <c r="O16" s="4">
        <f>'תקציב הנדסה 2020 '!O32</f>
        <v>550000</v>
      </c>
      <c r="P16" s="4">
        <f>'תקציב הנדסה 2020 '!P32</f>
        <v>21226.830000000016</v>
      </c>
      <c r="Q16" s="4">
        <f>'תקציב הנדסה 2020 '!Q32</f>
        <v>0</v>
      </c>
      <c r="R16" s="4">
        <f>'תקציב הנדסה 2020 '!R32</f>
        <v>0</v>
      </c>
      <c r="S16" s="4">
        <f>'תקציב הנדסה 2020 '!S32</f>
        <v>0</v>
      </c>
      <c r="T16" s="4">
        <f>'תקציב הנדסה 2020 '!T32</f>
        <v>0</v>
      </c>
      <c r="U16" s="4">
        <f>'תקציב הנדסה 2020 '!U32</f>
        <v>30000</v>
      </c>
      <c r="V16" s="4">
        <f>'תקציב הנדסה 2020 '!V32</f>
        <v>30000</v>
      </c>
      <c r="W16" s="4">
        <f>'תקציב הנדסה 2020 '!W32</f>
        <v>0</v>
      </c>
      <c r="X16" s="4">
        <f>'תקציב הנדסה 2020 '!X32</f>
        <v>0</v>
      </c>
      <c r="Y16" s="4">
        <f>'תקציב הנדסה 2020 '!Y32</f>
        <v>0</v>
      </c>
      <c r="Z16" s="4">
        <f>'תקציב הנדסה 2020 '!Z32</f>
        <v>0</v>
      </c>
      <c r="AA16" s="87" t="str">
        <f>'תקציב הנדסה 2020 '!AA32</f>
        <v>עלויות אכיפה צווי בית משפט במרינה.</v>
      </c>
      <c r="AB16" s="706">
        <f>'תקציב הנדסה 2020 '!AB32</f>
        <v>732000</v>
      </c>
      <c r="AC16" s="619"/>
      <c r="AD16" s="52"/>
      <c r="AE16" s="5"/>
      <c r="AF16" s="5"/>
    </row>
    <row r="17" spans="1:32" s="5" customFormat="1" ht="41.4">
      <c r="A17" s="3">
        <f t="shared" si="0"/>
        <v>12</v>
      </c>
      <c r="B17" s="706">
        <f>'תקציב הנדסה 2020 '!B36</f>
        <v>1619</v>
      </c>
      <c r="C17" s="87" t="str">
        <f>'תקציב הנדסה 2020 '!C36</f>
        <v>הסדרת שצ"פ למגורים הר' 2257</v>
      </c>
      <c r="D17" s="4">
        <f>'תקציב הנדסה 2020 '!D36</f>
        <v>250000</v>
      </c>
      <c r="E17" s="4">
        <f>'תקציב הנדסה 2020 '!E36</f>
        <v>250000</v>
      </c>
      <c r="F17" s="4">
        <f>'תקציב הנדסה 2020 '!F36</f>
        <v>0</v>
      </c>
      <c r="G17" s="4">
        <f>'תקציב הנדסה 2020 '!G36</f>
        <v>200000</v>
      </c>
      <c r="H17" s="4">
        <f>'תקציב הנדסה 2020 '!H36</f>
        <v>90207</v>
      </c>
      <c r="I17" s="4">
        <f>'תקציב הנדסה 2020 '!I36</f>
        <v>0</v>
      </c>
      <c r="J17" s="4">
        <f>'תקציב הנדסה 2020 '!J36</f>
        <v>10580.9</v>
      </c>
      <c r="K17" s="4">
        <f>'תקציב הנדסה 2020 '!K36</f>
        <v>10580.9</v>
      </c>
      <c r="L17" s="4">
        <f>'תקציב הנדסה 2020 '!L36</f>
        <v>100787.9</v>
      </c>
      <c r="M17" s="4">
        <f>'תקציב הנדסה 2020 '!M36</f>
        <v>99212.1</v>
      </c>
      <c r="N17" s="4">
        <f>'תקציב הנדסה 2020 '!N36</f>
        <v>0</v>
      </c>
      <c r="O17" s="4">
        <f>'תקציב הנדסה 2020 '!O36</f>
        <v>50000</v>
      </c>
      <c r="P17" s="4">
        <f>'תקציב הנדסה 2020 '!P36</f>
        <v>99212.1</v>
      </c>
      <c r="Q17" s="4">
        <f>'תקציב הנדסה 2020 '!Q36</f>
        <v>0</v>
      </c>
      <c r="R17" s="4">
        <f>'תקציב הנדסה 2020 '!R36</f>
        <v>0</v>
      </c>
      <c r="S17" s="4">
        <f>'תקציב הנדסה 2020 '!S36</f>
        <v>0</v>
      </c>
      <c r="T17" s="4">
        <f>'תקציב הנדסה 2020 '!T36</f>
        <v>0</v>
      </c>
      <c r="U17" s="4">
        <f>'תקציב הנדסה 2020 '!U36</f>
        <v>0</v>
      </c>
      <c r="V17" s="4">
        <f>'תקציב הנדסה 2020 '!V36</f>
        <v>0</v>
      </c>
      <c r="W17" s="4">
        <f>'תקציב הנדסה 2020 '!W36</f>
        <v>0</v>
      </c>
      <c r="X17" s="4">
        <f>'תקציב הנדסה 2020 '!X36</f>
        <v>0</v>
      </c>
      <c r="Y17" s="4">
        <f>'תקציב הנדסה 2020 '!Y36</f>
        <v>0</v>
      </c>
      <c r="Z17" s="4">
        <f>'תקציב הנדסה 2020 '!Z36</f>
        <v>0</v>
      </c>
      <c r="AA17" s="87" t="str">
        <f>'תקציב הנדסה 2020 '!AA36</f>
        <v>תכנון שינוי תב"ע משצ"פ למגורים בעקבות היתרים קיימים משנות ה - 90 שאינם תואמים למצב הסטטוטורי הקיים.</v>
      </c>
      <c r="AB17" s="706">
        <f>'תקציב הנדסה 2020 '!AB36</f>
        <v>732000</v>
      </c>
      <c r="AC17" s="619"/>
      <c r="AD17" s="52"/>
    </row>
    <row r="18" spans="1:32" s="5" customFormat="1" ht="41.4">
      <c r="A18" s="3">
        <f t="shared" si="0"/>
        <v>13</v>
      </c>
      <c r="B18" s="706">
        <f>'תקציב הנדסה 2020 '!B37</f>
        <v>1620</v>
      </c>
      <c r="C18" s="87" t="str">
        <f>'תקציב הנדסה 2020 '!C37</f>
        <v xml:space="preserve"> תכנון חיבוריות בין מזרח למערב </v>
      </c>
      <c r="D18" s="4">
        <f>'תקציב הנדסה 2020 '!D37</f>
        <v>1000000</v>
      </c>
      <c r="E18" s="4">
        <f>'תקציב הנדסה 2020 '!E37</f>
        <v>1000000</v>
      </c>
      <c r="F18" s="4">
        <f>'תקציב הנדסה 2020 '!F37</f>
        <v>0</v>
      </c>
      <c r="G18" s="4">
        <f>'תקציב הנדסה 2020 '!G37</f>
        <v>300000</v>
      </c>
      <c r="H18" s="4">
        <f>'תקציב הנדסה 2020 '!H37</f>
        <v>0</v>
      </c>
      <c r="I18" s="4">
        <f>'תקציב הנדסה 2020 '!I37</f>
        <v>0</v>
      </c>
      <c r="J18" s="4">
        <f>'תקציב הנדסה 2020 '!J37</f>
        <v>0</v>
      </c>
      <c r="K18" s="4">
        <f>'תקציב הנדסה 2020 '!K37</f>
        <v>0</v>
      </c>
      <c r="L18" s="4">
        <f>'תקציב הנדסה 2020 '!L37</f>
        <v>0</v>
      </c>
      <c r="M18" s="4">
        <f>'תקציב הנדסה 2020 '!M37</f>
        <v>0</v>
      </c>
      <c r="N18" s="4">
        <f>'תקציב הנדסה 2020 '!N37</f>
        <v>300000</v>
      </c>
      <c r="O18" s="4">
        <f>'תקציב הנדסה 2020 '!O37</f>
        <v>700000</v>
      </c>
      <c r="P18" s="4">
        <f>'תקציב הנדסה 2020 '!P37</f>
        <v>300000</v>
      </c>
      <c r="Q18" s="4">
        <f>'תקציב הנדסה 2020 '!Q37</f>
        <v>0</v>
      </c>
      <c r="R18" s="4">
        <f>'תקציב הנדסה 2020 '!R37</f>
        <v>0</v>
      </c>
      <c r="S18" s="4">
        <f>'תקציב הנדסה 2020 '!S37</f>
        <v>0</v>
      </c>
      <c r="T18" s="4">
        <f>'תקציב הנדסה 2020 '!T37</f>
        <v>300000</v>
      </c>
      <c r="U18" s="4">
        <f>'תקציב הנדסה 2020 '!U37</f>
        <v>0</v>
      </c>
      <c r="V18" s="4">
        <f>'תקציב הנדסה 2020 '!V37</f>
        <v>0</v>
      </c>
      <c r="W18" s="4">
        <f>'תקציב הנדסה 2020 '!W37</f>
        <v>0</v>
      </c>
      <c r="X18" s="4">
        <f>'תקציב הנדסה 2020 '!X37</f>
        <v>0</v>
      </c>
      <c r="Y18" s="4">
        <f>'תקציב הנדסה 2020 '!Y37</f>
        <v>0</v>
      </c>
      <c r="Z18" s="4">
        <f>'תקציב הנדסה 2020 '!Z37</f>
        <v>0</v>
      </c>
      <c r="AA18" s="87" t="str">
        <f>'תקציב הנדסה 2020 '!AA37</f>
        <v>תכנון כולל לסוגיית חיזוק הקשר בין מזרח העיר למערבה באמצעות תוספות של גשרים להולכי רגל ורכב דו גלגלי.</v>
      </c>
      <c r="AB18" s="706">
        <f>'תקציב הנדסה 2020 '!AB37</f>
        <v>732000</v>
      </c>
      <c r="AC18" s="619"/>
      <c r="AD18" s="52"/>
    </row>
    <row r="19" spans="1:32" s="5" customFormat="1" ht="41.4">
      <c r="A19" s="3">
        <f t="shared" si="0"/>
        <v>14</v>
      </c>
      <c r="B19" s="706">
        <f>'תקציב הנדסה 2020 '!B38</f>
        <v>1660</v>
      </c>
      <c r="C19" s="87" t="str">
        <f>'תקציב הנדסה 2020 '!C38</f>
        <v>תכנון פרויקטים פינוי בינוי</v>
      </c>
      <c r="D19" s="4">
        <f>'תקציב הנדסה 2020 '!D38</f>
        <v>2000000</v>
      </c>
      <c r="E19" s="4">
        <f>'תקציב הנדסה 2020 '!E38</f>
        <v>2000000</v>
      </c>
      <c r="F19" s="4">
        <f>'תקציב הנדסה 2020 '!F38</f>
        <v>0</v>
      </c>
      <c r="G19" s="4">
        <f>'תקציב הנדסה 2020 '!G38</f>
        <v>600000</v>
      </c>
      <c r="H19" s="4">
        <f>'תקציב הנדסה 2020 '!H38</f>
        <v>120082.5</v>
      </c>
      <c r="I19" s="4">
        <f>'תקציב הנדסה 2020 '!I38</f>
        <v>0</v>
      </c>
      <c r="J19" s="4">
        <f>'תקציב הנדסה 2020 '!J38</f>
        <v>16103.59</v>
      </c>
      <c r="K19" s="4">
        <f>'תקציב הנדסה 2020 '!K38</f>
        <v>16103.59</v>
      </c>
      <c r="L19" s="4">
        <f>'תקציב הנדסה 2020 '!L38</f>
        <v>136186.09</v>
      </c>
      <c r="M19" s="4">
        <f>'תקציב הנדסה 2020 '!M38</f>
        <v>463813.91000000003</v>
      </c>
      <c r="N19" s="4">
        <f>'תקציב הנדסה 2020 '!N38</f>
        <v>500000</v>
      </c>
      <c r="O19" s="4">
        <f>'תקציב הנדסה 2020 '!O38</f>
        <v>900000</v>
      </c>
      <c r="P19" s="4">
        <f>'תקציב הנדסה 2020 '!P38</f>
        <v>463813.91000000003</v>
      </c>
      <c r="Q19" s="4">
        <f>'תקציב הנדסה 2020 '!Q38</f>
        <v>0</v>
      </c>
      <c r="R19" s="4">
        <f>'תקציב הנדסה 2020 '!R38</f>
        <v>0</v>
      </c>
      <c r="S19" s="4">
        <f>'תקציב הנדסה 2020 '!S38</f>
        <v>0</v>
      </c>
      <c r="T19" s="4">
        <f>'תקציב הנדסה 2020 '!T38</f>
        <v>0</v>
      </c>
      <c r="U19" s="4">
        <f>'תקציב הנדסה 2020 '!U38</f>
        <v>500000</v>
      </c>
      <c r="V19" s="4">
        <f>'תקציב הנדסה 2020 '!V38</f>
        <v>500000</v>
      </c>
      <c r="W19" s="4">
        <f>'תקציב הנדסה 2020 '!W38</f>
        <v>0</v>
      </c>
      <c r="X19" s="4">
        <f>'תקציב הנדסה 2020 '!X38</f>
        <v>0</v>
      </c>
      <c r="Y19" s="4">
        <f>'תקציב הנדסה 2020 '!Y38</f>
        <v>0</v>
      </c>
      <c r="Z19" s="4">
        <f>'תקציב הנדסה 2020 '!Z38</f>
        <v>0</v>
      </c>
      <c r="AA19" s="87" t="str">
        <f>'תקציב הנדסה 2020 '!AA38</f>
        <v>בדיקת התכנות של מתחמי פינוי בינוי ותכנון פרויקטים להתחדשות עירונית ופינוי בינוי. איחוד עם תב"ר 1674.</v>
      </c>
      <c r="AB19" s="706">
        <f>'תקציב הנדסה 2020 '!AB38</f>
        <v>732000</v>
      </c>
      <c r="AC19" s="620"/>
      <c r="AD19" s="52"/>
    </row>
    <row r="20" spans="1:32" s="5" customFormat="1" ht="27.6">
      <c r="A20" s="3">
        <f t="shared" si="0"/>
        <v>15</v>
      </c>
      <c r="B20" s="706">
        <f>'תקציב הנדסה 2020 '!B40</f>
        <v>1674</v>
      </c>
      <c r="C20" s="87" t="str">
        <f>'תקציב הנדסה 2020 '!C40</f>
        <v>התחדשות עירונית</v>
      </c>
      <c r="D20" s="4">
        <f>'תקציב הנדסה 2020 '!D40</f>
        <v>1800000</v>
      </c>
      <c r="E20" s="4">
        <f>'תקציב הנדסה 2020 '!E40</f>
        <v>2300000</v>
      </c>
      <c r="F20" s="4">
        <f>'תקציב הנדסה 2020 '!F40</f>
        <v>-500000</v>
      </c>
      <c r="G20" s="4">
        <f>'תקציב הנדסה 2020 '!G40</f>
        <v>2300000</v>
      </c>
      <c r="H20" s="4">
        <f>'תקציב הנדסה 2020 '!H40</f>
        <v>1414819.69</v>
      </c>
      <c r="I20" s="4">
        <f>'תקציב הנדסה 2020 '!I40</f>
        <v>300189.64</v>
      </c>
      <c r="J20" s="4">
        <f>'תקציב הנדסה 2020 '!J40</f>
        <v>13969.8</v>
      </c>
      <c r="K20" s="4">
        <f>'תקציב הנדסה 2020 '!K40</f>
        <v>314159.44</v>
      </c>
      <c r="L20" s="4">
        <f>'תקציב הנדסה 2020 '!L40</f>
        <v>1728979.13</v>
      </c>
      <c r="M20" s="4">
        <f>'תקציב הנדסה 2020 '!M40</f>
        <v>71020.870000000112</v>
      </c>
      <c r="N20" s="4">
        <f>'תקציב הנדסה 2020 '!N40</f>
        <v>0</v>
      </c>
      <c r="O20" s="4">
        <f>'תקציב הנדסה 2020 '!O40</f>
        <v>0</v>
      </c>
      <c r="P20" s="4">
        <f>'תקציב הנדסה 2020 '!P40</f>
        <v>571020.87000000011</v>
      </c>
      <c r="Q20" s="4">
        <f>'תקציב הנדסה 2020 '!Q40</f>
        <v>0</v>
      </c>
      <c r="R20" s="4">
        <f>'תקציב הנדסה 2020 '!R40</f>
        <v>0</v>
      </c>
      <c r="S20" s="4">
        <f>'תקציב הנדסה 2020 '!S40</f>
        <v>0</v>
      </c>
      <c r="T20" s="4">
        <f>'תקציב הנדסה 2020 '!T40</f>
        <v>500000</v>
      </c>
      <c r="U20" s="4">
        <f>'תקציב הנדסה 2020 '!U40</f>
        <v>-500000</v>
      </c>
      <c r="V20" s="4">
        <f>'תקציב הנדסה 2020 '!V40</f>
        <v>-500000</v>
      </c>
      <c r="W20" s="4">
        <f>'תקציב הנדסה 2020 '!W40</f>
        <v>0</v>
      </c>
      <c r="X20" s="4">
        <f>'תקציב הנדסה 2020 '!X40</f>
        <v>0</v>
      </c>
      <c r="Y20" s="4">
        <f>'תקציב הנדסה 2020 '!Y40</f>
        <v>0</v>
      </c>
      <c r="Z20" s="4">
        <f>'תקציב הנדסה 2020 '!Z40</f>
        <v>0</v>
      </c>
      <c r="AA20" s="87" t="str">
        <f>'תקציב הנדסה 2020 '!AA40</f>
        <v>בדיקת התכנות טרם קביעת ותוך כדי בחינת מתחמי פינוי בינוי. ראה תב"ר 1660.</v>
      </c>
      <c r="AB20" s="706">
        <f>'תקציב הנדסה 2020 '!AB40</f>
        <v>732000</v>
      </c>
      <c r="AC20" s="620"/>
      <c r="AD20" s="52"/>
      <c r="AE20" s="7"/>
      <c r="AF20" s="7"/>
    </row>
    <row r="21" spans="1:32" s="6" customFormat="1" ht="27.6">
      <c r="A21" s="3">
        <f t="shared" si="0"/>
        <v>16</v>
      </c>
      <c r="B21" s="706">
        <f>'תקציב הנדסה 2020 '!B41</f>
        <v>1692</v>
      </c>
      <c r="C21" s="87" t="str">
        <f>'תקציב הנדסה 2020 '!C41</f>
        <v>פינוי בינוי מעונות שרה</v>
      </c>
      <c r="D21" s="4">
        <f>'תקציב הנדסה 2020 '!D41</f>
        <v>2450000</v>
      </c>
      <c r="E21" s="4">
        <f>'תקציב הנדסה 2020 '!E41</f>
        <v>2450000</v>
      </c>
      <c r="F21" s="4">
        <f>'תקציב הנדסה 2020 '!F41</f>
        <v>0</v>
      </c>
      <c r="G21" s="4">
        <f>'תקציב הנדסה 2020 '!G41</f>
        <v>1439186</v>
      </c>
      <c r="H21" s="4">
        <f>'תקציב הנדסה 2020 '!H41</f>
        <v>578670.81000000006</v>
      </c>
      <c r="I21" s="4">
        <f>'תקציב הנדסה 2020 '!I41</f>
        <v>128716.16</v>
      </c>
      <c r="J21" s="4">
        <f>'תקציב הנדסה 2020 '!J41</f>
        <v>186.56</v>
      </c>
      <c r="K21" s="4">
        <f>'תקציב הנדסה 2020 '!K41</f>
        <v>128902.72</v>
      </c>
      <c r="L21" s="4">
        <f>'תקציב הנדסה 2020 '!L41</f>
        <v>707573.53</v>
      </c>
      <c r="M21" s="4">
        <f>'תקציב הנדסה 2020 '!M41</f>
        <v>1038935.47</v>
      </c>
      <c r="N21" s="4">
        <f>'תקציב הנדסה 2020 '!N41</f>
        <v>0</v>
      </c>
      <c r="O21" s="4">
        <f>'תקציב הנדסה 2020 '!O41</f>
        <v>703491</v>
      </c>
      <c r="P21" s="4">
        <f>'תקציב הנדסה 2020 '!P41</f>
        <v>731612.47</v>
      </c>
      <c r="Q21" s="4">
        <f>'תקציב הנדסה 2020 '!Q41</f>
        <v>307323</v>
      </c>
      <c r="R21" s="4">
        <f>'תקציב הנדסה 2020 '!R41</f>
        <v>0</v>
      </c>
      <c r="S21" s="4">
        <f>'תקציב הנדסה 2020 '!S41</f>
        <v>307323</v>
      </c>
      <c r="T21" s="4">
        <f>'תקציב הנדסה 2020 '!T41</f>
        <v>0</v>
      </c>
      <c r="U21" s="4">
        <f>'תקציב הנדסה 2020 '!U41</f>
        <v>0</v>
      </c>
      <c r="V21" s="4">
        <f>'תקציב הנדסה 2020 '!V41</f>
        <v>0</v>
      </c>
      <c r="W21" s="4">
        <f>'תקציב הנדסה 2020 '!W41</f>
        <v>0</v>
      </c>
      <c r="X21" s="4">
        <f>'תקציב הנדסה 2020 '!X41</f>
        <v>0</v>
      </c>
      <c r="Y21" s="4">
        <f>'תקציב הנדסה 2020 '!Y41</f>
        <v>0</v>
      </c>
      <c r="Z21" s="4">
        <f>'תקציב הנדסה 2020 '!Z41</f>
        <v>0</v>
      </c>
      <c r="AA21" s="87" t="str">
        <f>'תקציב הנדסה 2020 '!AA41</f>
        <v>תכנון מתחם מעונות שרה לפינוי ובינוי.מימון משרד הבינוי.</v>
      </c>
      <c r="AB21" s="706">
        <f>'תקציב הנדסה 2020 '!AB41</f>
        <v>732000</v>
      </c>
      <c r="AC21" s="619"/>
      <c r="AD21" s="52"/>
      <c r="AE21" s="5"/>
      <c r="AF21" s="5"/>
    </row>
    <row r="22" spans="1:32" s="6" customFormat="1" ht="27.6">
      <c r="A22" s="3">
        <f t="shared" si="0"/>
        <v>17</v>
      </c>
      <c r="B22" s="706">
        <f>'תקציב הנדסה 2020 '!B42</f>
        <v>1693</v>
      </c>
      <c r="C22" s="87" t="str">
        <f>'תקציב הנדסה 2020 '!C42</f>
        <v xml:space="preserve">פינוי בינוי צומת כדורי </v>
      </c>
      <c r="D22" s="4">
        <f>'תקציב הנדסה 2020 '!D42</f>
        <v>4500000</v>
      </c>
      <c r="E22" s="4">
        <f>'תקציב הנדסה 2020 '!E42</f>
        <v>4500000</v>
      </c>
      <c r="F22" s="4">
        <f>'תקציב הנדסה 2020 '!F42</f>
        <v>0</v>
      </c>
      <c r="G22" s="4">
        <f>'תקציב הנדסה 2020 '!G42</f>
        <v>2235481</v>
      </c>
      <c r="H22" s="4">
        <f>'תקציב הנדסה 2020 '!H42</f>
        <v>312538.53000000003</v>
      </c>
      <c r="I22" s="4">
        <f>'תקציב הנדסה 2020 '!I42</f>
        <v>48062.98</v>
      </c>
      <c r="J22" s="4">
        <f>'תקציב הנדסה 2020 '!J42</f>
        <v>0</v>
      </c>
      <c r="K22" s="4">
        <f>'תקציב הנדסה 2020 '!K42</f>
        <v>48062.98</v>
      </c>
      <c r="L22" s="4">
        <f>'תקציב הנדסה 2020 '!L42</f>
        <v>360601.51</v>
      </c>
      <c r="M22" s="4">
        <f>'תקציב הנדסה 2020 '!M42</f>
        <v>1874879.49</v>
      </c>
      <c r="N22" s="4">
        <f>'תקציב הנדסה 2020 '!N42</f>
        <v>0</v>
      </c>
      <c r="O22" s="4">
        <f>'תקציב הנדסה 2020 '!O42</f>
        <v>2264519</v>
      </c>
      <c r="P22" s="4">
        <f>'תקציב הנדסה 2020 '!P42</f>
        <v>1874879.49</v>
      </c>
      <c r="Q22" s="4">
        <f>'תקציב הנדסה 2020 '!Q42</f>
        <v>0</v>
      </c>
      <c r="R22" s="4">
        <f>'תקציב הנדסה 2020 '!R42</f>
        <v>0</v>
      </c>
      <c r="S22" s="4">
        <f>'תקציב הנדסה 2020 '!S42</f>
        <v>0</v>
      </c>
      <c r="T22" s="4">
        <f>'תקציב הנדסה 2020 '!T42</f>
        <v>0</v>
      </c>
      <c r="U22" s="4">
        <f>'תקציב הנדסה 2020 '!U42</f>
        <v>0</v>
      </c>
      <c r="V22" s="4">
        <f>'תקציב הנדסה 2020 '!V42</f>
        <v>0</v>
      </c>
      <c r="W22" s="4">
        <f>'תקציב הנדסה 2020 '!W42</f>
        <v>0</v>
      </c>
      <c r="X22" s="4">
        <f>'תקציב הנדסה 2020 '!X42</f>
        <v>0</v>
      </c>
      <c r="Y22" s="4">
        <f>'תקציב הנדסה 2020 '!Y42</f>
        <v>0</v>
      </c>
      <c r="Z22" s="4">
        <f>'תקציב הנדסה 2020 '!Z42</f>
        <v>0</v>
      </c>
      <c r="AA22" s="87" t="str">
        <f>'תקציב הנדסה 2020 '!AA42</f>
        <v>תכנון מתחם צומת כדורי לפינוי ובינוי.מימון מ. הבינוי.</v>
      </c>
      <c r="AB22" s="706">
        <f>'תקציב הנדסה 2020 '!AB42</f>
        <v>732000</v>
      </c>
      <c r="AC22" s="619"/>
      <c r="AD22" s="52"/>
      <c r="AE22" s="5"/>
      <c r="AF22" s="5"/>
    </row>
    <row r="23" spans="1:32" s="6" customFormat="1" ht="41.4">
      <c r="A23" s="3">
        <f t="shared" si="0"/>
        <v>18</v>
      </c>
      <c r="B23" s="706">
        <f>'תקציב הנדסה 2020 '!B43</f>
        <v>1701</v>
      </c>
      <c r="C23" s="87" t="str">
        <f>'תקציב הנדסה 2020 '!C43</f>
        <v>תב"ע הר' 2394 (לשעבר הר  2159 )</v>
      </c>
      <c r="D23" s="4">
        <f>'תקציב הנדסה 2020 '!D43</f>
        <v>1250000</v>
      </c>
      <c r="E23" s="4">
        <f>'תקציב הנדסה 2020 '!E43</f>
        <v>1250000</v>
      </c>
      <c r="F23" s="4">
        <f>'תקציב הנדסה 2020 '!F43</f>
        <v>0</v>
      </c>
      <c r="G23" s="4">
        <f>'תקציב הנדסה 2020 '!G43</f>
        <v>850000</v>
      </c>
      <c r="H23" s="4">
        <f>'תקציב הנדסה 2020 '!H43</f>
        <v>137148</v>
      </c>
      <c r="I23" s="4">
        <f>'תקציב הנדסה 2020 '!I43</f>
        <v>75117.320000000007</v>
      </c>
      <c r="J23" s="4">
        <f>'תקציב הנדסה 2020 '!J43</f>
        <v>150530.28</v>
      </c>
      <c r="K23" s="4">
        <f>'תקציב הנדסה 2020 '!K43</f>
        <v>225647.6</v>
      </c>
      <c r="L23" s="4">
        <f>'תקציב הנדסה 2020 '!L43</f>
        <v>362795.6</v>
      </c>
      <c r="M23" s="4">
        <f>'תקציב הנדסה 2020 '!M43</f>
        <v>487204.4</v>
      </c>
      <c r="N23" s="4">
        <f>'תקציב הנדסה 2020 '!N43</f>
        <v>400000</v>
      </c>
      <c r="O23" s="4">
        <f>'תקציב הנדסה 2020 '!O43</f>
        <v>0</v>
      </c>
      <c r="P23" s="4">
        <f>'תקציב הנדסה 2020 '!P43</f>
        <v>487204.4</v>
      </c>
      <c r="Q23" s="4">
        <f>'תקציב הנדסה 2020 '!Q43</f>
        <v>0</v>
      </c>
      <c r="R23" s="4">
        <f>'תקציב הנדסה 2020 '!R43</f>
        <v>0</v>
      </c>
      <c r="S23" s="4">
        <f>'תקציב הנדסה 2020 '!S43</f>
        <v>0</v>
      </c>
      <c r="T23" s="4">
        <f>'תקציב הנדסה 2020 '!T43</f>
        <v>0</v>
      </c>
      <c r="U23" s="4">
        <f>'תקציב הנדסה 2020 '!U43</f>
        <v>400000</v>
      </c>
      <c r="V23" s="4">
        <f>'תקציב הנדסה 2020 '!V43</f>
        <v>400000</v>
      </c>
      <c r="W23" s="4">
        <f>'תקציב הנדסה 2020 '!W43</f>
        <v>0</v>
      </c>
      <c r="X23" s="4">
        <f>'תקציב הנדסה 2020 '!X43</f>
        <v>0</v>
      </c>
      <c r="Y23" s="4">
        <f>'תקציב הנדסה 2020 '!Y43</f>
        <v>0</v>
      </c>
      <c r="Z23" s="4">
        <f>'תקציב הנדסה 2020 '!Z43</f>
        <v>0</v>
      </c>
      <c r="AA23" s="87" t="str">
        <f>'תקציב הנדסה 2020 '!AA43</f>
        <v>תכנון תב"ע לשכונה חדשה בהרצליה הצעירה. שטח בגודל של כ - 50 דונם , כ - 300 יח"ד.</v>
      </c>
      <c r="AB23" s="706">
        <f>'תקציב הנדסה 2020 '!AB43</f>
        <v>732000</v>
      </c>
      <c r="AC23" s="619"/>
      <c r="AD23" s="52"/>
      <c r="AE23" s="5"/>
      <c r="AF23" s="5"/>
    </row>
    <row r="24" spans="1:32" s="5" customFormat="1">
      <c r="A24" s="3">
        <f t="shared" si="0"/>
        <v>19</v>
      </c>
      <c r="B24" s="706">
        <f>'תקציב הנדסה 2020 '!B47</f>
        <v>1748</v>
      </c>
      <c r="C24" s="87" t="str">
        <f>'תקציב הנדסה 2020 '!C47</f>
        <v xml:space="preserve">תכנון בנייה ציבורית </v>
      </c>
      <c r="D24" s="4">
        <f>'תקציב הנדסה 2020 '!D47</f>
        <v>120000</v>
      </c>
      <c r="E24" s="4">
        <f>'תקציב הנדסה 2020 '!E47</f>
        <v>120000</v>
      </c>
      <c r="F24" s="4">
        <f>'תקציב הנדסה 2020 '!F47</f>
        <v>0</v>
      </c>
      <c r="G24" s="4">
        <f>'תקציב הנדסה 2020 '!G47</f>
        <v>120000</v>
      </c>
      <c r="H24" s="4">
        <f>'תקציב הנדסה 2020 '!H47</f>
        <v>89830.86</v>
      </c>
      <c r="I24" s="4">
        <f>'תקציב הנדסה 2020 '!I47</f>
        <v>29280.55</v>
      </c>
      <c r="J24" s="4">
        <f>'תקציב הנדסה 2020 '!J47</f>
        <v>0</v>
      </c>
      <c r="K24" s="4">
        <f>'תקציב הנדסה 2020 '!K47</f>
        <v>29280.55</v>
      </c>
      <c r="L24" s="4">
        <f>'תקציב הנדסה 2020 '!L47</f>
        <v>119111.41</v>
      </c>
      <c r="M24" s="4">
        <f>'תקציב הנדסה 2020 '!M47</f>
        <v>888.58999999999651</v>
      </c>
      <c r="N24" s="4">
        <f>'תקציב הנדסה 2020 '!N47</f>
        <v>0</v>
      </c>
      <c r="O24" s="4">
        <f>'תקציב הנדסה 2020 '!O47</f>
        <v>0</v>
      </c>
      <c r="P24" s="4">
        <f>'תקציב הנדסה 2020 '!P47</f>
        <v>888.58999999999651</v>
      </c>
      <c r="Q24" s="4">
        <f>'תקציב הנדסה 2020 '!Q47</f>
        <v>0</v>
      </c>
      <c r="R24" s="4">
        <f>'תקציב הנדסה 2020 '!R47</f>
        <v>0</v>
      </c>
      <c r="S24" s="4">
        <f>'תקציב הנדסה 2020 '!S47</f>
        <v>0</v>
      </c>
      <c r="T24" s="4">
        <f>'תקציב הנדסה 2020 '!T47</f>
        <v>0</v>
      </c>
      <c r="U24" s="4">
        <f>'תקציב הנדסה 2020 '!U47</f>
        <v>0</v>
      </c>
      <c r="V24" s="4">
        <f>'תקציב הנדסה 2020 '!V47</f>
        <v>0</v>
      </c>
      <c r="W24" s="4">
        <f>'תקציב הנדסה 2020 '!W47</f>
        <v>0</v>
      </c>
      <c r="X24" s="4">
        <f>'תקציב הנדסה 2020 '!X47</f>
        <v>0</v>
      </c>
      <c r="Y24" s="4">
        <f>'תקציב הנדסה 2020 '!Y47</f>
        <v>0</v>
      </c>
      <c r="Z24" s="4">
        <f>'תקציב הנדסה 2020 '!Z47</f>
        <v>0</v>
      </c>
      <c r="AA24" s="87">
        <f>'תקציב הנדסה 2020 '!AA47</f>
        <v>0</v>
      </c>
      <c r="AB24" s="706">
        <f>'תקציב הנדסה 2020 '!AB47</f>
        <v>732000</v>
      </c>
      <c r="AC24" s="621"/>
      <c r="AD24" s="52"/>
    </row>
    <row r="25" spans="1:32" s="5" customFormat="1" ht="27.6">
      <c r="A25" s="3">
        <f t="shared" si="0"/>
        <v>20</v>
      </c>
      <c r="B25" s="706">
        <f>'תקציב הנדסה 2020 '!B48</f>
        <v>1755</v>
      </c>
      <c r="C25" s="87" t="str">
        <f>'תקציב הנדסה 2020 '!C48</f>
        <v>תב"ע חניון שטח מרינה לי 2073</v>
      </c>
      <c r="D25" s="4">
        <f>'תקציב הנדסה 2020 '!D48</f>
        <v>200000</v>
      </c>
      <c r="E25" s="4">
        <f>'תקציב הנדסה 2020 '!E48</f>
        <v>200000</v>
      </c>
      <c r="F25" s="4">
        <f>'תקציב הנדסה 2020 '!F48</f>
        <v>0</v>
      </c>
      <c r="G25" s="4">
        <f>'תקציב הנדסה 2020 '!G48</f>
        <v>100000</v>
      </c>
      <c r="H25" s="4">
        <f>'תקציב הנדסה 2020 '!H48</f>
        <v>69371.839999999997</v>
      </c>
      <c r="I25" s="4">
        <f>'תקציב הנדסה 2020 '!I48</f>
        <v>0</v>
      </c>
      <c r="J25" s="4">
        <f>'תקציב הנדסה 2020 '!J48</f>
        <v>10700.37</v>
      </c>
      <c r="K25" s="4">
        <f>'תקציב הנדסה 2020 '!K48</f>
        <v>10700.37</v>
      </c>
      <c r="L25" s="4">
        <f>'תקציב הנדסה 2020 '!L48</f>
        <v>80072.209999999992</v>
      </c>
      <c r="M25" s="4">
        <f>'תקציב הנדסה 2020 '!M48</f>
        <v>19927.790000000008</v>
      </c>
      <c r="N25" s="4">
        <f>'תקציב הנדסה 2020 '!N48</f>
        <v>0</v>
      </c>
      <c r="O25" s="4">
        <f>'תקציב הנדסה 2020 '!O48</f>
        <v>100000</v>
      </c>
      <c r="P25" s="4">
        <f>'תקציב הנדסה 2020 '!P48</f>
        <v>19927.790000000008</v>
      </c>
      <c r="Q25" s="4">
        <f>'תקציב הנדסה 2020 '!Q48</f>
        <v>0</v>
      </c>
      <c r="R25" s="4">
        <f>'תקציב הנדסה 2020 '!R48</f>
        <v>0</v>
      </c>
      <c r="S25" s="4">
        <f>'תקציב הנדסה 2020 '!S48</f>
        <v>0</v>
      </c>
      <c r="T25" s="4">
        <f>'תקציב הנדסה 2020 '!T48</f>
        <v>0</v>
      </c>
      <c r="U25" s="4">
        <f>'תקציב הנדסה 2020 '!U48</f>
        <v>0</v>
      </c>
      <c r="V25" s="4">
        <f>'תקציב הנדסה 2020 '!V48</f>
        <v>0</v>
      </c>
      <c r="W25" s="4">
        <f>'תקציב הנדסה 2020 '!W48</f>
        <v>0</v>
      </c>
      <c r="X25" s="4">
        <f>'תקציב הנדסה 2020 '!X48</f>
        <v>0</v>
      </c>
      <c r="Y25" s="4">
        <f>'תקציב הנדסה 2020 '!Y48</f>
        <v>0</v>
      </c>
      <c r="Z25" s="4">
        <f>'תקציב הנדסה 2020 '!Z48</f>
        <v>0</v>
      </c>
      <c r="AA25" s="87" t="str">
        <f>'תקציב הנדסה 2020 '!AA48</f>
        <v>הכנת תב"ע לבניית חניון מתחת לשצ"פ במתחם "מרינה לי".</v>
      </c>
      <c r="AB25" s="706">
        <f>'תקציב הנדסה 2020 '!AB48</f>
        <v>732000</v>
      </c>
      <c r="AC25" s="621"/>
      <c r="AD25" s="52"/>
    </row>
    <row r="26" spans="1:32" s="5" customFormat="1" ht="41.4">
      <c r="A26" s="3">
        <f t="shared" si="0"/>
        <v>21</v>
      </c>
      <c r="B26" s="706">
        <f>'תקציב הנדסה 2020 '!B49</f>
        <v>1756</v>
      </c>
      <c r="C26" s="87" t="str">
        <f>'תקציב הנדסה 2020 '!C49</f>
        <v>מסמכי מדיניות  ותוכניות אסטרטגיות להתחדשות עירונית בשכונות (*) עדכון שם</v>
      </c>
      <c r="D26" s="4">
        <f>'תקציב הנדסה 2020 '!D49</f>
        <v>1400000</v>
      </c>
      <c r="E26" s="4">
        <f>'תקציב הנדסה 2020 '!E49</f>
        <v>800000</v>
      </c>
      <c r="F26" s="4">
        <f>'תקציב הנדסה 2020 '!F49</f>
        <v>600000</v>
      </c>
      <c r="G26" s="4">
        <f>'תקציב הנדסה 2020 '!G49</f>
        <v>400000</v>
      </c>
      <c r="H26" s="4">
        <f>'תקציב הנדסה 2020 '!H49</f>
        <v>239672</v>
      </c>
      <c r="I26" s="4">
        <f>'תקציב הנדסה 2020 '!I49</f>
        <v>0</v>
      </c>
      <c r="J26" s="4">
        <f>'תקציב הנדסה 2020 '!J49</f>
        <v>44604</v>
      </c>
      <c r="K26" s="4">
        <f>'תקציב הנדסה 2020 '!K49</f>
        <v>44604</v>
      </c>
      <c r="L26" s="4">
        <f>'תקציב הנדסה 2020 '!L49</f>
        <v>284276</v>
      </c>
      <c r="M26" s="4">
        <f>'תקציב הנדסה 2020 '!M49</f>
        <v>115724</v>
      </c>
      <c r="N26" s="4">
        <f>'תקציב הנדסה 2020 '!N49</f>
        <v>1000000</v>
      </c>
      <c r="O26" s="4">
        <f>'תקציב הנדסה 2020 '!O49</f>
        <v>0</v>
      </c>
      <c r="P26" s="4">
        <f>'תקציב הנדסה 2020 '!P49</f>
        <v>115724</v>
      </c>
      <c r="Q26" s="4">
        <f>'תקציב הנדסה 2020 '!Q49</f>
        <v>0</v>
      </c>
      <c r="R26" s="4">
        <f>'תקציב הנדסה 2020 '!R49</f>
        <v>0</v>
      </c>
      <c r="S26" s="4">
        <f>'תקציב הנדסה 2020 '!S49</f>
        <v>0</v>
      </c>
      <c r="T26" s="4">
        <f>'תקציב הנדסה 2020 '!T49</f>
        <v>0</v>
      </c>
      <c r="U26" s="4">
        <f>'תקציב הנדסה 2020 '!U49</f>
        <v>1000000</v>
      </c>
      <c r="V26" s="4">
        <f>'תקציב הנדסה 2020 '!V49</f>
        <v>1000000</v>
      </c>
      <c r="W26" s="4">
        <f>'תקציב הנדסה 2020 '!W49</f>
        <v>0</v>
      </c>
      <c r="X26" s="4">
        <f>'תקציב הנדסה 2020 '!X49</f>
        <v>0</v>
      </c>
      <c r="Y26" s="4">
        <f>'תקציב הנדסה 2020 '!Y49</f>
        <v>0</v>
      </c>
      <c r="Z26" s="4">
        <f>'תקציב הנדסה 2020 '!Z49</f>
        <v>0</v>
      </c>
      <c r="AA26" s="87" t="str">
        <f>'תקציב הנדסה 2020 '!AA49</f>
        <v>הכנת מסמכי מדיניות להתחדשות עירונית בשכונות לגיבוש מדיניות לחידוש המרקם הקיים בשכונות. איחוד עם תב"ר 1759.</v>
      </c>
      <c r="AB26" s="706">
        <f>'תקציב הנדסה 2020 '!AB49</f>
        <v>732000</v>
      </c>
      <c r="AC26" s="621"/>
      <c r="AD26" s="52"/>
    </row>
    <row r="27" spans="1:32" s="5" customFormat="1">
      <c r="A27" s="3">
        <f t="shared" si="0"/>
        <v>22</v>
      </c>
      <c r="B27" s="706">
        <f>'תקציב הנדסה 2020 '!B50</f>
        <v>1757</v>
      </c>
      <c r="C27" s="87" t="str">
        <f>'תקציב הנדסה 2020 '!C50</f>
        <v>תב"ע לדיור בר השגה ברב קוק</v>
      </c>
      <c r="D27" s="4">
        <f>'תקציב הנדסה 2020 '!D50</f>
        <v>300000</v>
      </c>
      <c r="E27" s="4">
        <f>'תקציב הנדסה 2020 '!E50</f>
        <v>300000</v>
      </c>
      <c r="F27" s="4">
        <f>'תקציב הנדסה 2020 '!F50</f>
        <v>0</v>
      </c>
      <c r="G27" s="4">
        <f>'תקציב הנדסה 2020 '!G50</f>
        <v>110000</v>
      </c>
      <c r="H27" s="4">
        <f>'תקציב הנדסה 2020 '!H50</f>
        <v>10908.07</v>
      </c>
      <c r="I27" s="4">
        <f>'תקציב הנדסה 2020 '!I50</f>
        <v>908.93</v>
      </c>
      <c r="J27" s="4">
        <f>'תקציב הנדסה 2020 '!J50</f>
        <v>0</v>
      </c>
      <c r="K27" s="4">
        <f>'תקציב הנדסה 2020 '!K50</f>
        <v>908.93</v>
      </c>
      <c r="L27" s="4">
        <f>'תקציב הנדסה 2020 '!L50</f>
        <v>11817</v>
      </c>
      <c r="M27" s="4">
        <f>'תקציב הנדסה 2020 '!M50</f>
        <v>98183</v>
      </c>
      <c r="N27" s="4">
        <f>'תקציב הנדסה 2020 '!N50</f>
        <v>0</v>
      </c>
      <c r="O27" s="4">
        <f>'תקציב הנדסה 2020 '!O50</f>
        <v>190000</v>
      </c>
      <c r="P27" s="4">
        <f>'תקציב הנדסה 2020 '!P50</f>
        <v>98183</v>
      </c>
      <c r="Q27" s="4">
        <f>'תקציב הנדסה 2020 '!Q50</f>
        <v>0</v>
      </c>
      <c r="R27" s="4">
        <f>'תקציב הנדסה 2020 '!R50</f>
        <v>0</v>
      </c>
      <c r="S27" s="4">
        <f>'תקציב הנדסה 2020 '!S50</f>
        <v>0</v>
      </c>
      <c r="T27" s="4">
        <f>'תקציב הנדסה 2020 '!T50</f>
        <v>0</v>
      </c>
      <c r="U27" s="4">
        <f>'תקציב הנדסה 2020 '!U50</f>
        <v>0</v>
      </c>
      <c r="V27" s="4">
        <f>'תקציב הנדסה 2020 '!V50</f>
        <v>0</v>
      </c>
      <c r="W27" s="4">
        <f>'תקציב הנדסה 2020 '!W50</f>
        <v>0</v>
      </c>
      <c r="X27" s="4">
        <f>'תקציב הנדסה 2020 '!X50</f>
        <v>0</v>
      </c>
      <c r="Y27" s="4">
        <f>'תקציב הנדסה 2020 '!Y50</f>
        <v>0</v>
      </c>
      <c r="Z27" s="4">
        <f>'תקציב הנדסה 2020 '!Z50</f>
        <v>0</v>
      </c>
      <c r="AA27" s="87">
        <f>'תקציב הנדסה 2020 '!AA50</f>
        <v>0</v>
      </c>
      <c r="AB27" s="706">
        <f>'תקציב הנדסה 2020 '!AB50</f>
        <v>732000</v>
      </c>
      <c r="AC27" s="621"/>
      <c r="AD27" s="52"/>
    </row>
    <row r="28" spans="1:32" s="5" customFormat="1">
      <c r="A28" s="3">
        <f t="shared" si="0"/>
        <v>23</v>
      </c>
      <c r="B28" s="706">
        <f>'תקציב הנדסה 2020 '!B51</f>
        <v>1758</v>
      </c>
      <c r="C28" s="87" t="str">
        <f>'תקציב הנדסה 2020 '!C51</f>
        <v>תב"ע לדיור בר השגה בשמשון הגיבור</v>
      </c>
      <c r="D28" s="4">
        <f>'תקציב הנדסה 2020 '!D51</f>
        <v>300000</v>
      </c>
      <c r="E28" s="4">
        <f>'תקציב הנדסה 2020 '!E51</f>
        <v>300000</v>
      </c>
      <c r="F28" s="4">
        <f>'תקציב הנדסה 2020 '!F51</f>
        <v>0</v>
      </c>
      <c r="G28" s="4">
        <f>'תקציב הנדסה 2020 '!G51</f>
        <v>16000</v>
      </c>
      <c r="H28" s="4">
        <f>'תקציב הנדסה 2020 '!H51</f>
        <v>10908.07</v>
      </c>
      <c r="I28" s="4">
        <f>'תקציב הנדסה 2020 '!I51</f>
        <v>4828.43</v>
      </c>
      <c r="J28" s="4">
        <f>'תקציב הנדסה 2020 '!J51</f>
        <v>0</v>
      </c>
      <c r="K28" s="4">
        <f>'תקציב הנדסה 2020 '!K51</f>
        <v>4828.43</v>
      </c>
      <c r="L28" s="4">
        <f>'תקציב הנדסה 2020 '!L51</f>
        <v>15736.5</v>
      </c>
      <c r="M28" s="4">
        <f>'תקציב הנדסה 2020 '!M51</f>
        <v>263.5</v>
      </c>
      <c r="N28" s="4">
        <f>'תקציב הנדסה 2020 '!N51</f>
        <v>0</v>
      </c>
      <c r="O28" s="4">
        <f>'תקציב הנדסה 2020 '!O51</f>
        <v>284000</v>
      </c>
      <c r="P28" s="4">
        <f>'תקציב הנדסה 2020 '!P51</f>
        <v>263.5</v>
      </c>
      <c r="Q28" s="4">
        <f>'תקציב הנדסה 2020 '!Q51</f>
        <v>0</v>
      </c>
      <c r="R28" s="4">
        <f>'תקציב הנדסה 2020 '!R51</f>
        <v>0</v>
      </c>
      <c r="S28" s="4">
        <f>'תקציב הנדסה 2020 '!S51</f>
        <v>0</v>
      </c>
      <c r="T28" s="4">
        <f>'תקציב הנדסה 2020 '!T51</f>
        <v>0</v>
      </c>
      <c r="U28" s="4">
        <f>'תקציב הנדסה 2020 '!U51</f>
        <v>0</v>
      </c>
      <c r="V28" s="4">
        <f>'תקציב הנדסה 2020 '!V51</f>
        <v>0</v>
      </c>
      <c r="W28" s="4">
        <f>'תקציב הנדסה 2020 '!W51</f>
        <v>0</v>
      </c>
      <c r="X28" s="4">
        <f>'תקציב הנדסה 2020 '!X51</f>
        <v>0</v>
      </c>
      <c r="Y28" s="4">
        <f>'תקציב הנדסה 2020 '!Y51</f>
        <v>0</v>
      </c>
      <c r="Z28" s="4">
        <f>'תקציב הנדסה 2020 '!Z51</f>
        <v>0</v>
      </c>
      <c r="AA28" s="87">
        <f>'תקציב הנדסה 2020 '!AA51</f>
        <v>0</v>
      </c>
      <c r="AB28" s="706">
        <f>'תקציב הנדסה 2020 '!AB51</f>
        <v>732000</v>
      </c>
      <c r="AC28" s="621"/>
      <c r="AD28" s="52"/>
    </row>
    <row r="29" spans="1:32" s="5" customFormat="1" ht="55.2">
      <c r="A29" s="3">
        <f t="shared" si="0"/>
        <v>24</v>
      </c>
      <c r="B29" s="706">
        <f>'תקציב הנדסה 2020 '!B52</f>
        <v>1759</v>
      </c>
      <c r="C29" s="87" t="str">
        <f>'תקציב הנדסה 2020 '!C52</f>
        <v xml:space="preserve">תוכנית אסטרטגית להתייעלות עירונית במרכז העיר ובשכונות </v>
      </c>
      <c r="D29" s="4">
        <f>'תקציב הנדסה 2020 '!D52</f>
        <v>940000</v>
      </c>
      <c r="E29" s="4">
        <f>'תקציב הנדסה 2020 '!E52</f>
        <v>940000</v>
      </c>
      <c r="F29" s="4">
        <f>'תקציב הנדסה 2020 '!F52</f>
        <v>0</v>
      </c>
      <c r="G29" s="4">
        <f>'תקציב הנדסה 2020 '!G52</f>
        <v>940000</v>
      </c>
      <c r="H29" s="4">
        <f>'תקציב הנדסה 2020 '!H52</f>
        <v>478660</v>
      </c>
      <c r="I29" s="4">
        <f>'תקציב הנדסה 2020 '!I52</f>
        <v>600</v>
      </c>
      <c r="J29" s="4">
        <f>'תקציב הנדסה 2020 '!J52</f>
        <v>17151.75</v>
      </c>
      <c r="K29" s="4">
        <f>'תקציב הנדסה 2020 '!K52</f>
        <v>17751.75</v>
      </c>
      <c r="L29" s="4">
        <f>'תקציב הנדסה 2020 '!L52</f>
        <v>496411.75</v>
      </c>
      <c r="M29" s="4">
        <f>'תקציב הנדסה 2020 '!M52</f>
        <v>43588.25</v>
      </c>
      <c r="N29" s="4">
        <f>'תקציב הנדסה 2020 '!N52</f>
        <v>0</v>
      </c>
      <c r="O29" s="4">
        <f>'תקציב הנדסה 2020 '!O52</f>
        <v>400000</v>
      </c>
      <c r="P29" s="4">
        <f>'תקציב הנדסה 2020 '!P52</f>
        <v>443588.25</v>
      </c>
      <c r="Q29" s="4">
        <f>'תקציב הנדסה 2020 '!Q52</f>
        <v>0</v>
      </c>
      <c r="R29" s="4">
        <f>'תקציב הנדסה 2020 '!R52</f>
        <v>0</v>
      </c>
      <c r="S29" s="4">
        <f>'תקציב הנדסה 2020 '!S52</f>
        <v>0</v>
      </c>
      <c r="T29" s="4">
        <f>'תקציב הנדסה 2020 '!T52</f>
        <v>400000</v>
      </c>
      <c r="U29" s="4">
        <f>'תקציב הנדסה 2020 '!U52</f>
        <v>-400000</v>
      </c>
      <c r="V29" s="4">
        <f>'תקציב הנדסה 2020 '!V52</f>
        <v>-400000</v>
      </c>
      <c r="W29" s="4">
        <f>'תקציב הנדסה 2020 '!W52</f>
        <v>0</v>
      </c>
      <c r="X29" s="4">
        <f>'תקציב הנדסה 2020 '!X52</f>
        <v>0</v>
      </c>
      <c r="Y29" s="4">
        <f>'תקציב הנדסה 2020 '!Y52</f>
        <v>0</v>
      </c>
      <c r="Z29" s="4">
        <f>'תקציב הנדסה 2020 '!Z52</f>
        <v>0</v>
      </c>
      <c r="AA29" s="87" t="str">
        <f>'תקציב הנדסה 2020 '!AA52</f>
        <v>תוכנית לצורך מידע מה וכמה ניתן לבנות  בהתאם לתשתיות הקיימות במרכז ותוכנית לבחינת הנדרש לאוכלוסיה בשכונות עפ"י תחזיות גידול האוכלוסיה. ראה תב"ר 1756.</v>
      </c>
      <c r="AB29" s="706">
        <f>'תקציב הנדסה 2020 '!AB52</f>
        <v>732000</v>
      </c>
      <c r="AC29" s="618"/>
      <c r="AD29" s="52"/>
    </row>
    <row r="30" spans="1:32" s="5" customFormat="1" ht="41.4">
      <c r="A30" s="3">
        <f t="shared" si="0"/>
        <v>25</v>
      </c>
      <c r="B30" s="706">
        <f>'תקציב הנדסה 2020 '!B53</f>
        <v>1760</v>
      </c>
      <c r="C30" s="87" t="str">
        <f>'תקציב הנדסה 2020 '!C53</f>
        <v xml:space="preserve">תוכנית אסטרטגית באזהת"ש </v>
      </c>
      <c r="D30" s="4">
        <f>'תקציב הנדסה 2020 '!D53</f>
        <v>900000</v>
      </c>
      <c r="E30" s="4">
        <f>'תקציב הנדסה 2020 '!E53</f>
        <v>900000</v>
      </c>
      <c r="F30" s="4">
        <f>'תקציב הנדסה 2020 '!F53</f>
        <v>0</v>
      </c>
      <c r="G30" s="4">
        <f>'תקציב הנדסה 2020 '!G53</f>
        <v>300000</v>
      </c>
      <c r="H30" s="4">
        <f>'תקציב הנדסה 2020 '!H53</f>
        <v>38898</v>
      </c>
      <c r="I30" s="4">
        <f>'תקציב הנדסה 2020 '!I53</f>
        <v>0</v>
      </c>
      <c r="J30" s="4">
        <f>'תקציב הנדסה 2020 '!J53</f>
        <v>1228</v>
      </c>
      <c r="K30" s="4">
        <f>'תקציב הנדסה 2020 '!K53</f>
        <v>1228</v>
      </c>
      <c r="L30" s="4">
        <f>'תקציב הנדסה 2020 '!L53</f>
        <v>40126</v>
      </c>
      <c r="M30" s="4">
        <f>'תקציב הנדסה 2020 '!M53</f>
        <v>109874</v>
      </c>
      <c r="N30" s="4">
        <f>'תקציב הנדסה 2020 '!N53</f>
        <v>150000</v>
      </c>
      <c r="O30" s="4">
        <f>'תקציב הנדסה 2020 '!O53</f>
        <v>600000</v>
      </c>
      <c r="P30" s="4">
        <f>'תקציב הנדסה 2020 '!P53</f>
        <v>259874</v>
      </c>
      <c r="Q30" s="4">
        <f>'תקציב הנדסה 2020 '!Q53</f>
        <v>0</v>
      </c>
      <c r="R30" s="4">
        <f>'תקציב הנדסה 2020 '!R53</f>
        <v>0</v>
      </c>
      <c r="S30" s="4">
        <f>'תקציב הנדסה 2020 '!S53</f>
        <v>0</v>
      </c>
      <c r="T30" s="4">
        <f>'תקציב הנדסה 2020 '!T53</f>
        <v>150000</v>
      </c>
      <c r="U30" s="4">
        <f>'תקציב הנדסה 2020 '!U53</f>
        <v>0</v>
      </c>
      <c r="V30" s="4">
        <f>'תקציב הנדסה 2020 '!V53</f>
        <v>0</v>
      </c>
      <c r="W30" s="4">
        <f>'תקציב הנדסה 2020 '!W53</f>
        <v>0</v>
      </c>
      <c r="X30" s="4">
        <f>'תקציב הנדסה 2020 '!X53</f>
        <v>0</v>
      </c>
      <c r="Y30" s="4">
        <f>'תקציב הנדסה 2020 '!Y53</f>
        <v>0</v>
      </c>
      <c r="Z30" s="4">
        <f>'תקציב הנדסה 2020 '!Z53</f>
        <v>0</v>
      </c>
      <c r="AA30" s="87" t="str">
        <f>'תקציב הנדסה 2020 '!AA53</f>
        <v>בדיקת התכנות והכנת תב"עות של מתחמים מפוצלים בין מס' בעלים באיזהת"ש החשובים מבחינה ציבורית.</v>
      </c>
      <c r="AB30" s="706">
        <f>'תקציב הנדסה 2020 '!AB53</f>
        <v>732000</v>
      </c>
      <c r="AC30" s="619"/>
      <c r="AD30" s="52"/>
    </row>
    <row r="31" spans="1:32" s="6" customFormat="1" ht="27.6">
      <c r="A31" s="3">
        <f t="shared" si="0"/>
        <v>26</v>
      </c>
      <c r="B31" s="706">
        <f>'תקציב הנדסה 2020 '!B54</f>
        <v>1799</v>
      </c>
      <c r="C31" s="87" t="str">
        <f>'תקציב הנדסה 2020 '!C54</f>
        <v>תב"ע קרית השחקים</v>
      </c>
      <c r="D31" s="4">
        <f>'תקציב הנדסה 2020 '!D54</f>
        <v>1000000</v>
      </c>
      <c r="E31" s="4">
        <f>'תקציב הנדסה 2020 '!E54</f>
        <v>1000000</v>
      </c>
      <c r="F31" s="4">
        <f>'תקציב הנדסה 2020 '!F54</f>
        <v>0</v>
      </c>
      <c r="G31" s="4">
        <f>'תקציב הנדסה 2020 '!G54</f>
        <v>350000</v>
      </c>
      <c r="H31" s="4">
        <f>'תקציב הנדסה 2020 '!H54</f>
        <v>28515</v>
      </c>
      <c r="I31" s="4">
        <f>'תקציב הנדסה 2020 '!I54</f>
        <v>0</v>
      </c>
      <c r="J31" s="4">
        <f>'תקציב הנדסה 2020 '!J54</f>
        <v>6407.86</v>
      </c>
      <c r="K31" s="4">
        <f>'תקציב הנדסה 2020 '!K54</f>
        <v>6407.86</v>
      </c>
      <c r="L31" s="4">
        <f>'תקציב הנדסה 2020 '!L54</f>
        <v>34922.86</v>
      </c>
      <c r="M31" s="4">
        <f>'תקציב הנדסה 2020 '!M54</f>
        <v>115077.14000000001</v>
      </c>
      <c r="N31" s="4">
        <f>'תקציב הנדסה 2020 '!N54</f>
        <v>0</v>
      </c>
      <c r="O31" s="4">
        <f>'תקציב הנדסה 2020 '!O54</f>
        <v>850000</v>
      </c>
      <c r="P31" s="4">
        <f>'תקציב הנדסה 2020 '!P54</f>
        <v>315077.14</v>
      </c>
      <c r="Q31" s="4">
        <f>'תקציב הנדסה 2020 '!Q54</f>
        <v>0</v>
      </c>
      <c r="R31" s="4">
        <f>'תקציב הנדסה 2020 '!R54</f>
        <v>0</v>
      </c>
      <c r="S31" s="4">
        <f>'תקציב הנדסה 2020 '!S54</f>
        <v>0</v>
      </c>
      <c r="T31" s="4">
        <f>'תקציב הנדסה 2020 '!T54</f>
        <v>200000</v>
      </c>
      <c r="U31" s="4">
        <f>'תקציב הנדסה 2020 '!U54</f>
        <v>-200000</v>
      </c>
      <c r="V31" s="4">
        <f>'תקציב הנדסה 2020 '!V54</f>
        <v>-200000</v>
      </c>
      <c r="W31" s="4">
        <f>'תקציב הנדסה 2020 '!W54</f>
        <v>0</v>
      </c>
      <c r="X31" s="4">
        <f>'תקציב הנדסה 2020 '!X54</f>
        <v>0</v>
      </c>
      <c r="Y31" s="4">
        <f>'תקציב הנדסה 2020 '!Y54</f>
        <v>0</v>
      </c>
      <c r="Z31" s="4">
        <f>'תקציב הנדסה 2020 '!Z54</f>
        <v>0</v>
      </c>
      <c r="AA31" s="87" t="str">
        <f>'תקציב הנדסה 2020 '!AA54</f>
        <v>תכנון איזור תעשיה ושכונת מגורים במשולש התחבורה. מקודם בותמ"ל .</v>
      </c>
      <c r="AB31" s="706">
        <f>'תקציב הנדסה 2020 '!AB54</f>
        <v>732000</v>
      </c>
      <c r="AC31" s="619"/>
      <c r="AD31" s="52"/>
      <c r="AE31" s="5"/>
      <c r="AF31" s="5"/>
    </row>
    <row r="32" spans="1:32" s="6" customFormat="1" ht="27.6">
      <c r="A32" s="3">
        <f t="shared" si="0"/>
        <v>27</v>
      </c>
      <c r="B32" s="706">
        <f>'תקציב הנדסה 2020 '!B56</f>
        <v>1811</v>
      </c>
      <c r="C32" s="87" t="str">
        <f>'תקציב הנדסה 2020 '!C56</f>
        <v>תכנון דיור בן ציון מיכאלי</v>
      </c>
      <c r="D32" s="4">
        <f>'תקציב הנדסה 2020 '!D56</f>
        <v>250000</v>
      </c>
      <c r="E32" s="4">
        <f>'תקציב הנדסה 2020 '!E56</f>
        <v>250000</v>
      </c>
      <c r="F32" s="4">
        <f>'תקציב הנדסה 2020 '!F56</f>
        <v>0</v>
      </c>
      <c r="G32" s="4">
        <f>'תקציב הנדסה 2020 '!G56</f>
        <v>250000</v>
      </c>
      <c r="H32" s="4">
        <f>'תקציב הנדסה 2020 '!H56</f>
        <v>0</v>
      </c>
      <c r="I32" s="4">
        <f>'תקציב הנדסה 2020 '!I56</f>
        <v>0</v>
      </c>
      <c r="J32" s="4">
        <f>'תקציב הנדסה 2020 '!J56</f>
        <v>0</v>
      </c>
      <c r="K32" s="4">
        <f>'תקציב הנדסה 2020 '!K56</f>
        <v>0</v>
      </c>
      <c r="L32" s="4">
        <f>'תקציב הנדסה 2020 '!L56</f>
        <v>0</v>
      </c>
      <c r="M32" s="4">
        <f>'תקציב הנדסה 2020 '!M56</f>
        <v>250000</v>
      </c>
      <c r="N32" s="4">
        <f>'תקציב הנדסה 2020 '!N56</f>
        <v>0</v>
      </c>
      <c r="O32" s="4">
        <f>'תקציב הנדסה 2020 '!O56</f>
        <v>0</v>
      </c>
      <c r="P32" s="4">
        <f>'תקציב הנדסה 2020 '!P56</f>
        <v>250000</v>
      </c>
      <c r="Q32" s="4">
        <f>'תקציב הנדסה 2020 '!Q56</f>
        <v>0</v>
      </c>
      <c r="R32" s="4">
        <f>'תקציב הנדסה 2020 '!R56</f>
        <v>0</v>
      </c>
      <c r="S32" s="4">
        <f>'תקציב הנדסה 2020 '!S56</f>
        <v>0</v>
      </c>
      <c r="T32" s="4">
        <f>'תקציב הנדסה 2020 '!T56</f>
        <v>0</v>
      </c>
      <c r="U32" s="4">
        <f>'תקציב הנדסה 2020 '!U56</f>
        <v>0</v>
      </c>
      <c r="V32" s="4">
        <f>'תקציב הנדסה 2020 '!V56</f>
        <v>0</v>
      </c>
      <c r="W32" s="4">
        <f>'תקציב הנדסה 2020 '!W56</f>
        <v>0</v>
      </c>
      <c r="X32" s="4">
        <f>'תקציב הנדסה 2020 '!X56</f>
        <v>0</v>
      </c>
      <c r="Y32" s="4">
        <f>'תקציב הנדסה 2020 '!Y56</f>
        <v>0</v>
      </c>
      <c r="Z32" s="4">
        <f>'תקציב הנדסה 2020 '!Z56</f>
        <v>0</v>
      </c>
      <c r="AA32" s="87" t="str">
        <f>'תקציב הנדסה 2020 '!AA56</f>
        <v>העסקת צוות יועצים לתכנון התב"ע  לדיור בר השגה רח' בן ציון.</v>
      </c>
      <c r="AB32" s="706">
        <f>'תקציב הנדסה 2020 '!AB56</f>
        <v>732000</v>
      </c>
      <c r="AC32" s="619"/>
      <c r="AD32" s="52"/>
      <c r="AE32" s="5"/>
      <c r="AF32" s="5"/>
    </row>
    <row r="33" spans="1:32" s="5" customFormat="1" ht="27.6">
      <c r="A33" s="3">
        <f t="shared" si="0"/>
        <v>28</v>
      </c>
      <c r="B33" s="706">
        <f>'תקציב הנדסה 2020 '!B58</f>
        <v>1843</v>
      </c>
      <c r="C33" s="87" t="str">
        <f>'תקציב הנדסה 2020 '!C58</f>
        <v>פינוי בינוי מול התחנה</v>
      </c>
      <c r="D33" s="4">
        <f>'תקציב הנדסה 2020 '!D58</f>
        <v>380000</v>
      </c>
      <c r="E33" s="4">
        <f>'תקציב הנדסה 2020 '!E58</f>
        <v>380000</v>
      </c>
      <c r="F33" s="4">
        <f>'תקציב הנדסה 2020 '!F58</f>
        <v>0</v>
      </c>
      <c r="G33" s="4">
        <f>'תקציב הנדסה 2020 '!G58</f>
        <v>70000</v>
      </c>
      <c r="H33" s="4">
        <f>'תקציב הנדסה 2020 '!H58</f>
        <v>0</v>
      </c>
      <c r="I33" s="4">
        <f>'תקציב הנדסה 2020 '!I58</f>
        <v>1.17</v>
      </c>
      <c r="J33" s="4">
        <f>'תקציב הנדסה 2020 '!J58</f>
        <v>0</v>
      </c>
      <c r="K33" s="4">
        <f>'תקציב הנדסה 2020 '!K58</f>
        <v>1.17</v>
      </c>
      <c r="L33" s="4">
        <f>'תקציב הנדסה 2020 '!L58</f>
        <v>1.17</v>
      </c>
      <c r="M33" s="4">
        <f>'תקציב הנדסה 2020 '!M58</f>
        <v>69998.83</v>
      </c>
      <c r="N33" s="4">
        <f>'תקציב הנדסה 2020 '!N58</f>
        <v>0</v>
      </c>
      <c r="O33" s="4">
        <f>'תקציב הנדסה 2020 '!O58</f>
        <v>310000</v>
      </c>
      <c r="P33" s="4">
        <f>'תקציב הנדסה 2020 '!P58</f>
        <v>69998.83</v>
      </c>
      <c r="Q33" s="4">
        <f>'תקציב הנדסה 2020 '!Q58</f>
        <v>0</v>
      </c>
      <c r="R33" s="4">
        <f>'תקציב הנדסה 2020 '!R58</f>
        <v>0</v>
      </c>
      <c r="S33" s="4">
        <f>'תקציב הנדסה 2020 '!S58</f>
        <v>0</v>
      </c>
      <c r="T33" s="4">
        <f>'תקציב הנדסה 2020 '!T58</f>
        <v>0</v>
      </c>
      <c r="U33" s="4">
        <f>'תקציב הנדסה 2020 '!U58</f>
        <v>0</v>
      </c>
      <c r="V33" s="4">
        <f>'תקציב הנדסה 2020 '!V58</f>
        <v>0</v>
      </c>
      <c r="W33" s="4">
        <f>'תקציב הנדסה 2020 '!W58</f>
        <v>0</v>
      </c>
      <c r="X33" s="4">
        <f>'תקציב הנדסה 2020 '!X58</f>
        <v>0</v>
      </c>
      <c r="Y33" s="4">
        <f>'תקציב הנדסה 2020 '!Y58</f>
        <v>0</v>
      </c>
      <c r="Z33" s="4">
        <f>'תקציב הנדסה 2020 '!Z58</f>
        <v>0</v>
      </c>
      <c r="AA33" s="87" t="str">
        <f>'תקציב הנדסה 2020 '!AA58</f>
        <v>הליך התנעה לתכנון מתחם לפינוי בינוי מול התחנה.</v>
      </c>
      <c r="AB33" s="706">
        <f>'תקציב הנדסה 2020 '!AB58</f>
        <v>732000</v>
      </c>
      <c r="AC33" s="619"/>
      <c r="AD33" s="52"/>
    </row>
    <row r="34" spans="1:32" s="6" customFormat="1" ht="27.6">
      <c r="A34" s="3">
        <f t="shared" si="0"/>
        <v>29</v>
      </c>
      <c r="B34" s="706">
        <f>'תקציב הנדסה 2020 '!B59</f>
        <v>1844</v>
      </c>
      <c r="C34" s="87" t="str">
        <f>'תקציב הנדסה 2020 '!C59</f>
        <v>פינוי בינוי סוקולוב רח' ירושלים</v>
      </c>
      <c r="D34" s="4">
        <f>'תקציב הנדסה 2020 '!D59</f>
        <v>2078338</v>
      </c>
      <c r="E34" s="4">
        <f>'תקציב הנדסה 2020 '!E59</f>
        <v>2078338</v>
      </c>
      <c r="F34" s="4">
        <f>'תקציב הנדסה 2020 '!F59</f>
        <v>0</v>
      </c>
      <c r="G34" s="4">
        <f>'תקציב הנדסה 2020 '!G59</f>
        <v>120000</v>
      </c>
      <c r="H34" s="4">
        <f>'תקציב הנדסה 2020 '!H59</f>
        <v>62477.48</v>
      </c>
      <c r="I34" s="4">
        <f>'תקציב הנדסה 2020 '!I59</f>
        <v>0</v>
      </c>
      <c r="J34" s="4">
        <f>'תקציב הנדסה 2020 '!J59</f>
        <v>0</v>
      </c>
      <c r="K34" s="4">
        <f>'תקציב הנדסה 2020 '!K59</f>
        <v>0</v>
      </c>
      <c r="L34" s="4">
        <f>'תקציב הנדסה 2020 '!L59</f>
        <v>62477.48</v>
      </c>
      <c r="M34" s="4">
        <f>'תקציב הנדסה 2020 '!M59</f>
        <v>57522.52</v>
      </c>
      <c r="N34" s="4">
        <f>'תקציב הנדסה 2020 '!N59</f>
        <v>1958338</v>
      </c>
      <c r="O34" s="4">
        <f>'תקציב הנדסה 2020 '!O59</f>
        <v>0</v>
      </c>
      <c r="P34" s="4">
        <f>'תקציב הנדסה 2020 '!P59</f>
        <v>57522.52</v>
      </c>
      <c r="Q34" s="4">
        <f>'תקציב הנדסה 2020 '!Q59</f>
        <v>0</v>
      </c>
      <c r="R34" s="4">
        <f>'תקציב הנדסה 2020 '!R59</f>
        <v>0</v>
      </c>
      <c r="S34" s="4">
        <f>'תקציב הנדסה 2020 '!S59</f>
        <v>0</v>
      </c>
      <c r="T34" s="4">
        <f>'תקציב הנדסה 2020 '!T59</f>
        <v>0</v>
      </c>
      <c r="U34" s="4">
        <f>'תקציב הנדסה 2020 '!U59</f>
        <v>1958338</v>
      </c>
      <c r="V34" s="4">
        <f>'תקציב הנדסה 2020 '!V59</f>
        <v>703894</v>
      </c>
      <c r="W34" s="4">
        <f>'תקציב הנדסה 2020 '!W59</f>
        <v>0</v>
      </c>
      <c r="X34" s="4">
        <f>'תקציב הנדסה 2020 '!X59</f>
        <v>0</v>
      </c>
      <c r="Y34" s="4">
        <f>'תקציב הנדסה 2020 '!Y59</f>
        <v>0</v>
      </c>
      <c r="Z34" s="4">
        <f>'תקציב הנדסה 2020 '!Z59</f>
        <v>1254444</v>
      </c>
      <c r="AA34" s="87" t="str">
        <f>'תקציב הנדסה 2020 '!AA59</f>
        <v xml:space="preserve">פינוי בינוי סוקולוב רח' ירושלים . מימון מ. הבינוי. </v>
      </c>
      <c r="AB34" s="706">
        <f>'תקציב הנדסה 2020 '!AB59</f>
        <v>732000</v>
      </c>
      <c r="AC34" s="618"/>
      <c r="AD34" s="52"/>
      <c r="AE34" s="5"/>
      <c r="AF34" s="5"/>
    </row>
    <row r="35" spans="1:32" s="5" customFormat="1" ht="55.2">
      <c r="A35" s="3">
        <f t="shared" si="0"/>
        <v>30</v>
      </c>
      <c r="B35" s="706">
        <f>'תקציב הנדסה 2020 '!B61</f>
        <v>1937</v>
      </c>
      <c r="C35" s="87" t="str">
        <f>'תקציב הנדסה 2020 '!C61</f>
        <v>תב"ע משולש המנהרה הר' 2350</v>
      </c>
      <c r="D35" s="4">
        <f>'תקציב הנדסה 2020 '!D61</f>
        <v>1050000</v>
      </c>
      <c r="E35" s="4">
        <f>'תקציב הנדסה 2020 '!E61</f>
        <v>750000</v>
      </c>
      <c r="F35" s="4">
        <f>'תקציב הנדסה 2020 '!F61</f>
        <v>300000</v>
      </c>
      <c r="G35" s="4">
        <f>'תקציב הנדסה 2020 '!G61</f>
        <v>750000</v>
      </c>
      <c r="H35" s="4">
        <f>'תקציב הנדסה 2020 '!H61</f>
        <v>56082</v>
      </c>
      <c r="I35" s="4">
        <f>'תקציב הנדסה 2020 '!I61</f>
        <v>244936</v>
      </c>
      <c r="J35" s="4">
        <f>'תקציב הנדסה 2020 '!J61</f>
        <v>40357.54</v>
      </c>
      <c r="K35" s="4">
        <f>'תקציב הנדסה 2020 '!K61</f>
        <v>285293.53999999998</v>
      </c>
      <c r="L35" s="4">
        <f>'תקציב הנדסה 2020 '!L61</f>
        <v>341375.54</v>
      </c>
      <c r="M35" s="4">
        <f>'תקציב הנדסה 2020 '!M61</f>
        <v>408624.46</v>
      </c>
      <c r="N35" s="4">
        <f>'תקציב הנדסה 2020 '!N61</f>
        <v>300000</v>
      </c>
      <c r="O35" s="4">
        <f>'תקציב הנדסה 2020 '!O61</f>
        <v>0</v>
      </c>
      <c r="P35" s="4">
        <f>'תקציב הנדסה 2020 '!P61</f>
        <v>408624.46</v>
      </c>
      <c r="Q35" s="4">
        <f>'תקציב הנדסה 2020 '!Q61</f>
        <v>0</v>
      </c>
      <c r="R35" s="4">
        <f>'תקציב הנדסה 2020 '!R61</f>
        <v>0</v>
      </c>
      <c r="S35" s="4">
        <f>'תקציב הנדסה 2020 '!S61</f>
        <v>0</v>
      </c>
      <c r="T35" s="4">
        <f>'תקציב הנדסה 2020 '!T61</f>
        <v>0</v>
      </c>
      <c r="U35" s="4">
        <f>'תקציב הנדסה 2020 '!U61</f>
        <v>300000</v>
      </c>
      <c r="V35" s="4">
        <f>'תקציב הנדסה 2020 '!V61</f>
        <v>300000</v>
      </c>
      <c r="W35" s="4">
        <f>'תקציב הנדסה 2020 '!W61</f>
        <v>0</v>
      </c>
      <c r="X35" s="4">
        <f>'תקציב הנדסה 2020 '!X61</f>
        <v>0</v>
      </c>
      <c r="Y35" s="4">
        <f>'תקציב הנדסה 2020 '!Y61</f>
        <v>0</v>
      </c>
      <c r="Z35" s="4">
        <f>'תקציב הנדסה 2020 '!Z61</f>
        <v>0</v>
      </c>
      <c r="AA35" s="87" t="str">
        <f>'תקציב הנדסה 2020 '!AA61</f>
        <v>תוכנית מתארית ומפורטת חלקית לאורך רחוב המנהרה ועד פארק הואדי. התוכנית כוללת מתחם לשימור. יש עתירה לבימ"ש של בעלי קרקע פרטיים.</v>
      </c>
      <c r="AB35" s="706">
        <f>'תקציב הנדסה 2020 '!AB61</f>
        <v>732000</v>
      </c>
      <c r="AC35" s="620"/>
      <c r="AD35" s="52"/>
    </row>
    <row r="36" spans="1:32" s="5" customFormat="1" ht="41.4">
      <c r="A36" s="3">
        <f t="shared" si="0"/>
        <v>31</v>
      </c>
      <c r="B36" s="706">
        <f>'תקציב הנדסה 2020 '!B63</f>
        <v>1950</v>
      </c>
      <c r="C36" s="87" t="str">
        <f>'תקציב הנדסה 2020 '!C63</f>
        <v>תכנון שינוי גבולות העיר</v>
      </c>
      <c r="D36" s="4">
        <f>'תקציב הנדסה 2020 '!D63</f>
        <v>500000</v>
      </c>
      <c r="E36" s="4">
        <f>'תקציב הנדסה 2020 '!E63</f>
        <v>500000</v>
      </c>
      <c r="F36" s="4">
        <f>'תקציב הנדסה 2020 '!F63</f>
        <v>0</v>
      </c>
      <c r="G36" s="4">
        <f>'תקציב הנדסה 2020 '!G63</f>
        <v>100000</v>
      </c>
      <c r="H36" s="4">
        <f>'תקציב הנדסה 2020 '!H63</f>
        <v>0</v>
      </c>
      <c r="I36" s="4">
        <f>'תקציב הנדסה 2020 '!I63</f>
        <v>0</v>
      </c>
      <c r="J36" s="4">
        <f>'תקציב הנדסה 2020 '!J63</f>
        <v>0</v>
      </c>
      <c r="K36" s="4">
        <f>'תקציב הנדסה 2020 '!K63</f>
        <v>0</v>
      </c>
      <c r="L36" s="4">
        <f>'תקציב הנדסה 2020 '!L63</f>
        <v>0</v>
      </c>
      <c r="M36" s="4">
        <f>'תקציב הנדסה 2020 '!M63</f>
        <v>100000</v>
      </c>
      <c r="N36" s="4">
        <f>'תקציב הנדסה 2020 '!N63</f>
        <v>0</v>
      </c>
      <c r="O36" s="4">
        <f>'תקציב הנדסה 2020 '!O63</f>
        <v>400000</v>
      </c>
      <c r="P36" s="4">
        <f>'תקציב הנדסה 2020 '!P63</f>
        <v>100000</v>
      </c>
      <c r="Q36" s="4">
        <f>'תקציב הנדסה 2020 '!Q63</f>
        <v>0</v>
      </c>
      <c r="R36" s="4">
        <f>'תקציב הנדסה 2020 '!R63</f>
        <v>0</v>
      </c>
      <c r="S36" s="4">
        <f>'תקציב הנדסה 2020 '!S63</f>
        <v>0</v>
      </c>
      <c r="T36" s="4">
        <f>'תקציב הנדסה 2020 '!T63</f>
        <v>0</v>
      </c>
      <c r="U36" s="4">
        <f>'תקציב הנדסה 2020 '!U63</f>
        <v>0</v>
      </c>
      <c r="V36" s="4">
        <f>'תקציב הנדסה 2020 '!V63</f>
        <v>0</v>
      </c>
      <c r="W36" s="4">
        <f>'תקציב הנדסה 2020 '!W63</f>
        <v>0</v>
      </c>
      <c r="X36" s="4">
        <f>'תקציב הנדסה 2020 '!X63</f>
        <v>0</v>
      </c>
      <c r="Y36" s="4">
        <f>'תקציב הנדסה 2020 '!Y63</f>
        <v>0</v>
      </c>
      <c r="Z36" s="4">
        <f>'תקציב הנדסה 2020 '!Z63</f>
        <v>0</v>
      </c>
      <c r="AA36" s="87" t="str">
        <f>'תקציב הנדסה 2020 '!AA63</f>
        <v>עלויות לצורך מתן מענה לדיון במשרד הפנים עקב אישורה של תוכנית תמ"ל מס' 1068.</v>
      </c>
      <c r="AB36" s="706">
        <f>'תקציב הנדסה 2020 '!AB63</f>
        <v>732000</v>
      </c>
      <c r="AC36" s="621"/>
      <c r="AD36" s="52"/>
      <c r="AE36" s="6"/>
      <c r="AF36" s="6"/>
    </row>
    <row r="37" spans="1:32" s="5" customFormat="1">
      <c r="A37" s="3">
        <f t="shared" si="0"/>
        <v>32</v>
      </c>
      <c r="B37" s="706">
        <f>'תקציב הנדסה 2020 '!B64</f>
        <v>1951</v>
      </c>
      <c r="C37" s="87" t="str">
        <f>'תקציב הנדסה 2020 '!C64</f>
        <v>מתחם דן אכדייה ליווי תכנוני</v>
      </c>
      <c r="D37" s="4">
        <f>'תקציב הנדסה 2020 '!D64</f>
        <v>300000</v>
      </c>
      <c r="E37" s="4">
        <f>'תקציב הנדסה 2020 '!E64</f>
        <v>300000</v>
      </c>
      <c r="F37" s="4">
        <f>'תקציב הנדסה 2020 '!F64</f>
        <v>0</v>
      </c>
      <c r="G37" s="4">
        <f>'תקציב הנדסה 2020 '!G64</f>
        <v>160000</v>
      </c>
      <c r="H37" s="4">
        <f>'תקציב הנדסה 2020 '!H64</f>
        <v>145805</v>
      </c>
      <c r="I37" s="4">
        <f>'תקציב הנדסה 2020 '!I64</f>
        <v>12870</v>
      </c>
      <c r="J37" s="4">
        <f>'תקציב הנדסה 2020 '!J64</f>
        <v>0</v>
      </c>
      <c r="K37" s="4">
        <f>'תקציב הנדסה 2020 '!K64</f>
        <v>12870</v>
      </c>
      <c r="L37" s="4">
        <f>'תקציב הנדסה 2020 '!L64</f>
        <v>158675</v>
      </c>
      <c r="M37" s="4">
        <f>'תקציב הנדסה 2020 '!M64</f>
        <v>1325</v>
      </c>
      <c r="N37" s="4">
        <f>'תקציב הנדסה 2020 '!N64</f>
        <v>0</v>
      </c>
      <c r="O37" s="4">
        <f>'תקציב הנדסה 2020 '!O64</f>
        <v>140000</v>
      </c>
      <c r="P37" s="4">
        <f>'תקציב הנדסה 2020 '!P64</f>
        <v>1325</v>
      </c>
      <c r="Q37" s="4">
        <f>'תקציב הנדסה 2020 '!Q64</f>
        <v>0</v>
      </c>
      <c r="R37" s="4">
        <f>'תקציב הנדסה 2020 '!R64</f>
        <v>0</v>
      </c>
      <c r="S37" s="4">
        <f>'תקציב הנדסה 2020 '!S64</f>
        <v>0</v>
      </c>
      <c r="T37" s="4">
        <f>'תקציב הנדסה 2020 '!T64</f>
        <v>0</v>
      </c>
      <c r="U37" s="4">
        <f>'תקציב הנדסה 2020 '!U64</f>
        <v>0</v>
      </c>
      <c r="V37" s="4">
        <f>'תקציב הנדסה 2020 '!V64</f>
        <v>0</v>
      </c>
      <c r="W37" s="4">
        <f>'תקציב הנדסה 2020 '!W64</f>
        <v>0</v>
      </c>
      <c r="X37" s="4">
        <f>'תקציב הנדסה 2020 '!X64</f>
        <v>0</v>
      </c>
      <c r="Y37" s="4">
        <f>'תקציב הנדסה 2020 '!Y64</f>
        <v>0</v>
      </c>
      <c r="Z37" s="4">
        <f>'תקציב הנדסה 2020 '!Z64</f>
        <v>0</v>
      </c>
      <c r="AA37" s="87">
        <f>'תקציב הנדסה 2020 '!AA64</f>
        <v>0</v>
      </c>
      <c r="AB37" s="706">
        <f>'תקציב הנדסה 2020 '!AB64</f>
        <v>732000</v>
      </c>
      <c r="AC37" s="621"/>
      <c r="AD37" s="52"/>
      <c r="AE37" s="6"/>
      <c r="AF37" s="6"/>
    </row>
    <row r="38" spans="1:32" s="5" customFormat="1" ht="27.6">
      <c r="A38" s="3">
        <f t="shared" si="0"/>
        <v>33</v>
      </c>
      <c r="B38" s="706">
        <f>'תקציב הנדסה 2020 '!B68</f>
        <v>2014</v>
      </c>
      <c r="C38" s="87" t="str">
        <f>'תקציב הנדסה 2020 '!C68</f>
        <v>תכנון אסטרטגי ציר מעפילים</v>
      </c>
      <c r="D38" s="4">
        <f>'תקציב הנדסה 2020 '!D68</f>
        <v>750000</v>
      </c>
      <c r="E38" s="4">
        <f>'תקציב הנדסה 2020 '!E68</f>
        <v>750000</v>
      </c>
      <c r="F38" s="4">
        <f>'תקציב הנדסה 2020 '!F68</f>
        <v>0</v>
      </c>
      <c r="G38" s="4">
        <f>'תקציב הנדסה 2020 '!G68</f>
        <v>100000</v>
      </c>
      <c r="H38" s="4">
        <f>'תקציב הנדסה 2020 '!H68</f>
        <v>0</v>
      </c>
      <c r="I38" s="4">
        <f>'תקציב הנדסה 2020 '!I68</f>
        <v>0</v>
      </c>
      <c r="J38" s="4">
        <f>'תקציב הנדסה 2020 '!J68</f>
        <v>0</v>
      </c>
      <c r="K38" s="4">
        <f>'תקציב הנדסה 2020 '!K68</f>
        <v>0</v>
      </c>
      <c r="L38" s="4">
        <f>'תקציב הנדסה 2020 '!L68</f>
        <v>0</v>
      </c>
      <c r="M38" s="4">
        <f>'תקציב הנדסה 2020 '!M68</f>
        <v>100000</v>
      </c>
      <c r="N38" s="4">
        <f>'תקציב הנדסה 2020 '!N68</f>
        <v>0</v>
      </c>
      <c r="O38" s="4">
        <f>'תקציב הנדסה 2020 '!O68</f>
        <v>650000</v>
      </c>
      <c r="P38" s="4">
        <f>'תקציב הנדסה 2020 '!P68</f>
        <v>100000</v>
      </c>
      <c r="Q38" s="4">
        <f>'תקציב הנדסה 2020 '!Q68</f>
        <v>0</v>
      </c>
      <c r="R38" s="4">
        <f>'תקציב הנדסה 2020 '!R68</f>
        <v>0</v>
      </c>
      <c r="S38" s="4">
        <f>'תקציב הנדסה 2020 '!S68</f>
        <v>0</v>
      </c>
      <c r="T38" s="4">
        <f>'תקציב הנדסה 2020 '!T68</f>
        <v>0</v>
      </c>
      <c r="U38" s="4">
        <f>'תקציב הנדסה 2020 '!U68</f>
        <v>0</v>
      </c>
      <c r="V38" s="4">
        <f>'תקציב הנדסה 2020 '!V68</f>
        <v>0</v>
      </c>
      <c r="W38" s="4">
        <f>'תקציב הנדסה 2020 '!W68</f>
        <v>0</v>
      </c>
      <c r="X38" s="4">
        <f>'תקציב הנדסה 2020 '!X68</f>
        <v>0</v>
      </c>
      <c r="Y38" s="4">
        <f>'תקציב הנדסה 2020 '!Y68</f>
        <v>0</v>
      </c>
      <c r="Z38" s="4">
        <f>'תקציב הנדסה 2020 '!Z68</f>
        <v>0</v>
      </c>
      <c r="AA38" s="87" t="str">
        <f>'תקציב הנדסה 2020 '!AA68</f>
        <v xml:space="preserve">תכנון ציר המעפילים הכניסה הצפונית לעיר בשיתוף מועצה מקומית כפר שמריהו. </v>
      </c>
      <c r="AB38" s="706">
        <f>'תקציב הנדסה 2020 '!AB68</f>
        <v>732000</v>
      </c>
      <c r="AC38" s="620"/>
      <c r="AD38" s="52"/>
    </row>
    <row r="39" spans="1:32" s="6" customFormat="1" ht="27.6">
      <c r="A39" s="3">
        <f t="shared" si="0"/>
        <v>34</v>
      </c>
      <c r="B39" s="706">
        <f>'תקציב הנדסה 2020 '!B72</f>
        <v>2112</v>
      </c>
      <c r="C39" s="87" t="str">
        <f>'תקציב הנדסה 2020 '!C72</f>
        <v>סקר חריגות בניה ברחבי העיר</v>
      </c>
      <c r="D39" s="4">
        <f>'תקציב הנדסה 2020 '!D72</f>
        <v>7650000</v>
      </c>
      <c r="E39" s="4">
        <f>'תקציב הנדסה 2020 '!E72</f>
        <v>7650000</v>
      </c>
      <c r="F39" s="4">
        <f>'תקציב הנדסה 2020 '!F72</f>
        <v>0</v>
      </c>
      <c r="G39" s="4">
        <f>'תקציב הנדסה 2020 '!G72</f>
        <v>0</v>
      </c>
      <c r="H39" s="4">
        <f>'תקציב הנדסה 2020 '!H72</f>
        <v>0</v>
      </c>
      <c r="I39" s="4">
        <f>'תקציב הנדסה 2020 '!I72</f>
        <v>0</v>
      </c>
      <c r="J39" s="4">
        <f>'תקציב הנדסה 2020 '!J72</f>
        <v>0</v>
      </c>
      <c r="K39" s="4">
        <f>'תקציב הנדסה 2020 '!K72</f>
        <v>0</v>
      </c>
      <c r="L39" s="4">
        <f>'תקציב הנדסה 2020 '!L72</f>
        <v>0</v>
      </c>
      <c r="M39" s="4">
        <f>'תקציב הנדסה 2020 '!M72</f>
        <v>0</v>
      </c>
      <c r="N39" s="4">
        <f>'תקציב הנדסה 2020 '!N72</f>
        <v>2160000</v>
      </c>
      <c r="O39" s="4">
        <f>'תקציב הנדסה 2020 '!O72</f>
        <v>5490000</v>
      </c>
      <c r="P39" s="4">
        <f>'תקציב הנדסה 2020 '!P72</f>
        <v>0</v>
      </c>
      <c r="Q39" s="4">
        <f>'תקציב הנדסה 2020 '!Q72</f>
        <v>0</v>
      </c>
      <c r="R39" s="4">
        <f>'תקציב הנדסה 2020 '!R72</f>
        <v>0</v>
      </c>
      <c r="S39" s="4">
        <f>'תקציב הנדסה 2020 '!S72</f>
        <v>0</v>
      </c>
      <c r="T39" s="4">
        <f>'תקציב הנדסה 2020 '!T72</f>
        <v>0</v>
      </c>
      <c r="U39" s="4">
        <f>'תקציב הנדסה 2020 '!U72</f>
        <v>2160000</v>
      </c>
      <c r="V39" s="4">
        <f>'תקציב הנדסה 2020 '!V72</f>
        <v>2160000</v>
      </c>
      <c r="W39" s="4">
        <f>'תקציב הנדסה 2020 '!W72</f>
        <v>0</v>
      </c>
      <c r="X39" s="4">
        <f>'תקציב הנדסה 2020 '!X72</f>
        <v>0</v>
      </c>
      <c r="Y39" s="4">
        <f>'תקציב הנדסה 2020 '!Y72</f>
        <v>0</v>
      </c>
      <c r="Z39" s="4">
        <f>'תקציב הנדסה 2020 '!Z72</f>
        <v>0</v>
      </c>
      <c r="AA39" s="87" t="str">
        <f>'תקציב הנדסה 2020 '!AA72</f>
        <v>נדרש ביצוע סקר חריגות בנייה עפ"י תיקון לחוק הרשויות.</v>
      </c>
      <c r="AB39" s="706">
        <f>'תקציב הנדסה 2020 '!AB72</f>
        <v>732000</v>
      </c>
      <c r="AC39" s="619"/>
      <c r="AD39" s="52"/>
      <c r="AE39" s="5"/>
      <c r="AF39" s="5"/>
    </row>
    <row r="40" spans="1:32" s="5" customFormat="1" ht="41.4">
      <c r="A40" s="3">
        <f t="shared" si="0"/>
        <v>35</v>
      </c>
      <c r="B40" s="706">
        <f>'תקציב הנדסה 2020 '!B73</f>
        <v>2113</v>
      </c>
      <c r="C40" s="87" t="str">
        <f>'תקציב הנדסה 2020 '!C73</f>
        <v>ביצוע הריסות עפ"י צווים</v>
      </c>
      <c r="D40" s="4">
        <f>'תקציב הנדסה 2020 '!D73</f>
        <v>2550000</v>
      </c>
      <c r="E40" s="4">
        <f>'תקציב הנדסה 2020 '!E73</f>
        <v>2550000</v>
      </c>
      <c r="F40" s="4">
        <f>'תקציב הנדסה 2020 '!F73</f>
        <v>0</v>
      </c>
      <c r="G40" s="4">
        <f>'תקציב הנדסה 2020 '!G73</f>
        <v>0</v>
      </c>
      <c r="H40" s="4">
        <f>'תקציב הנדסה 2020 '!H73</f>
        <v>0</v>
      </c>
      <c r="I40" s="4">
        <f>'תקציב הנדסה 2020 '!I73</f>
        <v>0</v>
      </c>
      <c r="J40" s="4">
        <f>'תקציב הנדסה 2020 '!J73</f>
        <v>0</v>
      </c>
      <c r="K40" s="4">
        <f>'תקציב הנדסה 2020 '!K73</f>
        <v>0</v>
      </c>
      <c r="L40" s="4">
        <f>'תקציב הנדסה 2020 '!L73</f>
        <v>0</v>
      </c>
      <c r="M40" s="4">
        <f>'תקציב הנדסה 2020 '!M73</f>
        <v>0</v>
      </c>
      <c r="N40" s="4">
        <f>'תקציב הנדסה 2020 '!N73</f>
        <v>200000</v>
      </c>
      <c r="O40" s="4">
        <f>'תקציב הנדסה 2020 '!O73</f>
        <v>2350000</v>
      </c>
      <c r="P40" s="4">
        <f>'תקציב הנדסה 2020 '!P73</f>
        <v>0</v>
      </c>
      <c r="Q40" s="4">
        <f>'תקציב הנדסה 2020 '!Q73</f>
        <v>0</v>
      </c>
      <c r="R40" s="4">
        <f>'תקציב הנדסה 2020 '!R73</f>
        <v>0</v>
      </c>
      <c r="S40" s="4">
        <f>'תקציב הנדסה 2020 '!S73</f>
        <v>0</v>
      </c>
      <c r="T40" s="4">
        <f>'תקציב הנדסה 2020 '!T73</f>
        <v>0</v>
      </c>
      <c r="U40" s="4">
        <f>'תקציב הנדסה 2020 '!U73</f>
        <v>200000</v>
      </c>
      <c r="V40" s="4">
        <f>'תקציב הנדסה 2020 '!V73</f>
        <v>200000</v>
      </c>
      <c r="W40" s="4">
        <f>'תקציב הנדסה 2020 '!W73</f>
        <v>0</v>
      </c>
      <c r="X40" s="4">
        <f>'תקציב הנדסה 2020 '!X73</f>
        <v>0</v>
      </c>
      <c r="Y40" s="4">
        <f>'תקציב הנדסה 2020 '!Y73</f>
        <v>0</v>
      </c>
      <c r="Z40" s="4">
        <f>'תקציב הנדסה 2020 '!Z73</f>
        <v>0</v>
      </c>
      <c r="AA40" s="87" t="str">
        <f>'תקציב הנדסה 2020 '!AA73</f>
        <v>בהמשך לסקר חריגות בניה, נדרש לבצע צווים שיפוטיים ולבצע הריסות במקרים בהם לא בוצעו.</v>
      </c>
      <c r="AB40" s="706">
        <f>'תקציב הנדסה 2020 '!AB73</f>
        <v>732000</v>
      </c>
      <c r="AC40" s="618"/>
      <c r="AD40" s="52"/>
    </row>
    <row r="41" spans="1:32" s="6" customFormat="1" ht="55.2">
      <c r="A41" s="3">
        <f t="shared" si="0"/>
        <v>36</v>
      </c>
      <c r="B41" s="706">
        <f>'תקציב הנדסה 2020 '!B74</f>
        <v>2114</v>
      </c>
      <c r="C41" s="87" t="str">
        <f>'תקציב הנדסה 2020 '!C74</f>
        <v>תב"ע תוכנית שיקום המסילה המתפנה הר '2435</v>
      </c>
      <c r="D41" s="4">
        <f>'תקציב הנדסה 2020 '!D74</f>
        <v>1450000</v>
      </c>
      <c r="E41" s="4">
        <f>'תקציב הנדסה 2020 '!E74</f>
        <v>1450000</v>
      </c>
      <c r="F41" s="4">
        <f>'תקציב הנדסה 2020 '!F74</f>
        <v>0</v>
      </c>
      <c r="G41" s="4">
        <f>'תקציב הנדסה 2020 '!G74</f>
        <v>700000</v>
      </c>
      <c r="H41" s="4">
        <f>'תקציב הנדסה 2020 '!H74</f>
        <v>0</v>
      </c>
      <c r="I41" s="4">
        <f>'תקציב הנדסה 2020 '!I74</f>
        <v>0</v>
      </c>
      <c r="J41" s="4">
        <f>'תקציב הנדסה 2020 '!J74</f>
        <v>0</v>
      </c>
      <c r="K41" s="4">
        <f>'תקציב הנדסה 2020 '!K74</f>
        <v>0</v>
      </c>
      <c r="L41" s="4">
        <f>'תקציב הנדסה 2020 '!L74</f>
        <v>0</v>
      </c>
      <c r="M41" s="4">
        <f>'תקציב הנדסה 2020 '!M74</f>
        <v>700000</v>
      </c>
      <c r="N41" s="4">
        <f>'תקציב הנדסה 2020 '!N74</f>
        <v>500000</v>
      </c>
      <c r="O41" s="4">
        <f>'תקציב הנדסה 2020 '!O74</f>
        <v>250000</v>
      </c>
      <c r="P41" s="4">
        <f>'תקציב הנדסה 2020 '!P74</f>
        <v>700000</v>
      </c>
      <c r="Q41" s="4">
        <f>'תקציב הנדסה 2020 '!Q74</f>
        <v>0</v>
      </c>
      <c r="R41" s="4">
        <f>'תקציב הנדסה 2020 '!R74</f>
        <v>0</v>
      </c>
      <c r="S41" s="4">
        <f>'תקציב הנדסה 2020 '!S74</f>
        <v>0</v>
      </c>
      <c r="T41" s="4">
        <f>'תקציב הנדסה 2020 '!T74</f>
        <v>0</v>
      </c>
      <c r="U41" s="4">
        <f>'תקציב הנדסה 2020 '!U74</f>
        <v>500000</v>
      </c>
      <c r="V41" s="4">
        <f>'תקציב הנדסה 2020 '!V74</f>
        <v>500000</v>
      </c>
      <c r="W41" s="4">
        <f>'תקציב הנדסה 2020 '!W74</f>
        <v>0</v>
      </c>
      <c r="X41" s="4">
        <f>'תקציב הנדסה 2020 '!X74</f>
        <v>0</v>
      </c>
      <c r="Y41" s="4">
        <f>'תקציב הנדסה 2020 '!Y74</f>
        <v>0</v>
      </c>
      <c r="Z41" s="4">
        <f>'תקציב הנדסה 2020 '!Z74</f>
        <v>0</v>
      </c>
      <c r="AA41" s="87" t="str">
        <f>'תקציב הנדסה 2020 '!AA74</f>
        <v>הכנת תב"ע בשיתוף מועצת כפר שמריהו לתכנון קישוריות שביל אופניים ופארק בתחום המסילה המתפנה ואפשרות לבחינת חיבור תחבורתי נוסף להרצליה ב'.</v>
      </c>
      <c r="AB41" s="706">
        <f>'תקציב הנדסה 2020 '!AB74</f>
        <v>732000</v>
      </c>
      <c r="AC41" s="618"/>
      <c r="AD41" s="52"/>
      <c r="AE41" s="5"/>
      <c r="AF41" s="5"/>
    </row>
    <row r="42" spans="1:32" s="5" customFormat="1" ht="41.4">
      <c r="A42" s="3">
        <f t="shared" si="0"/>
        <v>37</v>
      </c>
      <c r="B42" s="706">
        <f>'תקציב הנדסה 2020 '!B75</f>
        <v>2116</v>
      </c>
      <c r="C42" s="87" t="str">
        <f>'תקציב הנדסה 2020 '!C75</f>
        <v>תב"ע מעברת רשף - מערב נוף ים</v>
      </c>
      <c r="D42" s="4">
        <f>'תקציב הנדסה 2020 '!D75</f>
        <v>1700000</v>
      </c>
      <c r="E42" s="4">
        <f>'תקציב הנדסה 2020 '!E75</f>
        <v>1700000</v>
      </c>
      <c r="F42" s="4">
        <f>'תקציב הנדסה 2020 '!F75</f>
        <v>0</v>
      </c>
      <c r="G42" s="4">
        <f>'תקציב הנדסה 2020 '!G75</f>
        <v>300000</v>
      </c>
      <c r="H42" s="4">
        <f>'תקציב הנדסה 2020 '!H75</f>
        <v>0</v>
      </c>
      <c r="I42" s="4">
        <f>'תקציב הנדסה 2020 '!I75</f>
        <v>0</v>
      </c>
      <c r="J42" s="4">
        <f>'תקציב הנדסה 2020 '!J75</f>
        <v>0</v>
      </c>
      <c r="K42" s="4">
        <f>'תקציב הנדסה 2020 '!K75</f>
        <v>0</v>
      </c>
      <c r="L42" s="4">
        <f>'תקציב הנדסה 2020 '!L75</f>
        <v>0</v>
      </c>
      <c r="M42" s="4">
        <f>'תקציב הנדסה 2020 '!M75</f>
        <v>300000</v>
      </c>
      <c r="N42" s="4">
        <f>'תקציב הנדסה 2020 '!N75</f>
        <v>0</v>
      </c>
      <c r="O42" s="4">
        <f>'תקציב הנדסה 2020 '!O75</f>
        <v>1400000</v>
      </c>
      <c r="P42" s="4">
        <f>'תקציב הנדסה 2020 '!P75</f>
        <v>300000</v>
      </c>
      <c r="Q42" s="4">
        <f>'תקציב הנדסה 2020 '!Q75</f>
        <v>0</v>
      </c>
      <c r="R42" s="4">
        <f>'תקציב הנדסה 2020 '!R75</f>
        <v>0</v>
      </c>
      <c r="S42" s="4">
        <f>'תקציב הנדסה 2020 '!S75</f>
        <v>0</v>
      </c>
      <c r="T42" s="4">
        <f>'תקציב הנדסה 2020 '!T75</f>
        <v>0</v>
      </c>
      <c r="U42" s="4">
        <f>'תקציב הנדסה 2020 '!U75</f>
        <v>0</v>
      </c>
      <c r="V42" s="4">
        <f>'תקציב הנדסה 2020 '!V75</f>
        <v>0</v>
      </c>
      <c r="W42" s="4">
        <f>'תקציב הנדסה 2020 '!W75</f>
        <v>0</v>
      </c>
      <c r="X42" s="4">
        <f>'תקציב הנדסה 2020 '!X75</f>
        <v>0</v>
      </c>
      <c r="Y42" s="4">
        <f>'תקציב הנדסה 2020 '!Y75</f>
        <v>0</v>
      </c>
      <c r="Z42" s="4">
        <f>'תקציב הנדסה 2020 '!Z75</f>
        <v>0</v>
      </c>
      <c r="AA42" s="87" t="str">
        <f>'תקציב הנדסה 2020 '!AA75</f>
        <v>תוכנית לשיקום מעברת רשף והקמת שכונת מגורים חדשה בשילוב שטחי ציבור , שטחים פתוחים ותיירות.</v>
      </c>
      <c r="AB42" s="706">
        <f>'תקציב הנדסה 2020 '!AB75</f>
        <v>732000</v>
      </c>
      <c r="AC42" s="620"/>
      <c r="AD42" s="52"/>
      <c r="AE42" s="6"/>
      <c r="AF42" s="6"/>
    </row>
    <row r="43" spans="1:32" s="5" customFormat="1" ht="27.6">
      <c r="A43" s="3">
        <f t="shared" si="0"/>
        <v>38</v>
      </c>
      <c r="B43" s="706">
        <f>'תקציב הנדסה 2020 '!B76</f>
        <v>2117</v>
      </c>
      <c r="C43" s="87" t="str">
        <f>'תקציב הנדסה 2020 '!C76</f>
        <v>שינוי תוכנית גליל ים א' ב'</v>
      </c>
      <c r="D43" s="4">
        <f>'תקציב הנדסה 2020 '!D76</f>
        <v>600000</v>
      </c>
      <c r="E43" s="4">
        <f>'תקציב הנדסה 2020 '!E76</f>
        <v>600000</v>
      </c>
      <c r="F43" s="4">
        <f>'תקציב הנדסה 2020 '!F76</f>
        <v>0</v>
      </c>
      <c r="G43" s="4">
        <f>'תקציב הנדסה 2020 '!G76</f>
        <v>300000</v>
      </c>
      <c r="H43" s="4">
        <f>'תקציב הנדסה 2020 '!H76</f>
        <v>0</v>
      </c>
      <c r="I43" s="4">
        <f>'תקציב הנדסה 2020 '!I76</f>
        <v>0</v>
      </c>
      <c r="J43" s="4">
        <f>'תקציב הנדסה 2020 '!J76</f>
        <v>0</v>
      </c>
      <c r="K43" s="4">
        <f>'תקציב הנדסה 2020 '!K76</f>
        <v>0</v>
      </c>
      <c r="L43" s="4">
        <f>'תקציב הנדסה 2020 '!L76</f>
        <v>0</v>
      </c>
      <c r="M43" s="4">
        <f>'תקציב הנדסה 2020 '!M76</f>
        <v>0</v>
      </c>
      <c r="N43" s="4">
        <f>'תקציב הנדסה 2020 '!N76</f>
        <v>600000</v>
      </c>
      <c r="O43" s="4">
        <f>'תקציב הנדסה 2020 '!O76</f>
        <v>0</v>
      </c>
      <c r="P43" s="4">
        <f>'תקציב הנדסה 2020 '!P76</f>
        <v>300000</v>
      </c>
      <c r="Q43" s="4">
        <f>'תקציב הנדסה 2020 '!Q76</f>
        <v>0</v>
      </c>
      <c r="R43" s="4">
        <f>'תקציב הנדסה 2020 '!R76</f>
        <v>0</v>
      </c>
      <c r="S43" s="4">
        <f>'תקציב הנדסה 2020 '!S76</f>
        <v>0</v>
      </c>
      <c r="T43" s="4">
        <f>'תקציב הנדסה 2020 '!T76</f>
        <v>300000</v>
      </c>
      <c r="U43" s="4">
        <f>'תקציב הנדסה 2020 '!U76</f>
        <v>300000</v>
      </c>
      <c r="V43" s="4">
        <f>'תקציב הנדסה 2020 '!V76</f>
        <v>300000</v>
      </c>
      <c r="W43" s="4">
        <f>'תקציב הנדסה 2020 '!W76</f>
        <v>0</v>
      </c>
      <c r="X43" s="4">
        <f>'תקציב הנדסה 2020 '!X76</f>
        <v>0</v>
      </c>
      <c r="Y43" s="4">
        <f>'תקציב הנדסה 2020 '!Y76</f>
        <v>0</v>
      </c>
      <c r="Z43" s="4">
        <f>'תקציב הנדסה 2020 '!Z76</f>
        <v>0</v>
      </c>
      <c r="AA43" s="87" t="str">
        <f>'תקציב הנדסה 2020 '!AA76</f>
        <v>שינוי לתוכנית הר' 1985 ב' עקב ריבוי יח"ד והצורך לספק שטחים ציבוריים בגינם.</v>
      </c>
      <c r="AB43" s="706">
        <f>'תקציב הנדסה 2020 '!AB76</f>
        <v>732000</v>
      </c>
      <c r="AC43" s="620"/>
      <c r="AD43" s="52"/>
      <c r="AE43" s="6"/>
      <c r="AF43" s="6"/>
    </row>
    <row r="44" spans="1:32" s="5" customFormat="1" ht="41.4">
      <c r="A44" s="3">
        <f t="shared" si="0"/>
        <v>39</v>
      </c>
      <c r="B44" s="706">
        <f>'תקציב הנדסה 2020 '!B78</f>
        <v>2120</v>
      </c>
      <c r="C44" s="87" t="str">
        <f>'תקציב הנדסה 2020 '!C78</f>
        <v>הכנת פרוגרמות עירוניות עפ"י הנדרש</v>
      </c>
      <c r="D44" s="4">
        <f>'תקציב הנדסה 2020 '!D78</f>
        <v>1000000</v>
      </c>
      <c r="E44" s="4">
        <f>'תקציב הנדסה 2020 '!E78</f>
        <v>1000000</v>
      </c>
      <c r="F44" s="4">
        <f>'תקציב הנדסה 2020 '!F78</f>
        <v>0</v>
      </c>
      <c r="G44" s="4">
        <f>'תקציב הנדסה 2020 '!G78</f>
        <v>0</v>
      </c>
      <c r="H44" s="4">
        <f>'תקציב הנדסה 2020 '!H78</f>
        <v>0</v>
      </c>
      <c r="I44" s="4">
        <f>'תקציב הנדסה 2020 '!I78</f>
        <v>0</v>
      </c>
      <c r="J44" s="4">
        <f>'תקציב הנדסה 2020 '!J78</f>
        <v>0</v>
      </c>
      <c r="K44" s="4">
        <f>'תקציב הנדסה 2020 '!K78</f>
        <v>0</v>
      </c>
      <c r="L44" s="4">
        <f>'תקציב הנדסה 2020 '!L78</f>
        <v>0</v>
      </c>
      <c r="M44" s="4">
        <f>'תקציב הנדסה 2020 '!M78</f>
        <v>0</v>
      </c>
      <c r="N44" s="4">
        <f>'תקציב הנדסה 2020 '!N78</f>
        <v>0</v>
      </c>
      <c r="O44" s="4">
        <f>'תקציב הנדסה 2020 '!O78</f>
        <v>1000000</v>
      </c>
      <c r="P44" s="4">
        <f>'תקציב הנדסה 2020 '!P78</f>
        <v>0</v>
      </c>
      <c r="Q44" s="4">
        <f>'תקציב הנדסה 2020 '!Q78</f>
        <v>0</v>
      </c>
      <c r="R44" s="4">
        <f>'תקציב הנדסה 2020 '!R78</f>
        <v>0</v>
      </c>
      <c r="S44" s="4">
        <f>'תקציב הנדסה 2020 '!S78</f>
        <v>0</v>
      </c>
      <c r="T44" s="4">
        <f>'תקציב הנדסה 2020 '!T78</f>
        <v>0</v>
      </c>
      <c r="U44" s="4">
        <f>'תקציב הנדסה 2020 '!U78</f>
        <v>0</v>
      </c>
      <c r="V44" s="4">
        <f>'תקציב הנדסה 2020 '!V78</f>
        <v>0</v>
      </c>
      <c r="W44" s="4">
        <f>'תקציב הנדסה 2020 '!W78</f>
        <v>0</v>
      </c>
      <c r="X44" s="4">
        <f>'תקציב הנדסה 2020 '!X78</f>
        <v>0</v>
      </c>
      <c r="Y44" s="4">
        <f>'תקציב הנדסה 2020 '!Y78</f>
        <v>0</v>
      </c>
      <c r="Z44" s="4">
        <f>'תקציב הנדסה 2020 '!Z78</f>
        <v>0</v>
      </c>
      <c r="AA44" s="87" t="str">
        <f>'תקציב הנדסה 2020 '!AA78</f>
        <v>הכנת פרוגרמות עירוניות : שטחים מבונים,איזור תעשיה, מרחב ציבורי,תוכניות תמ"א 38, סוקולוב.</v>
      </c>
      <c r="AB44" s="706">
        <f>'תקציב הנדסה 2020 '!AB78</f>
        <v>732000</v>
      </c>
      <c r="AC44" s="618"/>
      <c r="AD44" s="52"/>
      <c r="AE44" s="6"/>
      <c r="AF44" s="6"/>
    </row>
    <row r="45" spans="1:32" s="5" customFormat="1" ht="69">
      <c r="A45" s="3">
        <f t="shared" si="0"/>
        <v>40</v>
      </c>
      <c r="B45" s="706">
        <f>'תקציב הנדסה 2020 '!B81</f>
        <v>2141</v>
      </c>
      <c r="C45" s="87" t="str">
        <f>'תקציב הנדסה 2020 '!C81</f>
        <v>תכנית פיתוח של המרחב הציבורי תל מיכל</v>
      </c>
      <c r="D45" s="4">
        <f>'תקציב הנדסה 2020 '!D81</f>
        <v>640000</v>
      </c>
      <c r="E45" s="4">
        <f>'תקציב הנדסה 2020 '!E81</f>
        <v>0</v>
      </c>
      <c r="F45" s="4">
        <f>'תקציב הנדסה 2020 '!F81</f>
        <v>640000</v>
      </c>
      <c r="G45" s="4">
        <f>'תקציב הנדסה 2020 '!G81</f>
        <v>0</v>
      </c>
      <c r="H45" s="4">
        <f>'תקציב הנדסה 2020 '!H81</f>
        <v>0</v>
      </c>
      <c r="I45" s="4">
        <f>'תקציב הנדסה 2020 '!I81</f>
        <v>0</v>
      </c>
      <c r="J45" s="4">
        <f>'תקציב הנדסה 2020 '!J81</f>
        <v>0</v>
      </c>
      <c r="K45" s="4">
        <f>'תקציב הנדסה 2020 '!K81</f>
        <v>0</v>
      </c>
      <c r="L45" s="4">
        <f>'תקציב הנדסה 2020 '!L81</f>
        <v>0</v>
      </c>
      <c r="M45" s="4">
        <f>'תקציב הנדסה 2020 '!M81</f>
        <v>0</v>
      </c>
      <c r="N45" s="4">
        <f>'תקציב הנדסה 2020 '!N81</f>
        <v>350000</v>
      </c>
      <c r="O45" s="4">
        <f>'תקציב הנדסה 2020 '!O81</f>
        <v>290000</v>
      </c>
      <c r="P45" s="4">
        <f>'תקציב הנדסה 2020 '!P81</f>
        <v>0</v>
      </c>
      <c r="Q45" s="4">
        <f>'תקציב הנדסה 2020 '!Q81</f>
        <v>0</v>
      </c>
      <c r="R45" s="4">
        <f>'תקציב הנדסה 2020 '!R81</f>
        <v>0</v>
      </c>
      <c r="S45" s="4">
        <f>'תקציב הנדסה 2020 '!S81</f>
        <v>0</v>
      </c>
      <c r="T45" s="4">
        <f>'תקציב הנדסה 2020 '!T81</f>
        <v>0</v>
      </c>
      <c r="U45" s="4">
        <f>'תקציב הנדסה 2020 '!U81</f>
        <v>350000</v>
      </c>
      <c r="V45" s="4">
        <f>'תקציב הנדסה 2020 '!V81</f>
        <v>350000</v>
      </c>
      <c r="W45" s="4">
        <f>'תקציב הנדסה 2020 '!W81</f>
        <v>0</v>
      </c>
      <c r="X45" s="4">
        <f>'תקציב הנדסה 2020 '!X81</f>
        <v>0</v>
      </c>
      <c r="Y45" s="4">
        <f>'תקציב הנדסה 2020 '!Y81</f>
        <v>0</v>
      </c>
      <c r="Z45" s="4">
        <f>'תקציב הנדסה 2020 '!Z81</f>
        <v>0</v>
      </c>
      <c r="AA45" s="87" t="str">
        <f>'תקציב הנדסה 2020 '!AA81</f>
        <v xml:space="preserve">תוכנית לבחינת הקשר בין השביל הירוק המטרופולוני לאורך רחוב אבא אבן תל מיכל והמרחב הציבורי של המרינה לחיזוק הקישוריות העיר אל המרינה וחוף הים. נדרש בעקבות דיון בוולחו"ף. </v>
      </c>
      <c r="AB45" s="706">
        <f>'תקציב הנדסה 2020 '!AB81</f>
        <v>732000</v>
      </c>
      <c r="AC45" s="618"/>
      <c r="AD45" s="52"/>
      <c r="AE45" s="6"/>
      <c r="AF45" s="6"/>
    </row>
    <row r="46" spans="1:32" s="5" customFormat="1" ht="27.6">
      <c r="A46" s="3">
        <f t="shared" si="0"/>
        <v>41</v>
      </c>
      <c r="B46" s="706">
        <f>'תקציב הנדסה 2020 '!B83</f>
        <v>2143</v>
      </c>
      <c r="C46" s="87" t="str">
        <f>'תקציב הנדסה 2020 '!C83</f>
        <v>סקר תשתיות קיימות</v>
      </c>
      <c r="D46" s="4">
        <f>'תקציב הנדסה 2020 '!D83</f>
        <v>500000</v>
      </c>
      <c r="E46" s="4">
        <f>'תקציב הנדסה 2020 '!E83</f>
        <v>0</v>
      </c>
      <c r="F46" s="4">
        <f>'תקציב הנדסה 2020 '!F83</f>
        <v>500000</v>
      </c>
      <c r="G46" s="4">
        <f>'תקציב הנדסה 2020 '!G83</f>
        <v>0</v>
      </c>
      <c r="H46" s="4">
        <f>'תקציב הנדסה 2020 '!H83</f>
        <v>0</v>
      </c>
      <c r="I46" s="4">
        <f>'תקציב הנדסה 2020 '!I83</f>
        <v>0</v>
      </c>
      <c r="J46" s="4">
        <f>'תקציב הנדסה 2020 '!J83</f>
        <v>0</v>
      </c>
      <c r="K46" s="4">
        <f>'תקציב הנדסה 2020 '!K83</f>
        <v>0</v>
      </c>
      <c r="L46" s="4">
        <f>'תקציב הנדסה 2020 '!L83</f>
        <v>0</v>
      </c>
      <c r="M46" s="4">
        <f>'תקציב הנדסה 2020 '!M83</f>
        <v>0</v>
      </c>
      <c r="N46" s="4">
        <f>'תקציב הנדסה 2020 '!N83</f>
        <v>500000</v>
      </c>
      <c r="O46" s="4">
        <f>'תקציב הנדסה 2020 '!O83</f>
        <v>0</v>
      </c>
      <c r="P46" s="4">
        <f>'תקציב הנדסה 2020 '!P83</f>
        <v>0</v>
      </c>
      <c r="Q46" s="4">
        <f>'תקציב הנדסה 2020 '!Q83</f>
        <v>0</v>
      </c>
      <c r="R46" s="4">
        <f>'תקציב הנדסה 2020 '!R83</f>
        <v>0</v>
      </c>
      <c r="S46" s="4">
        <f>'תקציב הנדסה 2020 '!S83</f>
        <v>0</v>
      </c>
      <c r="T46" s="4">
        <f>'תקציב הנדסה 2020 '!T83</f>
        <v>0</v>
      </c>
      <c r="U46" s="4">
        <f>'תקציב הנדסה 2020 '!U83</f>
        <v>500000</v>
      </c>
      <c r="V46" s="4">
        <f>'תקציב הנדסה 2020 '!V83</f>
        <v>500000</v>
      </c>
      <c r="W46" s="4">
        <f>'תקציב הנדסה 2020 '!W83</f>
        <v>0</v>
      </c>
      <c r="X46" s="4">
        <f>'תקציב הנדסה 2020 '!X83</f>
        <v>0</v>
      </c>
      <c r="Y46" s="4">
        <f>'תקציב הנדסה 2020 '!Y83</f>
        <v>0</v>
      </c>
      <c r="Z46" s="4">
        <f>'תקציב הנדסה 2020 '!Z83</f>
        <v>0</v>
      </c>
      <c r="AA46" s="87" t="str">
        <f>'תקציב הנדסה 2020 '!AA83</f>
        <v xml:space="preserve">מיחשוב כלל התשתיות הקיימות במרחב הציבורי. </v>
      </c>
      <c r="AB46" s="706">
        <f>'תקציב הנדסה 2020 '!AB83</f>
        <v>732000</v>
      </c>
      <c r="AC46" s="618"/>
      <c r="AD46" s="52"/>
      <c r="AE46" s="6"/>
      <c r="AF46" s="6"/>
    </row>
    <row r="47" spans="1:32" s="5" customFormat="1" ht="27.6">
      <c r="A47" s="3">
        <f t="shared" si="0"/>
        <v>42</v>
      </c>
      <c r="B47" s="706">
        <f>'תקציב הנדסה 2020 '!B84</f>
        <v>2144</v>
      </c>
      <c r="C47" s="87" t="str">
        <f>'תקציב הנדסה 2020 '!C84</f>
        <v>תוכנת ניהול ותאום תשתיות</v>
      </c>
      <c r="D47" s="4">
        <f>'תקציב הנדסה 2020 '!D84</f>
        <v>500000</v>
      </c>
      <c r="E47" s="4">
        <f>'תקציב הנדסה 2020 '!E84</f>
        <v>0</v>
      </c>
      <c r="F47" s="4">
        <f>'תקציב הנדסה 2020 '!F84</f>
        <v>500000</v>
      </c>
      <c r="G47" s="4">
        <f>'תקציב הנדסה 2020 '!G84</f>
        <v>0</v>
      </c>
      <c r="H47" s="4">
        <f>'תקציב הנדסה 2020 '!H84</f>
        <v>0</v>
      </c>
      <c r="I47" s="4">
        <f>'תקציב הנדסה 2020 '!I84</f>
        <v>0</v>
      </c>
      <c r="J47" s="4">
        <f>'תקציב הנדסה 2020 '!J84</f>
        <v>0</v>
      </c>
      <c r="K47" s="4">
        <f>'תקציב הנדסה 2020 '!K84</f>
        <v>0</v>
      </c>
      <c r="L47" s="4">
        <f>'תקציב הנדסה 2020 '!L84</f>
        <v>0</v>
      </c>
      <c r="M47" s="4">
        <f>'תקציב הנדסה 2020 '!M84</f>
        <v>0</v>
      </c>
      <c r="N47" s="4">
        <f>'תקציב הנדסה 2020 '!N84</f>
        <v>500000</v>
      </c>
      <c r="O47" s="4">
        <f>'תקציב הנדסה 2020 '!O84</f>
        <v>0</v>
      </c>
      <c r="P47" s="4">
        <f>'תקציב הנדסה 2020 '!P84</f>
        <v>0</v>
      </c>
      <c r="Q47" s="4">
        <f>'תקציב הנדסה 2020 '!Q84</f>
        <v>0</v>
      </c>
      <c r="R47" s="4">
        <f>'תקציב הנדסה 2020 '!R84</f>
        <v>0</v>
      </c>
      <c r="S47" s="4">
        <f>'תקציב הנדסה 2020 '!S84</f>
        <v>0</v>
      </c>
      <c r="T47" s="4">
        <f>'תקציב הנדסה 2020 '!T84</f>
        <v>0</v>
      </c>
      <c r="U47" s="4">
        <f>'תקציב הנדסה 2020 '!U84</f>
        <v>500000</v>
      </c>
      <c r="V47" s="4">
        <f>'תקציב הנדסה 2020 '!V84</f>
        <v>500000</v>
      </c>
      <c r="W47" s="4">
        <f>'תקציב הנדסה 2020 '!W84</f>
        <v>0</v>
      </c>
      <c r="X47" s="4">
        <f>'תקציב הנדסה 2020 '!X84</f>
        <v>0</v>
      </c>
      <c r="Y47" s="4">
        <f>'תקציב הנדסה 2020 '!Y84</f>
        <v>0</v>
      </c>
      <c r="Z47" s="4">
        <f>'תקציב הנדסה 2020 '!Z84</f>
        <v>0</v>
      </c>
      <c r="AA47" s="87" t="str">
        <f>'תקציב הנדסה 2020 '!AA84</f>
        <v xml:space="preserve">בניית אתר הנדסי לתשתיות וסנכרון בין עבודות התשתית השונות ברחבי העיר. </v>
      </c>
      <c r="AB47" s="706">
        <f>'תקציב הנדסה 2020 '!AB84</f>
        <v>732000</v>
      </c>
      <c r="AC47" s="618"/>
      <c r="AD47" s="52"/>
      <c r="AE47" s="6"/>
      <c r="AF47" s="6"/>
    </row>
    <row r="48" spans="1:32" s="5" customFormat="1" ht="41.4">
      <c r="A48" s="3">
        <f t="shared" si="0"/>
        <v>43</v>
      </c>
      <c r="B48" s="706">
        <f>'תקציב הנדסה 2020 '!B86</f>
        <v>2146</v>
      </c>
      <c r="C48" s="87" t="str">
        <f>'תקציב הנדסה 2020 '!C86</f>
        <v>תוכנית שבילי אופניים בשצ"פים עירוניים</v>
      </c>
      <c r="D48" s="4">
        <f>'תקציב הנדסה 2020 '!D86</f>
        <v>220000</v>
      </c>
      <c r="E48" s="4">
        <f>'תקציב הנדסה 2020 '!E86</f>
        <v>0</v>
      </c>
      <c r="F48" s="4">
        <f>'תקציב הנדסה 2020 '!F86</f>
        <v>220000</v>
      </c>
      <c r="G48" s="4">
        <f>'תקציב הנדסה 2020 '!G86</f>
        <v>0</v>
      </c>
      <c r="H48" s="4">
        <f>'תקציב הנדסה 2020 '!H86</f>
        <v>0</v>
      </c>
      <c r="I48" s="4">
        <f>'תקציב הנדסה 2020 '!I86</f>
        <v>0</v>
      </c>
      <c r="J48" s="4">
        <f>'תקציב הנדסה 2020 '!J86</f>
        <v>0</v>
      </c>
      <c r="K48" s="4">
        <f>'תקציב הנדסה 2020 '!K86</f>
        <v>0</v>
      </c>
      <c r="L48" s="4">
        <f>'תקציב הנדסה 2020 '!L86</f>
        <v>0</v>
      </c>
      <c r="M48" s="4">
        <f>'תקציב הנדסה 2020 '!M86</f>
        <v>0</v>
      </c>
      <c r="N48" s="4">
        <f>'תקציב הנדסה 2020 '!N86</f>
        <v>130000</v>
      </c>
      <c r="O48" s="4">
        <f>'תקציב הנדסה 2020 '!O86</f>
        <v>90000</v>
      </c>
      <c r="P48" s="4">
        <f>'תקציב הנדסה 2020 '!P86</f>
        <v>0</v>
      </c>
      <c r="Q48" s="4">
        <f>'תקציב הנדסה 2020 '!Q86</f>
        <v>0</v>
      </c>
      <c r="R48" s="4">
        <f>'תקציב הנדסה 2020 '!R86</f>
        <v>0</v>
      </c>
      <c r="S48" s="4">
        <f>'תקציב הנדסה 2020 '!S86</f>
        <v>0</v>
      </c>
      <c r="T48" s="4">
        <f>'תקציב הנדסה 2020 '!T86</f>
        <v>0</v>
      </c>
      <c r="U48" s="4">
        <f>'תקציב הנדסה 2020 '!U86</f>
        <v>130000</v>
      </c>
      <c r="V48" s="4">
        <f>'תקציב הנדסה 2020 '!V86</f>
        <v>130000</v>
      </c>
      <c r="W48" s="4">
        <f>'תקציב הנדסה 2020 '!W86</f>
        <v>0</v>
      </c>
      <c r="X48" s="4">
        <f>'תקציב הנדסה 2020 '!X86</f>
        <v>0</v>
      </c>
      <c r="Y48" s="4">
        <f>'תקציב הנדסה 2020 '!Y86</f>
        <v>0</v>
      </c>
      <c r="Z48" s="4">
        <f>'תקציב הנדסה 2020 '!Z86</f>
        <v>0</v>
      </c>
      <c r="AA48" s="87" t="str">
        <f>'תקציב הנדסה 2020 '!AA86</f>
        <v>הכנת תוכנית לניצול יעיל לשצ"פים ברחבי העיר לשימושי שבילי אופניים והתקנת מצללות.</v>
      </c>
      <c r="AB48" s="706">
        <f>'תקציב הנדסה 2020 '!AB86</f>
        <v>732000</v>
      </c>
      <c r="AC48" s="618"/>
      <c r="AD48" s="52"/>
      <c r="AE48" s="6"/>
      <c r="AF48" s="6"/>
    </row>
    <row r="49" spans="1:32" s="84" customFormat="1">
      <c r="A49" s="41"/>
      <c r="B49" s="725"/>
      <c r="C49" s="705" t="s">
        <v>690</v>
      </c>
      <c r="D49" s="88">
        <f>SUM(D6:D48)</f>
        <v>103593828</v>
      </c>
      <c r="E49" s="88">
        <f t="shared" ref="E49:Z49" si="1">SUM(E6:E48)</f>
        <v>95893578</v>
      </c>
      <c r="F49" s="88">
        <f t="shared" si="1"/>
        <v>7700250</v>
      </c>
      <c r="G49" s="88">
        <f t="shared" si="1"/>
        <v>58276157</v>
      </c>
      <c r="H49" s="88">
        <f t="shared" si="1"/>
        <v>38074663.260000005</v>
      </c>
      <c r="I49" s="88">
        <f t="shared" si="1"/>
        <v>5634567.6299999999</v>
      </c>
      <c r="J49" s="88">
        <f t="shared" si="1"/>
        <v>1628547.9900000005</v>
      </c>
      <c r="K49" s="88">
        <f t="shared" si="1"/>
        <v>7263115.6200000001</v>
      </c>
      <c r="L49" s="88">
        <f t="shared" si="1"/>
        <v>45337778.88000001</v>
      </c>
      <c r="M49" s="88">
        <f t="shared" si="1"/>
        <v>11295701.120000001</v>
      </c>
      <c r="N49" s="88">
        <f t="shared" si="1"/>
        <v>15378338</v>
      </c>
      <c r="O49" s="88">
        <f t="shared" si="1"/>
        <v>31582010</v>
      </c>
      <c r="P49" s="88">
        <f t="shared" si="1"/>
        <v>12938378.120000001</v>
      </c>
      <c r="Q49" s="88">
        <f t="shared" si="1"/>
        <v>307323</v>
      </c>
      <c r="R49" s="88">
        <f t="shared" si="1"/>
        <v>0</v>
      </c>
      <c r="S49" s="88">
        <f t="shared" si="1"/>
        <v>307323</v>
      </c>
      <c r="T49" s="88">
        <f t="shared" si="1"/>
        <v>1950000</v>
      </c>
      <c r="U49" s="88">
        <f t="shared" si="1"/>
        <v>13428338</v>
      </c>
      <c r="V49" s="88">
        <f t="shared" si="1"/>
        <v>12173894</v>
      </c>
      <c r="W49" s="88">
        <f t="shared" si="1"/>
        <v>0</v>
      </c>
      <c r="X49" s="88">
        <f t="shared" si="1"/>
        <v>0</v>
      </c>
      <c r="Y49" s="88">
        <f t="shared" si="1"/>
        <v>0</v>
      </c>
      <c r="Z49" s="88">
        <f t="shared" si="1"/>
        <v>1254444</v>
      </c>
      <c r="AA49" s="410"/>
      <c r="AB49" s="725"/>
      <c r="AC49" s="622"/>
      <c r="AD49" s="438"/>
    </row>
    <row r="50" spans="1:32" s="6" customFormat="1" ht="27.6">
      <c r="A50" s="3">
        <f>A48+1</f>
        <v>44</v>
      </c>
      <c r="B50" s="706">
        <f>'תקציב הנדסה 2020 '!B8</f>
        <v>507</v>
      </c>
      <c r="C50" s="87" t="str">
        <f>'תקציב הנדסה 2020 '!C8</f>
        <v>החלפת מדרכות</v>
      </c>
      <c r="D50" s="4">
        <f>'תקציב הנדסה 2020 '!D8</f>
        <v>2310000</v>
      </c>
      <c r="E50" s="4">
        <f>'תקציב הנדסה 2020 '!E8</f>
        <v>2310000</v>
      </c>
      <c r="F50" s="4">
        <f>'תקציב הנדסה 2020 '!F8</f>
        <v>0</v>
      </c>
      <c r="G50" s="4">
        <f>'תקציב הנדסה 2020 '!G8</f>
        <v>1765000</v>
      </c>
      <c r="H50" s="4">
        <f>'תקציב הנדסה 2020 '!H8</f>
        <v>1653104.23</v>
      </c>
      <c r="I50" s="4">
        <f>'תקציב הנדסה 2020 '!I8</f>
        <v>0</v>
      </c>
      <c r="J50" s="4">
        <f>'תקציב הנדסה 2020 '!J8</f>
        <v>0</v>
      </c>
      <c r="K50" s="4">
        <f>'תקציב הנדסה 2020 '!K8</f>
        <v>0</v>
      </c>
      <c r="L50" s="4">
        <f>'תקציב הנדסה 2020 '!L8</f>
        <v>1653104.23</v>
      </c>
      <c r="M50" s="4">
        <f>'תקציב הנדסה 2020 '!M8</f>
        <v>161895.77000000002</v>
      </c>
      <c r="N50" s="4">
        <f>'תקציב הנדסה 2020 '!N8</f>
        <v>150000</v>
      </c>
      <c r="O50" s="4">
        <f>'תקציב הנדסה 2020 '!O8</f>
        <v>345000</v>
      </c>
      <c r="P50" s="4">
        <f>'תקציב הנדסה 2020 '!P8</f>
        <v>111895.77000000002</v>
      </c>
      <c r="Q50" s="4">
        <f>'תקציב הנדסה 2020 '!Q8</f>
        <v>50000</v>
      </c>
      <c r="R50" s="4">
        <f>'תקציב הנדסה 2020 '!R8</f>
        <v>0</v>
      </c>
      <c r="S50" s="4">
        <f>'תקציב הנדסה 2020 '!S8</f>
        <v>50000</v>
      </c>
      <c r="T50" s="4">
        <f>'תקציב הנדסה 2020 '!T8</f>
        <v>0</v>
      </c>
      <c r="U50" s="4">
        <f>'תקציב הנדסה 2020 '!U8</f>
        <v>150000</v>
      </c>
      <c r="V50" s="4">
        <f>'תקציב הנדסה 2020 '!V8</f>
        <v>150000</v>
      </c>
      <c r="W50" s="4">
        <f>'תקציב הנדסה 2020 '!W8</f>
        <v>0</v>
      </c>
      <c r="X50" s="4">
        <f>'תקציב הנדסה 2020 '!X8</f>
        <v>0</v>
      </c>
      <c r="Y50" s="4">
        <f>'תקציב הנדסה 2020 '!Y8</f>
        <v>0</v>
      </c>
      <c r="Z50" s="4">
        <f>'תקציב הנדסה 2020 '!Z8</f>
        <v>0</v>
      </c>
      <c r="AA50" s="87" t="str">
        <f>'תקציב הנדסה 2020 '!AA8</f>
        <v>מסגרת ביצוע  עבודות מדרכות לאחר השלמת עבודות בניה כתוצאה מהיתרים.</v>
      </c>
      <c r="AB50" s="706">
        <f>'תקציב הנדסה 2020 '!AB8</f>
        <v>742000</v>
      </c>
      <c r="AC50" s="619"/>
      <c r="AD50" s="52"/>
    </row>
    <row r="51" spans="1:32" s="6" customFormat="1">
      <c r="A51" s="3">
        <f t="shared" ref="A51:A86" si="2">A50+1</f>
        <v>45</v>
      </c>
      <c r="B51" s="706">
        <f>'תקציב הנדסה 2020 '!B9</f>
        <v>546</v>
      </c>
      <c r="C51" s="87" t="str">
        <f>'תקציב הנדסה 2020 '!C9</f>
        <v>מתחם הגאון מוילנא חתם סופר</v>
      </c>
      <c r="D51" s="4">
        <f>'תקציב הנדסה 2020 '!D9</f>
        <v>2920000</v>
      </c>
      <c r="E51" s="4">
        <f>'תקציב הנדסה 2020 '!E9</f>
        <v>2920000</v>
      </c>
      <c r="F51" s="4">
        <f>'תקציב הנדסה 2020 '!F9</f>
        <v>0</v>
      </c>
      <c r="G51" s="4">
        <f>'תקציב הנדסה 2020 '!G9</f>
        <v>2920000</v>
      </c>
      <c r="H51" s="4">
        <f>'תקציב הנדסה 2020 '!H9</f>
        <v>2895703.4</v>
      </c>
      <c r="I51" s="4">
        <f>'תקציב הנדסה 2020 '!I9</f>
        <v>0</v>
      </c>
      <c r="J51" s="4">
        <f>'תקציב הנדסה 2020 '!J9</f>
        <v>18052.75</v>
      </c>
      <c r="K51" s="4">
        <f>'תקציב הנדסה 2020 '!K9</f>
        <v>18052.75</v>
      </c>
      <c r="L51" s="4">
        <f>'תקציב הנדסה 2020 '!L9</f>
        <v>2913756.15</v>
      </c>
      <c r="M51" s="4">
        <f>'תקציב הנדסה 2020 '!M9</f>
        <v>6243.8500000000931</v>
      </c>
      <c r="N51" s="4">
        <f>'תקציב הנדסה 2020 '!N9</f>
        <v>0</v>
      </c>
      <c r="O51" s="4">
        <f>'תקציב הנדסה 2020 '!O9</f>
        <v>0</v>
      </c>
      <c r="P51" s="4">
        <f>'תקציב הנדסה 2020 '!P9</f>
        <v>6243.8500000000931</v>
      </c>
      <c r="Q51" s="4">
        <f>'תקציב הנדסה 2020 '!Q9</f>
        <v>0</v>
      </c>
      <c r="R51" s="4">
        <f>'תקציב הנדסה 2020 '!R9</f>
        <v>0</v>
      </c>
      <c r="S51" s="4">
        <f>'תקציב הנדסה 2020 '!S9</f>
        <v>0</v>
      </c>
      <c r="T51" s="4">
        <f>'תקציב הנדסה 2020 '!T9</f>
        <v>0</v>
      </c>
      <c r="U51" s="4">
        <f>'תקציב הנדסה 2020 '!U9</f>
        <v>0</v>
      </c>
      <c r="V51" s="4">
        <f>'תקציב הנדסה 2020 '!V9</f>
        <v>0</v>
      </c>
      <c r="W51" s="4">
        <f>'תקציב הנדסה 2020 '!W9</f>
        <v>0</v>
      </c>
      <c r="X51" s="4">
        <f>'תקציב הנדסה 2020 '!X9</f>
        <v>0</v>
      </c>
      <c r="Y51" s="4">
        <f>'תקציב הנדסה 2020 '!Y9</f>
        <v>0</v>
      </c>
      <c r="Z51" s="4">
        <f>'תקציב הנדסה 2020 '!Z9</f>
        <v>0</v>
      </c>
      <c r="AA51" s="87">
        <f>'תקציב הנדסה 2020 '!AA9</f>
        <v>0</v>
      </c>
      <c r="AB51" s="706">
        <f>'תקציב הנדסה 2020 '!AB9</f>
        <v>742000</v>
      </c>
      <c r="AC51" s="619"/>
      <c r="AD51" s="52"/>
      <c r="AE51" s="5"/>
      <c r="AF51" s="5"/>
    </row>
    <row r="52" spans="1:32" s="6" customFormat="1" ht="27.6">
      <c r="A52" s="3">
        <f t="shared" si="2"/>
        <v>46</v>
      </c>
      <c r="B52" s="706">
        <f>'תקציב הנדסה 2020 '!B10</f>
        <v>592</v>
      </c>
      <c r="C52" s="87" t="str">
        <f>'תקציב הנדסה 2020 '!C10</f>
        <v>מתחם הבריגדה מתחם הר' 1960</v>
      </c>
      <c r="D52" s="4">
        <f>'תקציב הנדסה 2020 '!D10</f>
        <v>54893000</v>
      </c>
      <c r="E52" s="4">
        <f>'תקציב הנדסה 2020 '!E10</f>
        <v>54893000</v>
      </c>
      <c r="F52" s="4">
        <f>'תקציב הנדסה 2020 '!F10</f>
        <v>0</v>
      </c>
      <c r="G52" s="4">
        <f>'תקציב הנדסה 2020 '!G10</f>
        <v>20720000</v>
      </c>
      <c r="H52" s="4">
        <f>'תקציב הנדסה 2020 '!H10</f>
        <v>17898437.039999999</v>
      </c>
      <c r="I52" s="4">
        <f>'תקציב הנדסה 2020 '!I10</f>
        <v>149113.19</v>
      </c>
      <c r="J52" s="4">
        <f>'תקציב הנדסה 2020 '!J10</f>
        <v>2319961.1</v>
      </c>
      <c r="K52" s="4">
        <f>'תקציב הנדסה 2020 '!K10</f>
        <v>2469074.29</v>
      </c>
      <c r="L52" s="4">
        <f>'תקציב הנדסה 2020 '!L10</f>
        <v>20367511.329999998</v>
      </c>
      <c r="M52" s="4">
        <f>'תקציב הנדסה 2020 '!M10</f>
        <v>352488.67000000179</v>
      </c>
      <c r="N52" s="4">
        <f>'תקציב הנדסה 2020 '!N10</f>
        <v>1300000</v>
      </c>
      <c r="O52" s="4">
        <f>'תקציב הנדסה 2020 '!O10</f>
        <v>32873000</v>
      </c>
      <c r="P52" s="4">
        <f>'תקציב הנדסה 2020 '!P10</f>
        <v>352488.67000000179</v>
      </c>
      <c r="Q52" s="4">
        <f>'תקציב הנדסה 2020 '!Q10</f>
        <v>0</v>
      </c>
      <c r="R52" s="4">
        <f>'תקציב הנדסה 2020 '!R10</f>
        <v>0</v>
      </c>
      <c r="S52" s="4">
        <f>'תקציב הנדסה 2020 '!S10</f>
        <v>0</v>
      </c>
      <c r="T52" s="4">
        <f>'תקציב הנדסה 2020 '!T10</f>
        <v>0</v>
      </c>
      <c r="U52" s="4">
        <f>'תקציב הנדסה 2020 '!U10</f>
        <v>1300000</v>
      </c>
      <c r="V52" s="4">
        <f>'תקציב הנדסה 2020 '!V10</f>
        <v>1300000</v>
      </c>
      <c r="W52" s="4">
        <f>'תקציב הנדסה 2020 '!W10</f>
        <v>0</v>
      </c>
      <c r="X52" s="4">
        <f>'תקציב הנדסה 2020 '!X10</f>
        <v>0</v>
      </c>
      <c r="Y52" s="4">
        <f>'תקציב הנדסה 2020 '!Y10</f>
        <v>0</v>
      </c>
      <c r="Z52" s="4">
        <f>'תקציב הנדסה 2020 '!Z10</f>
        <v>0</v>
      </c>
      <c r="AA52" s="87" t="str">
        <f>'תקציב הנדסה 2020 '!AA10</f>
        <v>ביצוע  עבודות סלילה ופיתוח סופי רח' דן שומרון. תכנון רח' דורי.</v>
      </c>
      <c r="AB52" s="706">
        <f>'תקציב הנדסה 2020 '!AB10</f>
        <v>742000</v>
      </c>
      <c r="AC52" s="619"/>
      <c r="AD52" s="52"/>
    </row>
    <row r="53" spans="1:32" s="5" customFormat="1" ht="27.6">
      <c r="A53" s="3">
        <f t="shared" si="2"/>
        <v>47</v>
      </c>
      <c r="B53" s="706">
        <f>'תקציב הנדסה 2020 '!B13</f>
        <v>638</v>
      </c>
      <c r="C53" s="87" t="str">
        <f>'תקציב הנדסה 2020 '!C13</f>
        <v>פיתוח מתחם רזיאל מע' תב"ע 1706</v>
      </c>
      <c r="D53" s="4">
        <f>'תקציב הנדסה 2020 '!D13</f>
        <v>7000000</v>
      </c>
      <c r="E53" s="4">
        <f>'תקציב הנדסה 2020 '!E13</f>
        <v>7000000</v>
      </c>
      <c r="F53" s="4">
        <f>'תקציב הנדסה 2020 '!F13</f>
        <v>0</v>
      </c>
      <c r="G53" s="4">
        <f>'תקציב הנדסה 2020 '!G13</f>
        <v>4600000</v>
      </c>
      <c r="H53" s="4">
        <f>'תקציב הנדסה 2020 '!H13</f>
        <v>3454838.96</v>
      </c>
      <c r="I53" s="4">
        <f>'תקציב הנדסה 2020 '!I13</f>
        <v>0</v>
      </c>
      <c r="J53" s="4">
        <f>'תקציב הנדסה 2020 '!J13</f>
        <v>480319.16</v>
      </c>
      <c r="K53" s="4">
        <f>'תקציב הנדסה 2020 '!K13</f>
        <v>480319.16</v>
      </c>
      <c r="L53" s="4">
        <f>'תקציב הנדסה 2020 '!L13</f>
        <v>3935158.12</v>
      </c>
      <c r="M53" s="4">
        <f>'תקציב הנדסה 2020 '!M13</f>
        <v>664841.87999999989</v>
      </c>
      <c r="N53" s="4">
        <f>'תקציב הנדסה 2020 '!N13</f>
        <v>0</v>
      </c>
      <c r="O53" s="4">
        <f>'תקציב הנדסה 2020 '!O13</f>
        <v>2400000</v>
      </c>
      <c r="P53" s="4">
        <f>'תקציב הנדסה 2020 '!P13</f>
        <v>664841.87999999989</v>
      </c>
      <c r="Q53" s="4">
        <f>'תקציב הנדסה 2020 '!Q13</f>
        <v>0</v>
      </c>
      <c r="R53" s="4">
        <f>'תקציב הנדסה 2020 '!R13</f>
        <v>0</v>
      </c>
      <c r="S53" s="4">
        <f>'תקציב הנדסה 2020 '!S13</f>
        <v>0</v>
      </c>
      <c r="T53" s="4">
        <f>'תקציב הנדסה 2020 '!T13</f>
        <v>0</v>
      </c>
      <c r="U53" s="4">
        <f>'תקציב הנדסה 2020 '!U13</f>
        <v>0</v>
      </c>
      <c r="V53" s="4">
        <f>'תקציב הנדסה 2020 '!V13</f>
        <v>0</v>
      </c>
      <c r="W53" s="4">
        <f>'תקציב הנדסה 2020 '!W13</f>
        <v>0</v>
      </c>
      <c r="X53" s="4">
        <f>'תקציב הנדסה 2020 '!X13</f>
        <v>0</v>
      </c>
      <c r="Y53" s="4">
        <f>'תקציב הנדסה 2020 '!Y13</f>
        <v>0</v>
      </c>
      <c r="Z53" s="4">
        <f>'תקציב הנדסה 2020 '!Z13</f>
        <v>0</v>
      </c>
      <c r="AA53" s="87" t="str">
        <f>'תקציב הנדסה 2020 '!AA13</f>
        <v>פיתוח  ברח' העפרוני וזאב במתחם. הביצוע כולל תאורה וסלילת רחוב משולב .</v>
      </c>
      <c r="AB53" s="706">
        <f>'תקציב הנדסה 2020 '!AB13</f>
        <v>742000</v>
      </c>
      <c r="AC53" s="618"/>
      <c r="AD53" s="52"/>
    </row>
    <row r="54" spans="1:32" s="5" customFormat="1" ht="41.4">
      <c r="A54" s="3">
        <f t="shared" si="2"/>
        <v>48</v>
      </c>
      <c r="B54" s="706">
        <f>'תקציב הנדסה 2020 '!B14</f>
        <v>1018</v>
      </c>
      <c r="C54" s="87" t="str">
        <f>'תקציב הנדסה 2020 '!C14</f>
        <v>מחלף הרב מכר</v>
      </c>
      <c r="D54" s="4">
        <f>'תקציב הנדסה 2020 '!D14</f>
        <v>31900000</v>
      </c>
      <c r="E54" s="4">
        <f>'תקציב הנדסה 2020 '!E14</f>
        <v>31900000</v>
      </c>
      <c r="F54" s="4">
        <f>'תקציב הנדסה 2020 '!F14</f>
        <v>0</v>
      </c>
      <c r="G54" s="4">
        <f>'תקציב הנדסה 2020 '!G14</f>
        <v>5100000</v>
      </c>
      <c r="H54" s="4">
        <f>'תקציב הנדסה 2020 '!H14</f>
        <v>3059670.79</v>
      </c>
      <c r="I54" s="4">
        <f>'תקציב הנדסה 2020 '!I14</f>
        <v>84192.99</v>
      </c>
      <c r="J54" s="4">
        <f>'תקציב הנדסה 2020 '!J14</f>
        <v>0</v>
      </c>
      <c r="K54" s="4">
        <f>'תקציב הנדסה 2020 '!K14</f>
        <v>84192.99</v>
      </c>
      <c r="L54" s="4">
        <f>'תקציב הנדסה 2020 '!L14</f>
        <v>3143863.7800000003</v>
      </c>
      <c r="M54" s="4">
        <f>'תקציב הנדסה 2020 '!M14</f>
        <v>556136.21999999974</v>
      </c>
      <c r="N54" s="4">
        <f>'תקציב הנדסה 2020 '!N14</f>
        <v>0</v>
      </c>
      <c r="O54" s="4">
        <f>'תקציב הנדסה 2020 '!O14</f>
        <v>28200000</v>
      </c>
      <c r="P54" s="4">
        <f>'תקציב הנדסה 2020 '!P14</f>
        <v>1956136.2199999997</v>
      </c>
      <c r="Q54" s="4">
        <f>'תקציב הנדסה 2020 '!Q14</f>
        <v>0</v>
      </c>
      <c r="R54" s="4">
        <f>'תקציב הנדסה 2020 '!R14</f>
        <v>0</v>
      </c>
      <c r="S54" s="4">
        <f>'תקציב הנדסה 2020 '!S14</f>
        <v>0</v>
      </c>
      <c r="T54" s="4">
        <f>'תקציב הנדסה 2020 '!T14</f>
        <v>1400000</v>
      </c>
      <c r="U54" s="4">
        <f>'תקציב הנדסה 2020 '!U14</f>
        <v>-1400000</v>
      </c>
      <c r="V54" s="4">
        <f>'תקציב הנדסה 2020 '!V14</f>
        <v>-1400000</v>
      </c>
      <c r="W54" s="4">
        <f>'תקציב הנדסה 2020 '!W14</f>
        <v>0</v>
      </c>
      <c r="X54" s="4">
        <f>'תקציב הנדסה 2020 '!X14</f>
        <v>0</v>
      </c>
      <c r="Y54" s="4">
        <f>'תקציב הנדסה 2020 '!Y14</f>
        <v>0</v>
      </c>
      <c r="Z54" s="4">
        <f>'תקציב הנדסה 2020 '!Z14</f>
        <v>0</v>
      </c>
      <c r="AA54" s="87" t="str">
        <f>'תקציב הנדסה 2020 '!AA14</f>
        <v>פרויקט ממשלתי המתוקצב ע"י המדינה במקביל לרשות. הביצוע העירוני מתעכב עקב בעית פולש והמינהל.</v>
      </c>
      <c r="AB54" s="706">
        <f>'תקציב הנדסה 2020 '!AB14</f>
        <v>742000</v>
      </c>
      <c r="AC54" s="618"/>
      <c r="AD54" s="52"/>
    </row>
    <row r="55" spans="1:32" s="5" customFormat="1" ht="27.6">
      <c r="A55" s="3">
        <f t="shared" si="2"/>
        <v>49</v>
      </c>
      <c r="B55" s="706">
        <f>'תקציב הנדסה 2020 '!B16</f>
        <v>1129</v>
      </c>
      <c r="C55" s="87" t="str">
        <f>'תקציב הנדסה 2020 '!C16</f>
        <v>עבודות פיתוח ותשתיות קטנות</v>
      </c>
      <c r="D55" s="4">
        <f>'תקציב הנדסה 2020 '!D16</f>
        <v>7000000</v>
      </c>
      <c r="E55" s="4">
        <f>'תקציב הנדסה 2020 '!E16</f>
        <v>7000000</v>
      </c>
      <c r="F55" s="4">
        <f>'תקציב הנדסה 2020 '!F16</f>
        <v>0</v>
      </c>
      <c r="G55" s="4">
        <f>'תקציב הנדסה 2020 '!G16</f>
        <v>5991771</v>
      </c>
      <c r="H55" s="4">
        <f>'תקציב הנדסה 2020 '!H16</f>
        <v>5064670.47</v>
      </c>
      <c r="I55" s="4">
        <f>'תקציב הנדסה 2020 '!I16</f>
        <v>0</v>
      </c>
      <c r="J55" s="4">
        <f>'תקציב הנדסה 2020 '!J16</f>
        <v>229476.89</v>
      </c>
      <c r="K55" s="4">
        <f>'תקציב הנדסה 2020 '!K16</f>
        <v>229476.89</v>
      </c>
      <c r="L55" s="4">
        <f>'תקציב הנדסה 2020 '!L16</f>
        <v>5294147.3599999994</v>
      </c>
      <c r="M55" s="4">
        <f>'תקציב הנדסה 2020 '!M16</f>
        <v>197623.6400000006</v>
      </c>
      <c r="N55" s="4">
        <f>'תקציב הנדסה 2020 '!N16</f>
        <v>500000</v>
      </c>
      <c r="O55" s="4">
        <f>'תקציב הנדסה 2020 '!O16</f>
        <v>1008229</v>
      </c>
      <c r="P55" s="4">
        <f>'תקציב הנדסה 2020 '!P16</f>
        <v>697623.6400000006</v>
      </c>
      <c r="Q55" s="4">
        <f>'תקציב הנדסה 2020 '!Q16</f>
        <v>0</v>
      </c>
      <c r="R55" s="4">
        <f>'תקציב הנדסה 2020 '!R16</f>
        <v>0</v>
      </c>
      <c r="S55" s="4">
        <f>'תקציב הנדסה 2020 '!S16</f>
        <v>0</v>
      </c>
      <c r="T55" s="4">
        <f>'תקציב הנדסה 2020 '!T16</f>
        <v>500000</v>
      </c>
      <c r="U55" s="4">
        <f>'תקציב הנדסה 2020 '!U16</f>
        <v>0</v>
      </c>
      <c r="V55" s="4">
        <f>'תקציב הנדסה 2020 '!V16</f>
        <v>0</v>
      </c>
      <c r="W55" s="4">
        <f>'תקציב הנדסה 2020 '!W16</f>
        <v>0</v>
      </c>
      <c r="X55" s="4">
        <f>'תקציב הנדסה 2020 '!X16</f>
        <v>0</v>
      </c>
      <c r="Y55" s="4">
        <f>'תקציב הנדסה 2020 '!Y16</f>
        <v>0</v>
      </c>
      <c r="Z55" s="4">
        <f>'תקציב הנדסה 2020 '!Z16</f>
        <v>0</v>
      </c>
      <c r="AA55" s="87" t="str">
        <f>'תקציב הנדסה 2020 '!AA16</f>
        <v>סל עבודות פיתוח קטנות מזדמנות הנדרשות במהלך השנה.</v>
      </c>
      <c r="AB55" s="706">
        <f>'תקציב הנדסה 2020 '!AB16</f>
        <v>742000</v>
      </c>
      <c r="AC55" s="618"/>
      <c r="AD55" s="52"/>
    </row>
    <row r="56" spans="1:32" s="5" customFormat="1">
      <c r="A56" s="3">
        <f t="shared" si="2"/>
        <v>50</v>
      </c>
      <c r="B56" s="706">
        <f>'תקציב הנדסה 2020 '!B19</f>
        <v>1324</v>
      </c>
      <c r="C56" s="87" t="str">
        <f>'תקציב הנדסה 2020 '!C19</f>
        <v>שצ"פ אל על והמינהרה</v>
      </c>
      <c r="D56" s="4">
        <f>'תקציב הנדסה 2020 '!D19</f>
        <v>180000</v>
      </c>
      <c r="E56" s="4">
        <f>'תקציב הנדסה 2020 '!E19</f>
        <v>180000</v>
      </c>
      <c r="F56" s="4">
        <f>'תקציב הנדסה 2020 '!F19</f>
        <v>0</v>
      </c>
      <c r="G56" s="4">
        <f>'תקציב הנדסה 2020 '!G19</f>
        <v>180000</v>
      </c>
      <c r="H56" s="4">
        <f>'תקציב הנדסה 2020 '!H19</f>
        <v>120629.48</v>
      </c>
      <c r="I56" s="4">
        <f>'תקציב הנדסה 2020 '!I19</f>
        <v>0</v>
      </c>
      <c r="J56" s="4">
        <f>'תקציב הנדסה 2020 '!J19</f>
        <v>38760</v>
      </c>
      <c r="K56" s="4">
        <f>'תקציב הנדסה 2020 '!K19</f>
        <v>38760</v>
      </c>
      <c r="L56" s="4">
        <f>'תקציב הנדסה 2020 '!L19</f>
        <v>159389.47999999998</v>
      </c>
      <c r="M56" s="4">
        <f>'תקציב הנדסה 2020 '!M19</f>
        <v>20610.520000000019</v>
      </c>
      <c r="N56" s="4">
        <f>'תקציב הנדסה 2020 '!N19</f>
        <v>0</v>
      </c>
      <c r="O56" s="4">
        <f>'תקציב הנדסה 2020 '!O19</f>
        <v>0</v>
      </c>
      <c r="P56" s="4">
        <f>'תקציב הנדסה 2020 '!P19</f>
        <v>20610.520000000019</v>
      </c>
      <c r="Q56" s="4">
        <f>'תקציב הנדסה 2020 '!Q19</f>
        <v>0</v>
      </c>
      <c r="R56" s="4">
        <f>'תקציב הנדסה 2020 '!R19</f>
        <v>0</v>
      </c>
      <c r="S56" s="4">
        <f>'תקציב הנדסה 2020 '!S19</f>
        <v>0</v>
      </c>
      <c r="T56" s="4">
        <f>'תקציב הנדסה 2020 '!T19</f>
        <v>0</v>
      </c>
      <c r="U56" s="4">
        <f>'תקציב הנדסה 2020 '!U19</f>
        <v>0</v>
      </c>
      <c r="V56" s="4">
        <f>'תקציב הנדסה 2020 '!V19</f>
        <v>0</v>
      </c>
      <c r="W56" s="4">
        <f>'תקציב הנדסה 2020 '!W19</f>
        <v>0</v>
      </c>
      <c r="X56" s="4">
        <f>'תקציב הנדסה 2020 '!X19</f>
        <v>0</v>
      </c>
      <c r="Y56" s="4">
        <f>'תקציב הנדסה 2020 '!Y19</f>
        <v>0</v>
      </c>
      <c r="Z56" s="4">
        <f>'תקציב הנדסה 2020 '!Z19</f>
        <v>0</v>
      </c>
      <c r="AA56" s="87">
        <f>'תקציב הנדסה 2020 '!AA19</f>
        <v>0</v>
      </c>
      <c r="AB56" s="706">
        <f>'תקציב הנדסה 2020 '!AB19</f>
        <v>742000</v>
      </c>
      <c r="AC56" s="619"/>
      <c r="AD56" s="52"/>
      <c r="AE56" s="6"/>
      <c r="AF56" s="6"/>
    </row>
    <row r="57" spans="1:32" s="5" customFormat="1" ht="27.6">
      <c r="A57" s="3">
        <f t="shared" si="2"/>
        <v>51</v>
      </c>
      <c r="B57" s="706">
        <f>'תקציב הנדסה 2020 '!B20</f>
        <v>1363</v>
      </c>
      <c r="C57" s="87" t="str">
        <f>'תקציב הנדסה 2020 '!C20</f>
        <v>מתחם יהודה המכבי וזוהר טל</v>
      </c>
      <c r="D57" s="4">
        <f>'תקציב הנדסה 2020 '!D20</f>
        <v>15500000</v>
      </c>
      <c r="E57" s="4">
        <f>'תקציב הנדסה 2020 '!E20</f>
        <v>15500000</v>
      </c>
      <c r="F57" s="4">
        <f>'תקציב הנדסה 2020 '!F20</f>
        <v>0</v>
      </c>
      <c r="G57" s="4">
        <f>'תקציב הנדסה 2020 '!G20</f>
        <v>6050000</v>
      </c>
      <c r="H57" s="4">
        <f>'תקציב הנדסה 2020 '!H20</f>
        <v>934884.96</v>
      </c>
      <c r="I57" s="4">
        <f>'תקציב הנדסה 2020 '!I20</f>
        <v>72509.899999999994</v>
      </c>
      <c r="J57" s="4">
        <f>'תקציב הנדסה 2020 '!J20</f>
        <v>283872.08</v>
      </c>
      <c r="K57" s="4">
        <f>'תקציב הנדסה 2020 '!K20</f>
        <v>356381.98</v>
      </c>
      <c r="L57" s="4">
        <f>'תקציב הנדסה 2020 '!L20</f>
        <v>1291266.94</v>
      </c>
      <c r="M57" s="4">
        <f>'תקציב הנדסה 2020 '!M20</f>
        <v>6758733.0600000005</v>
      </c>
      <c r="N57" s="4">
        <f>'תקציב הנדסה 2020 '!N20</f>
        <v>0</v>
      </c>
      <c r="O57" s="4">
        <f>'תקציב הנדסה 2020 '!O20</f>
        <v>7450000</v>
      </c>
      <c r="P57" s="4">
        <f>'תקציב הנדסה 2020 '!P20</f>
        <v>4758733.0600000005</v>
      </c>
      <c r="Q57" s="4">
        <f>'תקציב הנדסה 2020 '!Q20</f>
        <v>2000000</v>
      </c>
      <c r="R57" s="4">
        <f>'תקציב הנדסה 2020 '!R20</f>
        <v>0</v>
      </c>
      <c r="S57" s="4">
        <f>'תקציב הנדסה 2020 '!S20</f>
        <v>2000000</v>
      </c>
      <c r="T57" s="4">
        <f>'תקציב הנדסה 2020 '!T20</f>
        <v>0</v>
      </c>
      <c r="U57" s="4">
        <f>'תקציב הנדסה 2020 '!U20</f>
        <v>0</v>
      </c>
      <c r="V57" s="4">
        <f>'תקציב הנדסה 2020 '!V20</f>
        <v>0</v>
      </c>
      <c r="W57" s="4">
        <f>'תקציב הנדסה 2020 '!W20</f>
        <v>0</v>
      </c>
      <c r="X57" s="4">
        <f>'תקציב הנדסה 2020 '!X20</f>
        <v>0</v>
      </c>
      <c r="Y57" s="4">
        <f>'תקציב הנדסה 2020 '!Y20</f>
        <v>0</v>
      </c>
      <c r="Z57" s="4">
        <f>'תקציב הנדסה 2020 '!Z20</f>
        <v>0</v>
      </c>
      <c r="AA57" s="87" t="str">
        <f>'תקציב הנדסה 2020 '!AA20</f>
        <v>פיתוח מתחם הרחובות יהודה המכבי, זוהר טל, האצל, הגבורה. תכנון ותחילת ביצוע.</v>
      </c>
      <c r="AB57" s="706">
        <f>'תקציב הנדסה 2020 '!AB20</f>
        <v>742000</v>
      </c>
      <c r="AC57" s="619"/>
      <c r="AD57" s="52"/>
      <c r="AE57" s="6"/>
      <c r="AF57" s="6"/>
    </row>
    <row r="58" spans="1:32" s="5" customFormat="1" ht="27.6">
      <c r="A58" s="3">
        <f t="shared" si="2"/>
        <v>52</v>
      </c>
      <c r="B58" s="706">
        <f>'תקציב הנדסה 2020 '!B21</f>
        <v>1366</v>
      </c>
      <c r="C58" s="87" t="str">
        <f>'תקציב הנדסה 2020 '!C21</f>
        <v>ליווי תשתיות לאומיות</v>
      </c>
      <c r="D58" s="4">
        <f>'תקציב הנדסה 2020 '!D21</f>
        <v>1500000</v>
      </c>
      <c r="E58" s="4">
        <f>'תקציב הנדסה 2020 '!E21</f>
        <v>1500000</v>
      </c>
      <c r="F58" s="4">
        <f>'תקציב הנדסה 2020 '!F21</f>
        <v>0</v>
      </c>
      <c r="G58" s="4">
        <f>'תקציב הנדסה 2020 '!G21</f>
        <v>846000</v>
      </c>
      <c r="H58" s="4">
        <f>'תקציב הנדסה 2020 '!H21</f>
        <v>740835.72</v>
      </c>
      <c r="I58" s="4">
        <f>'תקציב הנדסה 2020 '!I21</f>
        <v>0</v>
      </c>
      <c r="J58" s="4">
        <f>'תקציב הנדסה 2020 '!J21</f>
        <v>1755.22</v>
      </c>
      <c r="K58" s="4">
        <f>'תקציב הנדסה 2020 '!K21</f>
        <v>1755.22</v>
      </c>
      <c r="L58" s="4">
        <f>'תקציב הנדסה 2020 '!L21</f>
        <v>742590.94</v>
      </c>
      <c r="M58" s="4">
        <f>'תקציב הנדסה 2020 '!M21</f>
        <v>103409.06000000006</v>
      </c>
      <c r="N58" s="4">
        <f>'תקציב הנדסה 2020 '!N21</f>
        <v>0</v>
      </c>
      <c r="O58" s="4">
        <f>'תקציב הנדסה 2020 '!O21</f>
        <v>654000</v>
      </c>
      <c r="P58" s="4">
        <f>'תקציב הנדסה 2020 '!P21</f>
        <v>103409.06000000006</v>
      </c>
      <c r="Q58" s="4">
        <f>'תקציב הנדסה 2020 '!Q21</f>
        <v>0</v>
      </c>
      <c r="R58" s="4">
        <f>'תקציב הנדסה 2020 '!R21</f>
        <v>0</v>
      </c>
      <c r="S58" s="4">
        <f>'תקציב הנדסה 2020 '!S21</f>
        <v>0</v>
      </c>
      <c r="T58" s="4">
        <f>'תקציב הנדסה 2020 '!T21</f>
        <v>0</v>
      </c>
      <c r="U58" s="4">
        <f>'תקציב הנדסה 2020 '!U21</f>
        <v>0</v>
      </c>
      <c r="V58" s="4">
        <f>'תקציב הנדסה 2020 '!V21</f>
        <v>0</v>
      </c>
      <c r="W58" s="4">
        <f>'תקציב הנדסה 2020 '!W21</f>
        <v>0</v>
      </c>
      <c r="X58" s="4">
        <f>'תקציב הנדסה 2020 '!X21</f>
        <v>0</v>
      </c>
      <c r="Y58" s="4">
        <f>'תקציב הנדסה 2020 '!Y21</f>
        <v>0</v>
      </c>
      <c r="Z58" s="4">
        <f>'תקציב הנדסה 2020 '!Z21</f>
        <v>0</v>
      </c>
      <c r="AA58" s="87" t="str">
        <f>'תקציב הנדסה 2020 '!AA21</f>
        <v xml:space="preserve">ליווי יועצי תנועה, איכות הסביבה, במסגרת סלילת כביש 531 וכביש 20. </v>
      </c>
      <c r="AB58" s="706">
        <f>'תקציב הנדסה 2020 '!AB21</f>
        <v>742000</v>
      </c>
      <c r="AC58" s="620"/>
      <c r="AD58" s="52"/>
    </row>
    <row r="59" spans="1:32" s="5" customFormat="1" ht="27.6">
      <c r="A59" s="3">
        <f t="shared" si="2"/>
        <v>53</v>
      </c>
      <c r="B59" s="706">
        <f>'תקציב הנדסה 2020 '!B25</f>
        <v>1457</v>
      </c>
      <c r="C59" s="87" t="str">
        <f>'תקציב הנדסה 2020 '!C25</f>
        <v xml:space="preserve">ליווי "מהיר" לעיר </v>
      </c>
      <c r="D59" s="4">
        <f>'תקציב הנדסה 2020 '!D25</f>
        <v>1100000</v>
      </c>
      <c r="E59" s="4">
        <f>'תקציב הנדסה 2020 '!E25</f>
        <v>1100000</v>
      </c>
      <c r="F59" s="4">
        <f>'תקציב הנדסה 2020 '!F25</f>
        <v>0</v>
      </c>
      <c r="G59" s="4">
        <f>'תקציב הנדסה 2020 '!G25</f>
        <v>430000</v>
      </c>
      <c r="H59" s="4">
        <f>'תקציב הנדסה 2020 '!H25</f>
        <v>163760.09</v>
      </c>
      <c r="I59" s="4">
        <f>'תקציב הנדסה 2020 '!I25</f>
        <v>0</v>
      </c>
      <c r="J59" s="4">
        <f>'תקציב הנדסה 2020 '!J25</f>
        <v>12899.24</v>
      </c>
      <c r="K59" s="4">
        <f>'תקציב הנדסה 2020 '!K25</f>
        <v>12899.24</v>
      </c>
      <c r="L59" s="4">
        <f>'תקציב הנדסה 2020 '!L25</f>
        <v>176659.33</v>
      </c>
      <c r="M59" s="4">
        <f>'תקציב הנדסה 2020 '!M25</f>
        <v>53340.670000000013</v>
      </c>
      <c r="N59" s="4">
        <f>'תקציב הנדסה 2020 '!N25</f>
        <v>200000</v>
      </c>
      <c r="O59" s="4">
        <f>'תקציב הנדסה 2020 '!O25</f>
        <v>670000</v>
      </c>
      <c r="P59" s="4">
        <f>'תקציב הנדסה 2020 '!P25</f>
        <v>253340.67</v>
      </c>
      <c r="Q59" s="4">
        <f>'תקציב הנדסה 2020 '!Q25</f>
        <v>0</v>
      </c>
      <c r="R59" s="4">
        <f>'תקציב הנדסה 2020 '!R25</f>
        <v>0</v>
      </c>
      <c r="S59" s="4">
        <f>'תקציב הנדסה 2020 '!S25</f>
        <v>0</v>
      </c>
      <c r="T59" s="4">
        <f>'תקציב הנדסה 2020 '!T25</f>
        <v>200000</v>
      </c>
      <c r="U59" s="4">
        <f>'תקציב הנדסה 2020 '!U25</f>
        <v>0</v>
      </c>
      <c r="V59" s="4">
        <f>'תקציב הנדסה 2020 '!V25</f>
        <v>0</v>
      </c>
      <c r="W59" s="4">
        <f>'תקציב הנדסה 2020 '!W25</f>
        <v>0</v>
      </c>
      <c r="X59" s="4">
        <f>'תקציב הנדסה 2020 '!X25</f>
        <v>0</v>
      </c>
      <c r="Y59" s="4">
        <f>'תקציב הנדסה 2020 '!Y25</f>
        <v>0</v>
      </c>
      <c r="Z59" s="4">
        <f>'תקציב הנדסה 2020 '!Z25</f>
        <v>0</v>
      </c>
      <c r="AA59" s="87" t="str">
        <f>'תקציב הנדסה 2020 '!AA25</f>
        <v>העסקת צוות יועצים שילווה את התכנון והביצוע של הפרויקט.</v>
      </c>
      <c r="AB59" s="706">
        <f>'תקציב הנדסה 2020 '!AB25</f>
        <v>742000</v>
      </c>
      <c r="AC59" s="618"/>
      <c r="AD59" s="52"/>
    </row>
    <row r="60" spans="1:32" s="5" customFormat="1" ht="41.4">
      <c r="A60" s="3">
        <f t="shared" si="2"/>
        <v>54</v>
      </c>
      <c r="B60" s="706">
        <f>'תקציב הנדסה 2020 '!B27</f>
        <v>1511</v>
      </c>
      <c r="C60" s="87" t="str">
        <f>'תקציב הנדסה 2020 '!C27</f>
        <v>פתוח קטעי רח' דרך ירושלים גולומב</v>
      </c>
      <c r="D60" s="4">
        <f>'תקציב הנדסה 2020 '!D27</f>
        <v>960000</v>
      </c>
      <c r="E60" s="4">
        <f>'תקציב הנדסה 2020 '!E27</f>
        <v>960000</v>
      </c>
      <c r="F60" s="4">
        <f>'תקציב הנדסה 2020 '!F27</f>
        <v>0</v>
      </c>
      <c r="G60" s="4">
        <f>'תקציב הנדסה 2020 '!G27</f>
        <v>100000</v>
      </c>
      <c r="H60" s="4">
        <f>'תקציב הנדסה 2020 '!H27</f>
        <v>17284</v>
      </c>
      <c r="I60" s="4">
        <f>'תקציב הנדסה 2020 '!I27</f>
        <v>0</v>
      </c>
      <c r="J60" s="4">
        <f>'תקציב הנדסה 2020 '!J27</f>
        <v>0</v>
      </c>
      <c r="K60" s="4">
        <f>'תקציב הנדסה 2020 '!K27</f>
        <v>0</v>
      </c>
      <c r="L60" s="4">
        <f>'תקציב הנדסה 2020 '!L27</f>
        <v>17284</v>
      </c>
      <c r="M60" s="4">
        <f>'תקציב הנדסה 2020 '!M27</f>
        <v>82716</v>
      </c>
      <c r="N60" s="4">
        <f>'תקציב הנדסה 2020 '!N27</f>
        <v>0</v>
      </c>
      <c r="O60" s="4">
        <f>'תקציב הנדסה 2020 '!O27</f>
        <v>860000</v>
      </c>
      <c r="P60" s="4">
        <f>'תקציב הנדסה 2020 '!P27</f>
        <v>82716</v>
      </c>
      <c r="Q60" s="4">
        <f>'תקציב הנדסה 2020 '!Q27</f>
        <v>0</v>
      </c>
      <c r="R60" s="4">
        <f>'תקציב הנדסה 2020 '!R27</f>
        <v>0</v>
      </c>
      <c r="S60" s="4">
        <f>'תקציב הנדסה 2020 '!S27</f>
        <v>0</v>
      </c>
      <c r="T60" s="4">
        <f>'תקציב הנדסה 2020 '!T27</f>
        <v>0</v>
      </c>
      <c r="U60" s="4">
        <f>'תקציב הנדסה 2020 '!U27</f>
        <v>0</v>
      </c>
      <c r="V60" s="4">
        <f>'תקציב הנדסה 2020 '!V27</f>
        <v>0</v>
      </c>
      <c r="W60" s="4">
        <f>'תקציב הנדסה 2020 '!W27</f>
        <v>0</v>
      </c>
      <c r="X60" s="4">
        <f>'תקציב הנדסה 2020 '!X27</f>
        <v>0</v>
      </c>
      <c r="Y60" s="4">
        <f>'תקציב הנדסה 2020 '!Y27</f>
        <v>0</v>
      </c>
      <c r="Z60" s="4">
        <f>'תקציב הנדסה 2020 '!Z27</f>
        <v>0</v>
      </c>
      <c r="AA60" s="87" t="str">
        <f>'תקציב הנדסה 2020 '!AA27</f>
        <v xml:space="preserve">הקמת חניות והסדרים גיאומטרים ליד מבנה לזכר השואה שיוקם ע"י היזם (ליאור דינור ואחרים). מימון היזם מובטח בערבות. </v>
      </c>
      <c r="AB60" s="706">
        <f>'תקציב הנדסה 2020 '!AB27</f>
        <v>742000</v>
      </c>
      <c r="AC60" s="619"/>
      <c r="AD60" s="52"/>
    </row>
    <row r="61" spans="1:32" s="5" customFormat="1">
      <c r="A61" s="3">
        <f t="shared" si="2"/>
        <v>55</v>
      </c>
      <c r="B61" s="706">
        <f>'תקציב הנדסה 2020 '!B33</f>
        <v>1587</v>
      </c>
      <c r="C61" s="87" t="str">
        <f>'תקציב הנדסה 2020 '!C33</f>
        <v>פיתוח מתחם המכללות הר' 1920/1</v>
      </c>
      <c r="D61" s="4">
        <f>'תקציב הנדסה 2020 '!D33</f>
        <v>34200000</v>
      </c>
      <c r="E61" s="4">
        <f>'תקציב הנדסה 2020 '!E33</f>
        <v>34200000</v>
      </c>
      <c r="F61" s="4">
        <f>'תקציב הנדסה 2020 '!F33</f>
        <v>0</v>
      </c>
      <c r="G61" s="4">
        <f>'תקציב הנדסה 2020 '!G33</f>
        <v>11550000</v>
      </c>
      <c r="H61" s="4">
        <f>'תקציב הנדסה 2020 '!H33</f>
        <v>8929257.1899999995</v>
      </c>
      <c r="I61" s="4">
        <f>'תקציב הנדסה 2020 '!I33</f>
        <v>799141.59</v>
      </c>
      <c r="J61" s="4">
        <f>'תקציב הנדסה 2020 '!J33</f>
        <v>1096116.3400000001</v>
      </c>
      <c r="K61" s="4">
        <f>'תקציב הנדסה 2020 '!K33</f>
        <v>1895257.9300000002</v>
      </c>
      <c r="L61" s="4">
        <f>'תקציב הנדסה 2020 '!L33</f>
        <v>10824515.119999999</v>
      </c>
      <c r="M61" s="4">
        <f>'תקציב הנדסה 2020 '!M33</f>
        <v>725484.88000000082</v>
      </c>
      <c r="N61" s="4">
        <f>'תקציב הנדסה 2020 '!N33</f>
        <v>4000000</v>
      </c>
      <c r="O61" s="4">
        <f>'תקציב הנדסה 2020 '!O33</f>
        <v>18650000</v>
      </c>
      <c r="P61" s="4">
        <f>'תקציב הנדסה 2020 '!P33</f>
        <v>725484.88000000082</v>
      </c>
      <c r="Q61" s="4">
        <f>'תקציב הנדסה 2020 '!Q33</f>
        <v>0</v>
      </c>
      <c r="R61" s="4">
        <f>'תקציב הנדסה 2020 '!R33</f>
        <v>0</v>
      </c>
      <c r="S61" s="4">
        <f>'תקציב הנדסה 2020 '!S33</f>
        <v>0</v>
      </c>
      <c r="T61" s="4">
        <f>'תקציב הנדסה 2020 '!T33</f>
        <v>0</v>
      </c>
      <c r="U61" s="4">
        <f>'תקציב הנדסה 2020 '!U33</f>
        <v>4000000</v>
      </c>
      <c r="V61" s="4">
        <f>'תקציב הנדסה 2020 '!V33</f>
        <v>4000000</v>
      </c>
      <c r="W61" s="4">
        <f>'תקציב הנדסה 2020 '!W33</f>
        <v>0</v>
      </c>
      <c r="X61" s="4">
        <f>'תקציב הנדסה 2020 '!X33</f>
        <v>0</v>
      </c>
      <c r="Y61" s="4">
        <f>'תקציב הנדסה 2020 '!Y33</f>
        <v>0</v>
      </c>
      <c r="Z61" s="4">
        <f>'תקציב הנדסה 2020 '!Z33</f>
        <v>0</v>
      </c>
      <c r="AA61" s="87" t="str">
        <f>'תקציב הנדסה 2020 '!AA33</f>
        <v xml:space="preserve">עבודה סלילה, גינון ותאורה במתחם. </v>
      </c>
      <c r="AB61" s="706">
        <f>'תקציב הנדסה 2020 '!AB33</f>
        <v>742000</v>
      </c>
      <c r="AC61" s="620"/>
      <c r="AD61" s="52"/>
    </row>
    <row r="62" spans="1:32" s="5" customFormat="1">
      <c r="A62" s="3">
        <f t="shared" si="2"/>
        <v>56</v>
      </c>
      <c r="B62" s="706">
        <f>'תקציב הנדסה 2020 '!B34</f>
        <v>1601</v>
      </c>
      <c r="C62" s="87" t="str">
        <f>'תקציב הנדסה 2020 '!C34</f>
        <v>העתקות פרויקטים שונים</v>
      </c>
      <c r="D62" s="4">
        <f>'תקציב הנדסה 2020 '!D34</f>
        <v>700000</v>
      </c>
      <c r="E62" s="4">
        <f>'תקציב הנדסה 2020 '!E34</f>
        <v>700000</v>
      </c>
      <c r="F62" s="4">
        <f>'תקציב הנדסה 2020 '!F34</f>
        <v>0</v>
      </c>
      <c r="G62" s="4">
        <f>'תקציב הנדסה 2020 '!G34</f>
        <v>650000</v>
      </c>
      <c r="H62" s="4">
        <f>'תקציב הנדסה 2020 '!H34</f>
        <v>512755.34</v>
      </c>
      <c r="I62" s="4">
        <f>'תקציב הנדסה 2020 '!I34</f>
        <v>0</v>
      </c>
      <c r="J62" s="4">
        <f>'תקציב הנדסה 2020 '!J34</f>
        <v>20613.2</v>
      </c>
      <c r="K62" s="4">
        <f>'תקציב הנדסה 2020 '!K34</f>
        <v>20613.2</v>
      </c>
      <c r="L62" s="4">
        <f>'תקציב הנדסה 2020 '!L34</f>
        <v>533368.54</v>
      </c>
      <c r="M62" s="4">
        <f>'תקציב הנדסה 2020 '!M34</f>
        <v>116631.45999999996</v>
      </c>
      <c r="N62" s="4">
        <f>'תקציב הנדסה 2020 '!N34</f>
        <v>0</v>
      </c>
      <c r="O62" s="4">
        <f>'תקציב הנדסה 2020 '!O34</f>
        <v>50000</v>
      </c>
      <c r="P62" s="4">
        <f>'תקציב הנדסה 2020 '!P34</f>
        <v>116631.45999999996</v>
      </c>
      <c r="Q62" s="4">
        <f>'תקציב הנדסה 2020 '!Q34</f>
        <v>0</v>
      </c>
      <c r="R62" s="4">
        <f>'תקציב הנדסה 2020 '!R34</f>
        <v>0</v>
      </c>
      <c r="S62" s="4">
        <f>'תקציב הנדסה 2020 '!S34</f>
        <v>0</v>
      </c>
      <c r="T62" s="4">
        <f>'תקציב הנדסה 2020 '!T34</f>
        <v>0</v>
      </c>
      <c r="U62" s="4">
        <f>'תקציב הנדסה 2020 '!U34</f>
        <v>0</v>
      </c>
      <c r="V62" s="4">
        <f>'תקציב הנדסה 2020 '!V34</f>
        <v>0</v>
      </c>
      <c r="W62" s="4">
        <f>'תקציב הנדסה 2020 '!W34</f>
        <v>0</v>
      </c>
      <c r="X62" s="4">
        <f>'תקציב הנדסה 2020 '!X34</f>
        <v>0</v>
      </c>
      <c r="Y62" s="4">
        <f>'תקציב הנדסה 2020 '!Y34</f>
        <v>0</v>
      </c>
      <c r="Z62" s="4">
        <f>'תקציב הנדסה 2020 '!Z34</f>
        <v>0</v>
      </c>
      <c r="AA62" s="87">
        <f>'תקציב הנדסה 2020 '!AA34</f>
        <v>0</v>
      </c>
      <c r="AB62" s="706">
        <f>'תקציב הנדסה 2020 '!AB34</f>
        <v>742000</v>
      </c>
      <c r="AC62" s="619"/>
      <c r="AD62" s="52"/>
    </row>
    <row r="63" spans="1:32" s="6" customFormat="1" ht="27.6">
      <c r="A63" s="3">
        <f t="shared" si="2"/>
        <v>57</v>
      </c>
      <c r="B63" s="706">
        <f>'תקציב הנדסה 2020 '!B35</f>
        <v>1602</v>
      </c>
      <c r="C63" s="87" t="str">
        <f>'תקציב הנדסה 2020 '!C35</f>
        <v>רח' ז'בוטינסקי אלתרמן הבריגדה</v>
      </c>
      <c r="D63" s="4">
        <f>'תקציב הנדסה 2020 '!D35</f>
        <v>32500000</v>
      </c>
      <c r="E63" s="4">
        <f>'תקציב הנדסה 2020 '!E35</f>
        <v>29500000</v>
      </c>
      <c r="F63" s="4">
        <f>'תקציב הנדסה 2020 '!F35</f>
        <v>3000000</v>
      </c>
      <c r="G63" s="4">
        <f>'תקציב הנדסה 2020 '!G35</f>
        <v>32500000</v>
      </c>
      <c r="H63" s="4">
        <f>'תקציב הנדסה 2020 '!H35</f>
        <v>29008286.469999999</v>
      </c>
      <c r="I63" s="4">
        <f>'תקציב הנדסה 2020 '!I35</f>
        <v>2652256.21</v>
      </c>
      <c r="J63" s="4">
        <f>'תקציב הנדסה 2020 '!J35</f>
        <v>150108.25</v>
      </c>
      <c r="K63" s="4">
        <f>'תקציב הנדסה 2020 '!K35</f>
        <v>2802364.46</v>
      </c>
      <c r="L63" s="4">
        <f>'תקציב הנדסה 2020 '!L35</f>
        <v>31810650.93</v>
      </c>
      <c r="M63" s="4">
        <f>'תקציב הנדסה 2020 '!M35</f>
        <v>689349.0700000003</v>
      </c>
      <c r="N63" s="4">
        <f>'תקציב הנדסה 2020 '!N35</f>
        <v>0</v>
      </c>
      <c r="O63" s="4">
        <f>'תקציב הנדסה 2020 '!O35</f>
        <v>0</v>
      </c>
      <c r="P63" s="4">
        <f>'תקציב הנדסה 2020 '!P35</f>
        <v>689349.0700000003</v>
      </c>
      <c r="Q63" s="4">
        <f>'תקציב הנדסה 2020 '!Q35</f>
        <v>0</v>
      </c>
      <c r="R63" s="4">
        <f>'תקציב הנדסה 2020 '!R35</f>
        <v>0</v>
      </c>
      <c r="S63" s="4">
        <f>'תקציב הנדסה 2020 '!S35</f>
        <v>0</v>
      </c>
      <c r="T63" s="4">
        <f>'תקציב הנדסה 2020 '!T35</f>
        <v>0</v>
      </c>
      <c r="U63" s="4">
        <f>'תקציב הנדסה 2020 '!U35</f>
        <v>0</v>
      </c>
      <c r="V63" s="4">
        <f>'תקציב הנדסה 2020 '!V35</f>
        <v>0</v>
      </c>
      <c r="W63" s="4">
        <f>'תקציב הנדסה 2020 '!W35</f>
        <v>0</v>
      </c>
      <c r="X63" s="4">
        <f>'תקציב הנדסה 2020 '!X35</f>
        <v>0</v>
      </c>
      <c r="Y63" s="4">
        <f>'תקציב הנדסה 2020 '!Y35</f>
        <v>0</v>
      </c>
      <c r="Z63" s="4">
        <f>'תקציב הנדסה 2020 '!Z35</f>
        <v>0</v>
      </c>
      <c r="AA63" s="87" t="str">
        <f>'תקציב הנדסה 2020 '!AA35</f>
        <v>עבודות פיתוח במתחם הרחובות והרחבתם.סיום. חן סופיים.</v>
      </c>
      <c r="AB63" s="706">
        <f>'תקציב הנדסה 2020 '!AB35</f>
        <v>742000</v>
      </c>
      <c r="AC63" s="619"/>
      <c r="AD63" s="52"/>
      <c r="AE63" s="5"/>
      <c r="AF63" s="5"/>
    </row>
    <row r="64" spans="1:32" s="5" customFormat="1">
      <c r="A64" s="3">
        <f t="shared" si="2"/>
        <v>58</v>
      </c>
      <c r="B64" s="706">
        <f>'תקציב הנדסה 2020 '!B39</f>
        <v>1670</v>
      </c>
      <c r="C64" s="87" t="str">
        <f>'תקציב הנדסה 2020 '!C39</f>
        <v>פתוח מתחם הר' 1972 תחנה מרכזית</v>
      </c>
      <c r="D64" s="4">
        <f>'תקציב הנדסה 2020 '!D39</f>
        <v>12500000</v>
      </c>
      <c r="E64" s="4">
        <f>'תקציב הנדסה 2020 '!E39</f>
        <v>12500000</v>
      </c>
      <c r="F64" s="4">
        <f>'תקציב הנדסה 2020 '!F39</f>
        <v>0</v>
      </c>
      <c r="G64" s="4">
        <f>'תקציב הנדסה 2020 '!G39</f>
        <v>850000</v>
      </c>
      <c r="H64" s="4">
        <f>'תקציב הנדסה 2020 '!H39</f>
        <v>168571</v>
      </c>
      <c r="I64" s="4">
        <f>'תקציב הנדסה 2020 '!I39</f>
        <v>195569.65</v>
      </c>
      <c r="J64" s="4">
        <f>'תקציב הנדסה 2020 '!J39</f>
        <v>43446.1</v>
      </c>
      <c r="K64" s="4">
        <f>'תקציב הנדסה 2020 '!K39</f>
        <v>239015.75</v>
      </c>
      <c r="L64" s="4">
        <f>'תקציב הנדסה 2020 '!L39</f>
        <v>407586.75</v>
      </c>
      <c r="M64" s="4">
        <f>'תקציב הנדסה 2020 '!M39</f>
        <v>442413.25</v>
      </c>
      <c r="N64" s="4">
        <f>'תקציב הנדסה 2020 '!N39</f>
        <v>700000</v>
      </c>
      <c r="O64" s="4">
        <f>'תקציב הנדסה 2020 '!O39</f>
        <v>10950000</v>
      </c>
      <c r="P64" s="4">
        <f>'תקציב הנדסה 2020 '!P39</f>
        <v>442413.25</v>
      </c>
      <c r="Q64" s="4">
        <f>'תקציב הנדסה 2020 '!Q39</f>
        <v>0</v>
      </c>
      <c r="R64" s="4">
        <f>'תקציב הנדסה 2020 '!R39</f>
        <v>0</v>
      </c>
      <c r="S64" s="4">
        <f>'תקציב הנדסה 2020 '!S39</f>
        <v>0</v>
      </c>
      <c r="T64" s="4">
        <f>'תקציב הנדסה 2020 '!T39</f>
        <v>0</v>
      </c>
      <c r="U64" s="4">
        <f>'תקציב הנדסה 2020 '!U39</f>
        <v>700000</v>
      </c>
      <c r="V64" s="4">
        <f>'תקציב הנדסה 2020 '!V39</f>
        <v>700000</v>
      </c>
      <c r="W64" s="4">
        <f>'תקציב הנדסה 2020 '!W39</f>
        <v>0</v>
      </c>
      <c r="X64" s="4">
        <f>'תקציב הנדסה 2020 '!X39</f>
        <v>0</v>
      </c>
      <c r="Y64" s="4">
        <f>'תקציב הנדסה 2020 '!Y39</f>
        <v>0</v>
      </c>
      <c r="Z64" s="4">
        <f>'תקציב הנדסה 2020 '!Z39</f>
        <v>0</v>
      </c>
      <c r="AA64" s="87" t="str">
        <f>'תקציב הנדסה 2020 '!AA39</f>
        <v>תכנון פיתוח מתחם התחנה.</v>
      </c>
      <c r="AB64" s="706">
        <f>'תקציב הנדסה 2020 '!AB39</f>
        <v>742000</v>
      </c>
      <c r="AC64" s="619"/>
      <c r="AD64" s="52"/>
    </row>
    <row r="65" spans="1:32" s="5" customFormat="1" ht="27.6">
      <c r="A65" s="3">
        <f t="shared" si="2"/>
        <v>59</v>
      </c>
      <c r="B65" s="706">
        <f>'תקציב הנדסה 2020 '!B44</f>
        <v>1722</v>
      </c>
      <c r="C65" s="87" t="str">
        <f>'תקציב הנדסה 2020 '!C44</f>
        <v>חיבור גשר הולכי רגל כביש 20</v>
      </c>
      <c r="D65" s="4">
        <f>'תקציב הנדסה 2020 '!D44</f>
        <v>2400000</v>
      </c>
      <c r="E65" s="4">
        <f>'תקציב הנדסה 2020 '!E44</f>
        <v>2400000</v>
      </c>
      <c r="F65" s="4">
        <f>'תקציב הנדסה 2020 '!F44</f>
        <v>0</v>
      </c>
      <c r="G65" s="4">
        <f>'תקציב הנדסה 2020 '!G44</f>
        <v>300000</v>
      </c>
      <c r="H65" s="4">
        <f>'תקציב הנדסה 2020 '!H44</f>
        <v>98067.4</v>
      </c>
      <c r="I65" s="4">
        <f>'תקציב הנדסה 2020 '!I44</f>
        <v>67052.7</v>
      </c>
      <c r="J65" s="4">
        <f>'תקציב הנדסה 2020 '!J44</f>
        <v>45473.93</v>
      </c>
      <c r="K65" s="4">
        <f>'תקציב הנדסה 2020 '!K44</f>
        <v>112526.63</v>
      </c>
      <c r="L65" s="4">
        <f>'תקציב הנדסה 2020 '!L44</f>
        <v>210594.03</v>
      </c>
      <c r="M65" s="4">
        <f>'תקציב הנדסה 2020 '!M44</f>
        <v>89405.97</v>
      </c>
      <c r="N65" s="4">
        <f>'תקציב הנדסה 2020 '!N44</f>
        <v>0</v>
      </c>
      <c r="O65" s="4">
        <f>'תקציב הנדסה 2020 '!O44</f>
        <v>2100000</v>
      </c>
      <c r="P65" s="4">
        <f>'תקציב הנדסה 2020 '!P44</f>
        <v>89405.97</v>
      </c>
      <c r="Q65" s="4">
        <f>'תקציב הנדסה 2020 '!Q44</f>
        <v>0</v>
      </c>
      <c r="R65" s="4">
        <f>'תקציב הנדסה 2020 '!R44</f>
        <v>0</v>
      </c>
      <c r="S65" s="4">
        <f>'תקציב הנדסה 2020 '!S44</f>
        <v>0</v>
      </c>
      <c r="T65" s="4">
        <f>'תקציב הנדסה 2020 '!T44</f>
        <v>0</v>
      </c>
      <c r="U65" s="4">
        <f>'תקציב הנדסה 2020 '!U44</f>
        <v>0</v>
      </c>
      <c r="V65" s="4">
        <f>'תקציב הנדסה 2020 '!V44</f>
        <v>0</v>
      </c>
      <c r="W65" s="4">
        <f>'תקציב הנדסה 2020 '!W44</f>
        <v>0</v>
      </c>
      <c r="X65" s="4">
        <f>'תקציב הנדסה 2020 '!X44</f>
        <v>0</v>
      </c>
      <c r="Y65" s="4">
        <f>'תקציב הנדסה 2020 '!Y44</f>
        <v>0</v>
      </c>
      <c r="Z65" s="4">
        <f>'תקציב הנדסה 2020 '!Z44</f>
        <v>0</v>
      </c>
      <c r="AA65" s="87" t="str">
        <f>'תקציב הנדסה 2020 '!AA44</f>
        <v>חיבור פארק שלב ב' עם שכונת המסילה בגשר הולכי רגל מעל כביש 20.</v>
      </c>
      <c r="AB65" s="706">
        <f>'תקציב הנדסה 2020 '!AB44</f>
        <v>742000</v>
      </c>
      <c r="AC65" s="619"/>
      <c r="AD65" s="52"/>
    </row>
    <row r="66" spans="1:32" s="5" customFormat="1">
      <c r="A66" s="3">
        <f t="shared" si="2"/>
        <v>60</v>
      </c>
      <c r="B66" s="706">
        <f>'תקציב הנדסה 2020 '!B45</f>
        <v>1744</v>
      </c>
      <c r="C66" s="87" t="str">
        <f>'תקציב הנדסה 2020 '!C45</f>
        <v>מערכת בקרת רמזורים</v>
      </c>
      <c r="D66" s="4">
        <f>'תקציב הנדסה 2020 '!D45</f>
        <v>13000000</v>
      </c>
      <c r="E66" s="4">
        <f>'תקציב הנדסה 2020 '!E45</f>
        <v>13000000</v>
      </c>
      <c r="F66" s="4">
        <f>'תקציב הנדסה 2020 '!F45</f>
        <v>0</v>
      </c>
      <c r="G66" s="4">
        <f>'תקציב הנדסה 2020 '!G45</f>
        <v>8200000</v>
      </c>
      <c r="H66" s="4">
        <f>'תקציב הנדסה 2020 '!H45</f>
        <v>4928998.92</v>
      </c>
      <c r="I66" s="4">
        <f>'תקציב הנדסה 2020 '!I45</f>
        <v>0</v>
      </c>
      <c r="J66" s="4">
        <f>'תקציב הנדסה 2020 '!J45</f>
        <v>2338045.5699999998</v>
      </c>
      <c r="K66" s="4">
        <f>'תקציב הנדסה 2020 '!K45</f>
        <v>2338045.5699999998</v>
      </c>
      <c r="L66" s="4">
        <f>'תקציב הנדסה 2020 '!L45</f>
        <v>7267044.4900000002</v>
      </c>
      <c r="M66" s="4">
        <f>'תקציב הנדסה 2020 '!M45</f>
        <v>932955.50999999978</v>
      </c>
      <c r="N66" s="4">
        <f>'תקציב הנדסה 2020 '!N45</f>
        <v>4800000</v>
      </c>
      <c r="O66" s="4">
        <f>'תקציב הנדסה 2020 '!O45</f>
        <v>0</v>
      </c>
      <c r="P66" s="4">
        <f>'תקציב הנדסה 2020 '!P45</f>
        <v>932955.50999999978</v>
      </c>
      <c r="Q66" s="4">
        <f>'תקציב הנדסה 2020 '!Q45</f>
        <v>0</v>
      </c>
      <c r="R66" s="4">
        <f>'תקציב הנדסה 2020 '!R45</f>
        <v>0</v>
      </c>
      <c r="S66" s="4">
        <f>'תקציב הנדסה 2020 '!S45</f>
        <v>0</v>
      </c>
      <c r="T66" s="4">
        <f>'תקציב הנדסה 2020 '!T45</f>
        <v>0</v>
      </c>
      <c r="U66" s="4">
        <f>'תקציב הנדסה 2020 '!U45</f>
        <v>4800000</v>
      </c>
      <c r="V66" s="4">
        <f>'תקציב הנדסה 2020 '!V45</f>
        <v>4800000</v>
      </c>
      <c r="W66" s="4">
        <f>'תקציב הנדסה 2020 '!W45</f>
        <v>0</v>
      </c>
      <c r="X66" s="4">
        <f>'תקציב הנדסה 2020 '!X45</f>
        <v>0</v>
      </c>
      <c r="Y66" s="4">
        <f>'תקציב הנדסה 2020 '!Y45</f>
        <v>0</v>
      </c>
      <c r="Z66" s="4">
        <f>'תקציב הנדסה 2020 '!Z45</f>
        <v>0</v>
      </c>
      <c r="AA66" s="87" t="str">
        <f>'תקציב הנדסה 2020 '!AA45</f>
        <v xml:space="preserve">הקמת מערכת בקרת רמזורים ברחבי העיר. </v>
      </c>
      <c r="AB66" s="706">
        <f>'תקציב הנדסה 2020 '!AB45</f>
        <v>742000</v>
      </c>
      <c r="AC66" s="619"/>
      <c r="AD66" s="52"/>
    </row>
    <row r="67" spans="1:32" s="5" customFormat="1" ht="27.6">
      <c r="A67" s="3">
        <f t="shared" si="2"/>
        <v>61</v>
      </c>
      <c r="B67" s="706">
        <f>'תקציב הנדסה 2020 '!B46</f>
        <v>1746</v>
      </c>
      <c r="C67" s="87" t="str">
        <f>'תקציב הנדסה 2020 '!C46</f>
        <v>תכנון חניון במתחם אגד</v>
      </c>
      <c r="D67" s="4">
        <f>'תקציב הנדסה 2020 '!D46</f>
        <v>55000000</v>
      </c>
      <c r="E67" s="4">
        <f>'תקציב הנדסה 2020 '!E46</f>
        <v>55000000</v>
      </c>
      <c r="F67" s="4">
        <f>'תקציב הנדסה 2020 '!F46</f>
        <v>0</v>
      </c>
      <c r="G67" s="4">
        <f>'תקציב הנדסה 2020 '!G46</f>
        <v>0</v>
      </c>
      <c r="H67" s="4">
        <f>'תקציב הנדסה 2020 '!H46</f>
        <v>0</v>
      </c>
      <c r="I67" s="4">
        <f>'תקציב הנדסה 2020 '!I46</f>
        <v>0</v>
      </c>
      <c r="J67" s="4">
        <f>'תקציב הנדסה 2020 '!J46</f>
        <v>0</v>
      </c>
      <c r="K67" s="4">
        <f>'תקציב הנדסה 2020 '!K46</f>
        <v>0</v>
      </c>
      <c r="L67" s="4">
        <f>'תקציב הנדסה 2020 '!L46</f>
        <v>0</v>
      </c>
      <c r="M67" s="4">
        <f>'תקציב הנדסה 2020 '!M46</f>
        <v>0</v>
      </c>
      <c r="N67" s="4">
        <f>'תקציב הנדסה 2020 '!N46</f>
        <v>0</v>
      </c>
      <c r="O67" s="4">
        <f>'תקציב הנדסה 2020 '!O46</f>
        <v>55000000</v>
      </c>
      <c r="P67" s="4">
        <f>'תקציב הנדסה 2020 '!P46</f>
        <v>0</v>
      </c>
      <c r="Q67" s="4">
        <f>'תקציב הנדסה 2020 '!Q46</f>
        <v>0</v>
      </c>
      <c r="R67" s="4">
        <f>'תקציב הנדסה 2020 '!R46</f>
        <v>0</v>
      </c>
      <c r="S67" s="4">
        <f>'תקציב הנדסה 2020 '!S46</f>
        <v>0</v>
      </c>
      <c r="T67" s="4">
        <f>'תקציב הנדסה 2020 '!T46</f>
        <v>0</v>
      </c>
      <c r="U67" s="4">
        <f>'תקציב הנדסה 2020 '!U46</f>
        <v>0</v>
      </c>
      <c r="V67" s="4">
        <f>'תקציב הנדסה 2020 '!V46</f>
        <v>0</v>
      </c>
      <c r="W67" s="4">
        <f>'תקציב הנדסה 2020 '!W46</f>
        <v>0</v>
      </c>
      <c r="X67" s="4">
        <f>'תקציב הנדסה 2020 '!X46</f>
        <v>0</v>
      </c>
      <c r="Y67" s="4">
        <f>'תקציב הנדסה 2020 '!Y46</f>
        <v>0</v>
      </c>
      <c r="Z67" s="4">
        <f>'תקציב הנדסה 2020 '!Z46</f>
        <v>0</v>
      </c>
      <c r="AA67" s="87" t="str">
        <f>'תקציב הנדסה 2020 '!AA46</f>
        <v>תכנון חניון תת קרקעי במתחם התחנה המרכזית הישנה.</v>
      </c>
      <c r="AB67" s="706">
        <f>'תקציב הנדסה 2020 '!AB46</f>
        <v>742000</v>
      </c>
      <c r="AC67" s="621"/>
      <c r="AD67" s="52"/>
    </row>
    <row r="68" spans="1:32" s="5" customFormat="1" ht="27.6">
      <c r="A68" s="3">
        <f t="shared" si="2"/>
        <v>62</v>
      </c>
      <c r="B68" s="706">
        <f>'תקציב הנדסה 2020 '!B55</f>
        <v>1805</v>
      </c>
      <c r="C68" s="87" t="str">
        <f>'תקציב הנדסה 2020 '!C55</f>
        <v>שביל אופניים הרצליה-ת"א הפקעות</v>
      </c>
      <c r="D68" s="4">
        <f>'תקציב הנדסה 2020 '!D55</f>
        <v>1000000</v>
      </c>
      <c r="E68" s="4">
        <f>'תקציב הנדסה 2020 '!E55</f>
        <v>1000000</v>
      </c>
      <c r="F68" s="4">
        <f>'תקציב הנדסה 2020 '!F55</f>
        <v>0</v>
      </c>
      <c r="G68" s="4">
        <f>'תקציב הנדסה 2020 '!G55</f>
        <v>60000</v>
      </c>
      <c r="H68" s="4">
        <f>'תקציב הנדסה 2020 '!H55</f>
        <v>2677</v>
      </c>
      <c r="I68" s="4">
        <f>'תקציב הנדסה 2020 '!I55</f>
        <v>0</v>
      </c>
      <c r="J68" s="4">
        <f>'תקציב הנדסה 2020 '!J55</f>
        <v>0</v>
      </c>
      <c r="K68" s="4">
        <f>'תקציב הנדסה 2020 '!K55</f>
        <v>0</v>
      </c>
      <c r="L68" s="4">
        <f>'תקציב הנדסה 2020 '!L55</f>
        <v>2677</v>
      </c>
      <c r="M68" s="4">
        <f>'תקציב הנדסה 2020 '!M55</f>
        <v>57323</v>
      </c>
      <c r="N68" s="4">
        <f>'תקציב הנדסה 2020 '!N55</f>
        <v>940000</v>
      </c>
      <c r="O68" s="4">
        <f>'תקציב הנדסה 2020 '!O55</f>
        <v>0</v>
      </c>
      <c r="P68" s="4">
        <f>'תקציב הנדסה 2020 '!P55</f>
        <v>57323</v>
      </c>
      <c r="Q68" s="4">
        <f>'תקציב הנדסה 2020 '!Q55</f>
        <v>0</v>
      </c>
      <c r="R68" s="4">
        <f>'תקציב הנדסה 2020 '!R55</f>
        <v>0</v>
      </c>
      <c r="S68" s="4">
        <f>'תקציב הנדסה 2020 '!S55</f>
        <v>0</v>
      </c>
      <c r="T68" s="4">
        <f>'תקציב הנדסה 2020 '!T55</f>
        <v>0</v>
      </c>
      <c r="U68" s="4">
        <f>'תקציב הנדסה 2020 '!U55</f>
        <v>940000</v>
      </c>
      <c r="V68" s="4">
        <f>'תקציב הנדסה 2020 '!V55</f>
        <v>940000</v>
      </c>
      <c r="W68" s="4">
        <f>'תקציב הנדסה 2020 '!W55</f>
        <v>0</v>
      </c>
      <c r="X68" s="4">
        <f>'תקציב הנדסה 2020 '!X55</f>
        <v>0</v>
      </c>
      <c r="Y68" s="4">
        <f>'תקציב הנדסה 2020 '!Y55</f>
        <v>0</v>
      </c>
      <c r="Z68" s="4">
        <f>'תקציב הנדסה 2020 '!Z55</f>
        <v>0</v>
      </c>
      <c r="AA68" s="87" t="str">
        <f>'תקציב הנדסה 2020 '!AA55</f>
        <v>תשלומי פיצויים להפקעות לביצוע שביל אופניים זמני ע"י משרד התחבורה.</v>
      </c>
      <c r="AB68" s="706">
        <f>'תקציב הנדסה 2020 '!AB55</f>
        <v>742000</v>
      </c>
      <c r="AC68" s="619"/>
      <c r="AD68" s="52"/>
    </row>
    <row r="69" spans="1:32" s="5" customFormat="1" ht="41.4">
      <c r="A69" s="3">
        <f t="shared" si="2"/>
        <v>63</v>
      </c>
      <c r="B69" s="706">
        <f>'תקציב הנדסה 2020 '!B57</f>
        <v>1826</v>
      </c>
      <c r="C69" s="87" t="str">
        <f>'תקציב הנדסה 2020 '!C57</f>
        <v>פיתוח שצ"פים במורדי הגטאות</v>
      </c>
      <c r="D69" s="4">
        <f>'תקציב הנדסה 2020 '!D57</f>
        <v>1500000</v>
      </c>
      <c r="E69" s="4">
        <f>'תקציב הנדסה 2020 '!E57</f>
        <v>1500000</v>
      </c>
      <c r="F69" s="4">
        <f>'תקציב הנדסה 2020 '!F57</f>
        <v>0</v>
      </c>
      <c r="G69" s="4">
        <f>'תקציב הנדסה 2020 '!G57</f>
        <v>400000</v>
      </c>
      <c r="H69" s="4">
        <f>'תקציב הנדסה 2020 '!H57</f>
        <v>14227</v>
      </c>
      <c r="I69" s="4">
        <f>'תקציב הנדסה 2020 '!I57</f>
        <v>0</v>
      </c>
      <c r="J69" s="4">
        <f>'תקציב הנדסה 2020 '!J57</f>
        <v>0</v>
      </c>
      <c r="K69" s="4">
        <f>'תקציב הנדסה 2020 '!K57</f>
        <v>0</v>
      </c>
      <c r="L69" s="4">
        <f>'תקציב הנדסה 2020 '!L57</f>
        <v>14227</v>
      </c>
      <c r="M69" s="4">
        <f>'תקציב הנדסה 2020 '!M57</f>
        <v>385773</v>
      </c>
      <c r="N69" s="4">
        <f>'תקציב הנדסה 2020 '!N57</f>
        <v>0</v>
      </c>
      <c r="O69" s="4">
        <f>'תקציב הנדסה 2020 '!O57</f>
        <v>1100000</v>
      </c>
      <c r="P69" s="4">
        <f>'תקציב הנדסה 2020 '!P57</f>
        <v>385773</v>
      </c>
      <c r="Q69" s="4">
        <f>'תקציב הנדסה 2020 '!Q57</f>
        <v>0</v>
      </c>
      <c r="R69" s="4">
        <f>'תקציב הנדסה 2020 '!R57</f>
        <v>0</v>
      </c>
      <c r="S69" s="4">
        <f>'תקציב הנדסה 2020 '!S57</f>
        <v>0</v>
      </c>
      <c r="T69" s="4">
        <f>'תקציב הנדסה 2020 '!T57</f>
        <v>0</v>
      </c>
      <c r="U69" s="4">
        <f>'תקציב הנדסה 2020 '!U57</f>
        <v>0</v>
      </c>
      <c r="V69" s="4">
        <f>'תקציב הנדסה 2020 '!V57</f>
        <v>0</v>
      </c>
      <c r="W69" s="4">
        <f>'תקציב הנדסה 2020 '!W57</f>
        <v>0</v>
      </c>
      <c r="X69" s="4">
        <f>'תקציב הנדסה 2020 '!X57</f>
        <v>0</v>
      </c>
      <c r="Y69" s="4">
        <f>'תקציב הנדסה 2020 '!Y57</f>
        <v>0</v>
      </c>
      <c r="Z69" s="4">
        <f>'תקציב הנדסה 2020 '!Z57</f>
        <v>0</v>
      </c>
      <c r="AA69" s="87" t="str">
        <f>'תקציב הנדסה 2020 '!AA57</f>
        <v>הסדרת דרכי גישה למבני מגורים והסדרת פלישות לשטחי ציבור. המשך תכנון השצ"פים כ - 1,300 מ"ר.</v>
      </c>
      <c r="AB69" s="706">
        <f>'תקציב הנדסה 2020 '!AB57</f>
        <v>742000</v>
      </c>
      <c r="AC69" s="620"/>
      <c r="AD69" s="52"/>
      <c r="AE69" s="6"/>
      <c r="AF69" s="6"/>
    </row>
    <row r="70" spans="1:32" s="6" customFormat="1" ht="27.6">
      <c r="A70" s="3">
        <f t="shared" si="2"/>
        <v>64</v>
      </c>
      <c r="B70" s="706">
        <f>'תקציב הנדסה 2020 '!B60</f>
        <v>1882</v>
      </c>
      <c r="C70" s="87" t="str">
        <f>'תקציב הנדסה 2020 '!C60</f>
        <v>פיתוח מתחם אולפני הרצליה</v>
      </c>
      <c r="D70" s="4">
        <f>'תקציב הנדסה 2020 '!D60</f>
        <v>14300000</v>
      </c>
      <c r="E70" s="4">
        <f>'תקציב הנדסה 2020 '!E60</f>
        <v>14300000</v>
      </c>
      <c r="F70" s="4">
        <f>'תקציב הנדסה 2020 '!F60</f>
        <v>0</v>
      </c>
      <c r="G70" s="4">
        <f>'תקציב הנדסה 2020 '!G60</f>
        <v>200000</v>
      </c>
      <c r="H70" s="4">
        <f>'תקציב הנדסה 2020 '!H60</f>
        <v>0</v>
      </c>
      <c r="I70" s="4">
        <f>'תקציב הנדסה 2020 '!I60</f>
        <v>0</v>
      </c>
      <c r="J70" s="4">
        <f>'תקציב הנדסה 2020 '!J60</f>
        <v>0</v>
      </c>
      <c r="K70" s="4">
        <f>'תקציב הנדסה 2020 '!K60</f>
        <v>0</v>
      </c>
      <c r="L70" s="4">
        <f>'תקציב הנדסה 2020 '!L60</f>
        <v>0</v>
      </c>
      <c r="M70" s="4">
        <f>'תקציב הנדסה 2020 '!M60</f>
        <v>200000</v>
      </c>
      <c r="N70" s="4">
        <f>'תקציב הנדסה 2020 '!N60</f>
        <v>0</v>
      </c>
      <c r="O70" s="4">
        <f>'תקציב הנדסה 2020 '!O60</f>
        <v>14100000</v>
      </c>
      <c r="P70" s="4">
        <f>'תקציב הנדסה 2020 '!P60</f>
        <v>200000</v>
      </c>
      <c r="Q70" s="4">
        <f>'תקציב הנדסה 2020 '!Q60</f>
        <v>0</v>
      </c>
      <c r="R70" s="4">
        <f>'תקציב הנדסה 2020 '!R60</f>
        <v>0</v>
      </c>
      <c r="S70" s="4">
        <f>'תקציב הנדסה 2020 '!S60</f>
        <v>0</v>
      </c>
      <c r="T70" s="4">
        <f>'תקציב הנדסה 2020 '!T60</f>
        <v>0</v>
      </c>
      <c r="U70" s="4">
        <f>'תקציב הנדסה 2020 '!U60</f>
        <v>0</v>
      </c>
      <c r="V70" s="4">
        <f>'תקציב הנדסה 2020 '!V60</f>
        <v>0</v>
      </c>
      <c r="W70" s="4">
        <f>'תקציב הנדסה 2020 '!W60</f>
        <v>0</v>
      </c>
      <c r="X70" s="4">
        <f>'תקציב הנדסה 2020 '!X60</f>
        <v>0</v>
      </c>
      <c r="Y70" s="4">
        <f>'תקציב הנדסה 2020 '!Y60</f>
        <v>0</v>
      </c>
      <c r="Z70" s="4">
        <f>'תקציב הנדסה 2020 '!Z60</f>
        <v>0</v>
      </c>
      <c r="AA70" s="87" t="str">
        <f>'תקציב הנדסה 2020 '!AA60</f>
        <v>פיתוח מתחם אולפני הרצליה תב"ע הר' 2180. תכנון.</v>
      </c>
      <c r="AB70" s="706">
        <f>'תקציב הנדסה 2020 '!AB60</f>
        <v>742000</v>
      </c>
      <c r="AC70" s="619"/>
      <c r="AD70" s="52"/>
      <c r="AE70" s="5"/>
      <c r="AF70" s="5"/>
    </row>
    <row r="71" spans="1:32" s="5" customFormat="1" ht="27.6">
      <c r="A71" s="3">
        <f t="shared" si="2"/>
        <v>65</v>
      </c>
      <c r="B71" s="706">
        <f>'תקציב הנדסה 2020 '!B65</f>
        <v>2007</v>
      </c>
      <c r="C71" s="87" t="str">
        <f>'תקציב הנדסה 2020 '!C65</f>
        <v>חניון עצמאות</v>
      </c>
      <c r="D71" s="4">
        <f>'תקציב הנדסה 2020 '!D65</f>
        <v>1100000</v>
      </c>
      <c r="E71" s="4">
        <f>'תקציב הנדסה 2020 '!E65</f>
        <v>1100000</v>
      </c>
      <c r="F71" s="4">
        <f>'תקציב הנדסה 2020 '!F65</f>
        <v>0</v>
      </c>
      <c r="G71" s="4">
        <f>'תקציב הנדסה 2020 '!G65</f>
        <v>1100000</v>
      </c>
      <c r="H71" s="4">
        <f>'תקציב הנדסה 2020 '!H65</f>
        <v>95247.31</v>
      </c>
      <c r="I71" s="4">
        <f>'תקציב הנדסה 2020 '!I65</f>
        <v>0</v>
      </c>
      <c r="J71" s="4">
        <f>'תקציב הנדסה 2020 '!J65</f>
        <v>869179.37</v>
      </c>
      <c r="K71" s="4">
        <f>'תקציב הנדסה 2020 '!K65</f>
        <v>869179.37</v>
      </c>
      <c r="L71" s="4">
        <f>'תקציב הנדסה 2020 '!L65</f>
        <v>964426.67999999993</v>
      </c>
      <c r="M71" s="4">
        <f>'תקציב הנדסה 2020 '!M65</f>
        <v>135573.32000000007</v>
      </c>
      <c r="N71" s="4">
        <f>'תקציב הנדסה 2020 '!N65</f>
        <v>0</v>
      </c>
      <c r="O71" s="4">
        <f>'תקציב הנדסה 2020 '!O65</f>
        <v>0</v>
      </c>
      <c r="P71" s="4">
        <f>'תקציב הנדסה 2020 '!P65</f>
        <v>135573.32000000007</v>
      </c>
      <c r="Q71" s="4">
        <f>'תקציב הנדסה 2020 '!Q65</f>
        <v>0</v>
      </c>
      <c r="R71" s="4">
        <f>'תקציב הנדסה 2020 '!R65</f>
        <v>0</v>
      </c>
      <c r="S71" s="4">
        <f>'תקציב הנדסה 2020 '!S65</f>
        <v>0</v>
      </c>
      <c r="T71" s="4">
        <f>'תקציב הנדסה 2020 '!T65</f>
        <v>0</v>
      </c>
      <c r="U71" s="4">
        <f>'תקציב הנדסה 2020 '!U65</f>
        <v>0</v>
      </c>
      <c r="V71" s="4">
        <f>'תקציב הנדסה 2020 '!V65</f>
        <v>0</v>
      </c>
      <c r="W71" s="4">
        <f>'תקציב הנדסה 2020 '!W65</f>
        <v>0</v>
      </c>
      <c r="X71" s="4">
        <f>'תקציב הנדסה 2020 '!X65</f>
        <v>0</v>
      </c>
      <c r="Y71" s="4">
        <f>'תקציב הנדסה 2020 '!Y65</f>
        <v>0</v>
      </c>
      <c r="Z71" s="4">
        <f>'תקציב הנדסה 2020 '!Z65</f>
        <v>0</v>
      </c>
      <c r="AA71" s="87" t="str">
        <f>'תקציב הנדסה 2020 '!AA65</f>
        <v>פיתוח חניון זמני במתחם אגד. סיום.חן סופיים.</v>
      </c>
      <c r="AB71" s="706">
        <f>'תקציב הנדסה 2020 '!AB65</f>
        <v>742000</v>
      </c>
      <c r="AC71" s="618"/>
      <c r="AD71" s="52"/>
    </row>
    <row r="72" spans="1:32" s="6" customFormat="1" ht="27.6">
      <c r="A72" s="3">
        <f t="shared" si="2"/>
        <v>66</v>
      </c>
      <c r="B72" s="706">
        <f>'תקציב הנדסה 2020 '!B66</f>
        <v>2009</v>
      </c>
      <c r="C72" s="87" t="str">
        <f>'תקציב הנדסה 2020 '!C66</f>
        <v>סמטת ניסנוב</v>
      </c>
      <c r="D72" s="4">
        <f>'תקציב הנדסה 2020 '!D66</f>
        <v>9000000</v>
      </c>
      <c r="E72" s="4">
        <f>'תקציב הנדסה 2020 '!E66</f>
        <v>9000000</v>
      </c>
      <c r="F72" s="4">
        <f>'תקציב הנדסה 2020 '!F66</f>
        <v>0</v>
      </c>
      <c r="G72" s="4">
        <f>'תקציב הנדסה 2020 '!G66</f>
        <v>1000000</v>
      </c>
      <c r="H72" s="4">
        <f>'תקציב הנדסה 2020 '!H66</f>
        <v>0</v>
      </c>
      <c r="I72" s="4">
        <f>'תקציב הנדסה 2020 '!I66</f>
        <v>0</v>
      </c>
      <c r="J72" s="4">
        <f>'תקציב הנדסה 2020 '!J66</f>
        <v>0</v>
      </c>
      <c r="K72" s="4">
        <f>'תקציב הנדסה 2020 '!K66</f>
        <v>0</v>
      </c>
      <c r="L72" s="4">
        <f>'תקציב הנדסה 2020 '!L66</f>
        <v>0</v>
      </c>
      <c r="M72" s="4">
        <f>'תקציב הנדסה 2020 '!M66</f>
        <v>1000000</v>
      </c>
      <c r="N72" s="4">
        <f>'תקציב הנדסה 2020 '!N66</f>
        <v>4200000</v>
      </c>
      <c r="O72" s="4">
        <f>'תקציב הנדסה 2020 '!O66</f>
        <v>3800000</v>
      </c>
      <c r="P72" s="4">
        <f>'תקציב הנדסה 2020 '!P66</f>
        <v>1000000</v>
      </c>
      <c r="Q72" s="4">
        <f>'תקציב הנדסה 2020 '!Q66</f>
        <v>0</v>
      </c>
      <c r="R72" s="4">
        <f>'תקציב הנדסה 2020 '!R66</f>
        <v>0</v>
      </c>
      <c r="S72" s="4">
        <f>'תקציב הנדסה 2020 '!S66</f>
        <v>0</v>
      </c>
      <c r="T72" s="4">
        <f>'תקציב הנדסה 2020 '!T66</f>
        <v>0</v>
      </c>
      <c r="U72" s="4">
        <f>'תקציב הנדסה 2020 '!U66</f>
        <v>4200000</v>
      </c>
      <c r="V72" s="4">
        <f>'תקציב הנדסה 2020 '!V66</f>
        <v>4200000</v>
      </c>
      <c r="W72" s="4">
        <f>'תקציב הנדסה 2020 '!W66</f>
        <v>0</v>
      </c>
      <c r="X72" s="4">
        <f>'תקציב הנדסה 2020 '!X66</f>
        <v>0</v>
      </c>
      <c r="Y72" s="4">
        <f>'תקציב הנדסה 2020 '!Y66</f>
        <v>0</v>
      </c>
      <c r="Z72" s="4">
        <f>'תקציב הנדסה 2020 '!Z66</f>
        <v>0</v>
      </c>
      <c r="AA72" s="87" t="str">
        <f>'תקציב הנדסה 2020 '!AA66</f>
        <v xml:space="preserve">פיתוח סימטה שהפכה לדרך במסגרת תב"ע 2029 בנווה עמל. </v>
      </c>
      <c r="AB72" s="706">
        <f>'תקציב הנדסה 2020 '!AB66</f>
        <v>742000</v>
      </c>
      <c r="AC72" s="619"/>
      <c r="AD72" s="52"/>
      <c r="AE72" s="5"/>
      <c r="AF72" s="5"/>
    </row>
    <row r="73" spans="1:32" s="5" customFormat="1" ht="27.6">
      <c r="A73" s="3">
        <f t="shared" si="2"/>
        <v>67</v>
      </c>
      <c r="B73" s="706">
        <f>'תקציב הנדסה 2020 '!B67</f>
        <v>2012</v>
      </c>
      <c r="C73" s="87" t="str">
        <f>'תקציב הנדסה 2020 '!C67</f>
        <v>ציר העדפה</v>
      </c>
      <c r="D73" s="4">
        <f>'תקציב הנדסה 2020 '!D67</f>
        <v>5000000</v>
      </c>
      <c r="E73" s="4">
        <f>'תקציב הנדסה 2020 '!E67</f>
        <v>5000000</v>
      </c>
      <c r="F73" s="4">
        <f>'תקציב הנדסה 2020 '!F67</f>
        <v>0</v>
      </c>
      <c r="G73" s="4">
        <f>'תקציב הנדסה 2020 '!G67</f>
        <v>200000</v>
      </c>
      <c r="H73" s="4">
        <f>'תקציב הנדסה 2020 '!H67</f>
        <v>0</v>
      </c>
      <c r="I73" s="4">
        <f>'תקציב הנדסה 2020 '!I67</f>
        <v>0</v>
      </c>
      <c r="J73" s="4">
        <f>'תקציב הנדסה 2020 '!J67</f>
        <v>0</v>
      </c>
      <c r="K73" s="4">
        <f>'תקציב הנדסה 2020 '!K67</f>
        <v>0</v>
      </c>
      <c r="L73" s="4">
        <f>'תקציב הנדסה 2020 '!L67</f>
        <v>0</v>
      </c>
      <c r="M73" s="4">
        <f>'תקציב הנדסה 2020 '!M67</f>
        <v>0</v>
      </c>
      <c r="N73" s="4">
        <f>'תקציב הנדסה 2020 '!N67</f>
        <v>200000</v>
      </c>
      <c r="O73" s="4">
        <f>'תקציב הנדסה 2020 '!O67</f>
        <v>4800000</v>
      </c>
      <c r="P73" s="4">
        <f>'תקציב הנדסה 2020 '!P67</f>
        <v>200000</v>
      </c>
      <c r="Q73" s="4">
        <f>'תקציב הנדסה 2020 '!Q67</f>
        <v>0</v>
      </c>
      <c r="R73" s="4">
        <f>'תקציב הנדסה 2020 '!R67</f>
        <v>0</v>
      </c>
      <c r="S73" s="4">
        <f>'תקציב הנדסה 2020 '!S67</f>
        <v>0</v>
      </c>
      <c r="T73" s="4">
        <f>'תקציב הנדסה 2020 '!T67</f>
        <v>200000</v>
      </c>
      <c r="U73" s="4">
        <f>'תקציב הנדסה 2020 '!U67</f>
        <v>0</v>
      </c>
      <c r="V73" s="4">
        <f>'תקציב הנדסה 2020 '!V67</f>
        <v>0</v>
      </c>
      <c r="W73" s="4">
        <f>'תקציב הנדסה 2020 '!W67</f>
        <v>0</v>
      </c>
      <c r="X73" s="4">
        <f>'תקציב הנדסה 2020 '!X67</f>
        <v>0</v>
      </c>
      <c r="Y73" s="4">
        <f>'תקציב הנדסה 2020 '!Y67</f>
        <v>0</v>
      </c>
      <c r="Z73" s="4">
        <f>'תקציב הנדסה 2020 '!Z67</f>
        <v>0</v>
      </c>
      <c r="AA73" s="87" t="str">
        <f>'תקציב הנדסה 2020 '!AA67</f>
        <v>עבודות עקב פרויקט " מהיר לעיר" כולל תוספת חיפוי קיר בטון.</v>
      </c>
      <c r="AB73" s="706">
        <f>'תקציב הנדסה 2020 '!AB67</f>
        <v>742000</v>
      </c>
      <c r="AC73" s="619"/>
      <c r="AD73" s="52"/>
    </row>
    <row r="74" spans="1:32" s="5" customFormat="1" ht="27.6">
      <c r="A74" s="3">
        <f t="shared" si="2"/>
        <v>68</v>
      </c>
      <c r="B74" s="706">
        <f>'תקציב הנדסה 2020 '!B69</f>
        <v>2077</v>
      </c>
      <c r="C74" s="87" t="str">
        <f>'תקציב הנדסה 2020 '!C69</f>
        <v xml:space="preserve">פיתוח משה דיין </v>
      </c>
      <c r="D74" s="4">
        <f>'תקציב הנדסה 2020 '!D69</f>
        <v>4000000</v>
      </c>
      <c r="E74" s="4">
        <f>'תקציב הנדסה 2020 '!E69</f>
        <v>4000000</v>
      </c>
      <c r="F74" s="4">
        <f>'תקציב הנדסה 2020 '!F69</f>
        <v>0</v>
      </c>
      <c r="G74" s="4">
        <f>'תקציב הנדסה 2020 '!G69</f>
        <v>0</v>
      </c>
      <c r="H74" s="4">
        <f>'תקציב הנדסה 2020 '!H69</f>
        <v>0</v>
      </c>
      <c r="I74" s="4">
        <f>'תקציב הנדסה 2020 '!I69</f>
        <v>0</v>
      </c>
      <c r="J74" s="4">
        <f>'תקציב הנדסה 2020 '!J69</f>
        <v>0</v>
      </c>
      <c r="K74" s="4">
        <f>'תקציב הנדסה 2020 '!K69</f>
        <v>0</v>
      </c>
      <c r="L74" s="4">
        <f>'תקציב הנדסה 2020 '!L69</f>
        <v>0</v>
      </c>
      <c r="M74" s="4">
        <f>'תקציב הנדסה 2020 '!M69</f>
        <v>0</v>
      </c>
      <c r="N74" s="4">
        <f>'תקציב הנדסה 2020 '!N69</f>
        <v>0</v>
      </c>
      <c r="O74" s="4">
        <f>'תקציב הנדסה 2020 '!O69</f>
        <v>4000000</v>
      </c>
      <c r="P74" s="4">
        <f>'תקציב הנדסה 2020 '!P69</f>
        <v>0</v>
      </c>
      <c r="Q74" s="4">
        <f>'תקציב הנדסה 2020 '!Q69</f>
        <v>0</v>
      </c>
      <c r="R74" s="4">
        <f>'תקציב הנדסה 2020 '!R69</f>
        <v>0</v>
      </c>
      <c r="S74" s="4">
        <f>'תקציב הנדסה 2020 '!S69</f>
        <v>0</v>
      </c>
      <c r="T74" s="4">
        <f>'תקציב הנדסה 2020 '!T69</f>
        <v>0</v>
      </c>
      <c r="U74" s="4">
        <f>'תקציב הנדסה 2020 '!U69</f>
        <v>0</v>
      </c>
      <c r="V74" s="4">
        <f>'תקציב הנדסה 2020 '!V69</f>
        <v>0</v>
      </c>
      <c r="W74" s="4">
        <f>'תקציב הנדסה 2020 '!W69</f>
        <v>0</v>
      </c>
      <c r="X74" s="4">
        <f>'תקציב הנדסה 2020 '!X69</f>
        <v>0</v>
      </c>
      <c r="Y74" s="4">
        <f>'תקציב הנדסה 2020 '!Y69</f>
        <v>0</v>
      </c>
      <c r="Z74" s="4">
        <f>'תקציב הנדסה 2020 '!Z69</f>
        <v>0</v>
      </c>
      <c r="AA74" s="87" t="str">
        <f>'תקציב הנדסה 2020 '!AA69</f>
        <v>תכנון וביצוע רחוב משה דיין כולל חיבור לכביש 20, הילס, אופני דן.</v>
      </c>
      <c r="AB74" s="706">
        <f>'תקציב הנדסה 2020 '!AB69</f>
        <v>742000</v>
      </c>
      <c r="AC74" s="619"/>
      <c r="AD74" s="52"/>
    </row>
    <row r="75" spans="1:32" s="6" customFormat="1" ht="27.6">
      <c r="A75" s="3">
        <f t="shared" si="2"/>
        <v>69</v>
      </c>
      <c r="B75" s="706">
        <f>'תקציב הנדסה 2020 '!B70</f>
        <v>2105</v>
      </c>
      <c r="C75" s="87" t="str">
        <f>'תקציב הנדסה 2020 '!C70</f>
        <v>הארכת דרך ירושלים והתחברות אליה</v>
      </c>
      <c r="D75" s="4">
        <f>'תקציב הנדסה 2020 '!D70</f>
        <v>60000000</v>
      </c>
      <c r="E75" s="4">
        <f>'תקציב הנדסה 2020 '!E70</f>
        <v>60000000</v>
      </c>
      <c r="F75" s="4">
        <f>'תקציב הנדסה 2020 '!F70</f>
        <v>0</v>
      </c>
      <c r="G75" s="4">
        <f>'תקציב הנדסה 2020 '!G70</f>
        <v>0</v>
      </c>
      <c r="H75" s="4">
        <f>'תקציב הנדסה 2020 '!H70</f>
        <v>0</v>
      </c>
      <c r="I75" s="4">
        <f>'תקציב הנדסה 2020 '!I70</f>
        <v>0</v>
      </c>
      <c r="J75" s="4">
        <f>'תקציב הנדסה 2020 '!J70</f>
        <v>0</v>
      </c>
      <c r="K75" s="4">
        <f>'תקציב הנדסה 2020 '!K70</f>
        <v>0</v>
      </c>
      <c r="L75" s="4">
        <f>'תקציב הנדסה 2020 '!L70</f>
        <v>0</v>
      </c>
      <c r="M75" s="4">
        <f>'תקציב הנדסה 2020 '!M70</f>
        <v>0</v>
      </c>
      <c r="N75" s="4">
        <f>'תקציב הנדסה 2020 '!N70</f>
        <v>0</v>
      </c>
      <c r="O75" s="4">
        <f>'תקציב הנדסה 2020 '!O70</f>
        <v>60000000</v>
      </c>
      <c r="P75" s="4">
        <f>'תקציב הנדסה 2020 '!P70</f>
        <v>0</v>
      </c>
      <c r="Q75" s="4">
        <f>'תקציב הנדסה 2020 '!Q70</f>
        <v>0</v>
      </c>
      <c r="R75" s="4">
        <f>'תקציב הנדסה 2020 '!R70</f>
        <v>0</v>
      </c>
      <c r="S75" s="4">
        <f>'תקציב הנדסה 2020 '!S70</f>
        <v>0</v>
      </c>
      <c r="T75" s="4">
        <f>'תקציב הנדסה 2020 '!T70</f>
        <v>0</v>
      </c>
      <c r="U75" s="4">
        <f>'תקציב הנדסה 2020 '!U70</f>
        <v>0</v>
      </c>
      <c r="V75" s="4">
        <f>'תקציב הנדסה 2020 '!V70</f>
        <v>0</v>
      </c>
      <c r="W75" s="4">
        <f>'תקציב הנדסה 2020 '!W70</f>
        <v>0</v>
      </c>
      <c r="X75" s="4">
        <f>'תקציב הנדסה 2020 '!X70</f>
        <v>0</v>
      </c>
      <c r="Y75" s="4">
        <f>'תקציב הנדסה 2020 '!Y70</f>
        <v>0</v>
      </c>
      <c r="Z75" s="4">
        <f>'תקציב הנדסה 2020 '!Z70</f>
        <v>0</v>
      </c>
      <c r="AA75" s="87" t="str">
        <f>'תקציב הנדסה 2020 '!AA70</f>
        <v xml:space="preserve">הארכת דרך ירושלים  מרחוב סוקולוב עד ליפקין שחק כול דרך ושביל אופניים . </v>
      </c>
      <c r="AB75" s="706">
        <f>'תקציב הנדסה 2020 '!AB70</f>
        <v>742000</v>
      </c>
      <c r="AC75" s="620"/>
      <c r="AD75" s="52"/>
      <c r="AE75" s="5"/>
      <c r="AF75" s="5"/>
    </row>
    <row r="76" spans="1:32" s="6" customFormat="1" ht="55.2">
      <c r="A76" s="3">
        <f t="shared" si="2"/>
        <v>70</v>
      </c>
      <c r="B76" s="706">
        <f>'תקציב הנדסה 2020 '!B71</f>
        <v>2107</v>
      </c>
      <c r="C76" s="87" t="str">
        <f>'תקציב הנדסה 2020 '!C71</f>
        <v>פיתוח וביצוע שידרוג ויזואלי מתחם בני בניימין הנדיב</v>
      </c>
      <c r="D76" s="4">
        <f>'תקציב הנדסה 2020 '!D71</f>
        <v>340000</v>
      </c>
      <c r="E76" s="4">
        <f>'תקציב הנדסה 2020 '!E71</f>
        <v>340000</v>
      </c>
      <c r="F76" s="4">
        <f>'תקציב הנדסה 2020 '!F71</f>
        <v>0</v>
      </c>
      <c r="G76" s="4">
        <f>'תקציב הנדסה 2020 '!G71</f>
        <v>0</v>
      </c>
      <c r="H76" s="4">
        <f>'תקציב הנדסה 2020 '!H71</f>
        <v>0</v>
      </c>
      <c r="I76" s="4">
        <f>'תקציב הנדסה 2020 '!I71</f>
        <v>0</v>
      </c>
      <c r="J76" s="4">
        <f>'תקציב הנדסה 2020 '!J71</f>
        <v>0</v>
      </c>
      <c r="K76" s="4">
        <f>'תקציב הנדסה 2020 '!K71</f>
        <v>0</v>
      </c>
      <c r="L76" s="4">
        <f>'תקציב הנדסה 2020 '!L71</f>
        <v>0</v>
      </c>
      <c r="M76" s="4">
        <f>'תקציב הנדסה 2020 '!M71</f>
        <v>0</v>
      </c>
      <c r="N76" s="4">
        <f>'תקציב הנדסה 2020 '!N71</f>
        <v>340000</v>
      </c>
      <c r="O76" s="4">
        <f>'תקציב הנדסה 2020 '!O71</f>
        <v>0</v>
      </c>
      <c r="P76" s="4">
        <f>'תקציב הנדסה 2020 '!P71</f>
        <v>0</v>
      </c>
      <c r="Q76" s="4">
        <f>'תקציב הנדסה 2020 '!Q71</f>
        <v>0</v>
      </c>
      <c r="R76" s="4">
        <f>'תקציב הנדסה 2020 '!R71</f>
        <v>0</v>
      </c>
      <c r="S76" s="4">
        <f>'תקציב הנדסה 2020 '!S71</f>
        <v>0</v>
      </c>
      <c r="T76" s="4">
        <f>'תקציב הנדסה 2020 '!T71</f>
        <v>0</v>
      </c>
      <c r="U76" s="4">
        <f>'תקציב הנדסה 2020 '!U71</f>
        <v>340000</v>
      </c>
      <c r="V76" s="4">
        <f>'תקציב הנדסה 2020 '!V71</f>
        <v>340000</v>
      </c>
      <c r="W76" s="4">
        <f>'תקציב הנדסה 2020 '!W71</f>
        <v>0</v>
      </c>
      <c r="X76" s="4">
        <f>'תקציב הנדסה 2020 '!X71</f>
        <v>0</v>
      </c>
      <c r="Y76" s="4">
        <f>'תקציב הנדסה 2020 '!Y71</f>
        <v>0</v>
      </c>
      <c r="Z76" s="4">
        <f>'תקציב הנדסה 2020 '!Z71</f>
        <v>0</v>
      </c>
      <c r="AA76" s="87" t="str">
        <f>'תקציב הנדסה 2020 '!AA71</f>
        <v>הסדרת שבילי גישה רגלית וכניסת כלי רכב לחניות,שביל פינוי אשפה,פיתוח כולל גינון ותאורה.ב-2020 מתוכנן מרכז "מייקרים" בשיתוף אדריכלית השימור.</v>
      </c>
      <c r="AB76" s="706">
        <f>'תקציב הנדסה 2020 '!AB71</f>
        <v>742000</v>
      </c>
      <c r="AC76" s="620"/>
      <c r="AD76" s="52"/>
      <c r="AE76" s="5"/>
      <c r="AF76" s="5"/>
    </row>
    <row r="77" spans="1:32" s="6" customFormat="1" ht="27.6">
      <c r="A77" s="3">
        <f t="shared" si="2"/>
        <v>71</v>
      </c>
      <c r="B77" s="706">
        <f>'תקציב הנדסה 2020 '!B77</f>
        <v>2119</v>
      </c>
      <c r="C77" s="87" t="str">
        <f>'תקציב הנדסה 2020 '!C77</f>
        <v>שביל מתחם העצמאות הרב גורן הבנים</v>
      </c>
      <c r="D77" s="4">
        <f>'תקציב הנדסה 2020 '!D77</f>
        <v>1400000</v>
      </c>
      <c r="E77" s="4">
        <f>'תקציב הנדסה 2020 '!E77</f>
        <v>1400000</v>
      </c>
      <c r="F77" s="4">
        <f>'תקציב הנדסה 2020 '!F77</f>
        <v>0</v>
      </c>
      <c r="G77" s="4">
        <f>'תקציב הנדסה 2020 '!G77</f>
        <v>0</v>
      </c>
      <c r="H77" s="4">
        <f>'תקציב הנדסה 2020 '!H77</f>
        <v>0</v>
      </c>
      <c r="I77" s="4">
        <f>'תקציב הנדסה 2020 '!I77</f>
        <v>0</v>
      </c>
      <c r="J77" s="4">
        <f>'תקציב הנדסה 2020 '!J77</f>
        <v>0</v>
      </c>
      <c r="K77" s="4">
        <f>'תקציב הנדסה 2020 '!K77</f>
        <v>0</v>
      </c>
      <c r="L77" s="4">
        <f>'תקציב הנדסה 2020 '!L77</f>
        <v>0</v>
      </c>
      <c r="M77" s="4">
        <f>'תקציב הנדסה 2020 '!M77</f>
        <v>0</v>
      </c>
      <c r="N77" s="4">
        <f>'תקציב הנדסה 2020 '!N77</f>
        <v>1100000</v>
      </c>
      <c r="O77" s="4">
        <f>'תקציב הנדסה 2020 '!O77</f>
        <v>300000</v>
      </c>
      <c r="P77" s="4">
        <f>'תקציב הנדסה 2020 '!P77</f>
        <v>0</v>
      </c>
      <c r="Q77" s="4">
        <f>'תקציב הנדסה 2020 '!Q77</f>
        <v>0</v>
      </c>
      <c r="R77" s="4">
        <f>'תקציב הנדסה 2020 '!R77</f>
        <v>0</v>
      </c>
      <c r="S77" s="4">
        <f>'תקציב הנדסה 2020 '!S77</f>
        <v>0</v>
      </c>
      <c r="T77" s="4">
        <f>'תקציב הנדסה 2020 '!T77</f>
        <v>0</v>
      </c>
      <c r="U77" s="4">
        <f>'תקציב הנדסה 2020 '!U77</f>
        <v>1100000</v>
      </c>
      <c r="V77" s="4">
        <f>'תקציב הנדסה 2020 '!V77</f>
        <v>1100000</v>
      </c>
      <c r="W77" s="4">
        <f>'תקציב הנדסה 2020 '!W77</f>
        <v>0</v>
      </c>
      <c r="X77" s="4">
        <f>'תקציב הנדסה 2020 '!X77</f>
        <v>0</v>
      </c>
      <c r="Y77" s="4">
        <f>'תקציב הנדסה 2020 '!Y77</f>
        <v>0</v>
      </c>
      <c r="Z77" s="4">
        <f>'תקציב הנדסה 2020 '!Z77</f>
        <v>0</v>
      </c>
      <c r="AA77" s="87" t="str">
        <f>'תקציב הנדסה 2020 '!AA77</f>
        <v>עבודות פיתוח מערך שבילים בין הרחובות העצמאות הרב גורן ורחוב הבנים.</v>
      </c>
      <c r="AB77" s="706">
        <f>'תקציב הנדסה 2020 '!AB77</f>
        <v>742000</v>
      </c>
      <c r="AC77" s="618"/>
      <c r="AD77" s="52"/>
    </row>
    <row r="78" spans="1:32" s="5" customFormat="1" ht="41.4">
      <c r="A78" s="3">
        <f t="shared" si="2"/>
        <v>72</v>
      </c>
      <c r="B78" s="706">
        <f>'תקציב הנדסה 2020 '!B79</f>
        <v>2121</v>
      </c>
      <c r="C78" s="87" t="str">
        <f>'תקציב הנדסה 2020 '!C79</f>
        <v>צומת הבריגדה היהודית -מנחם בגין- בטיחות</v>
      </c>
      <c r="D78" s="4">
        <f>'תקציב הנדסה 2020 '!D79</f>
        <v>300000</v>
      </c>
      <c r="E78" s="4">
        <f>'תקציב הנדסה 2020 '!E79</f>
        <v>300000</v>
      </c>
      <c r="F78" s="4">
        <f>'תקציב הנדסה 2020 '!F79</f>
        <v>0</v>
      </c>
      <c r="G78" s="4">
        <f>'תקציב הנדסה 2020 '!G79</f>
        <v>300000</v>
      </c>
      <c r="H78" s="4">
        <f>'תקציב הנדסה 2020 '!H79</f>
        <v>0</v>
      </c>
      <c r="I78" s="4">
        <f>'תקציב הנדסה 2020 '!I79</f>
        <v>0</v>
      </c>
      <c r="J78" s="4">
        <f>'תקציב הנדסה 2020 '!J79</f>
        <v>30864.6</v>
      </c>
      <c r="K78" s="4">
        <f>'תקציב הנדסה 2020 '!K79</f>
        <v>30864.6</v>
      </c>
      <c r="L78" s="4">
        <f>'תקציב הנדסה 2020 '!L79</f>
        <v>30864.6</v>
      </c>
      <c r="M78" s="4">
        <f>'תקציב הנדסה 2020 '!M79</f>
        <v>269135.40000000002</v>
      </c>
      <c r="N78" s="4">
        <f>'תקציב הנדסה 2020 '!N79</f>
        <v>0</v>
      </c>
      <c r="O78" s="4">
        <f>'תקציב הנדסה 2020 '!O79</f>
        <v>0</v>
      </c>
      <c r="P78" s="4">
        <f>'תקציב הנדסה 2020 '!P79</f>
        <v>269135.40000000002</v>
      </c>
      <c r="Q78" s="4">
        <f>'תקציב הנדסה 2020 '!Q79</f>
        <v>0</v>
      </c>
      <c r="R78" s="4">
        <f>'תקציב הנדסה 2020 '!R79</f>
        <v>0</v>
      </c>
      <c r="S78" s="4">
        <f>'תקציב הנדסה 2020 '!S79</f>
        <v>0</v>
      </c>
      <c r="T78" s="4">
        <f>'תקציב הנדסה 2020 '!T79</f>
        <v>0</v>
      </c>
      <c r="U78" s="4">
        <f>'תקציב הנדסה 2020 '!U79</f>
        <v>0</v>
      </c>
      <c r="V78" s="4">
        <f>'תקציב הנדסה 2020 '!V79</f>
        <v>0</v>
      </c>
      <c r="W78" s="4">
        <f>'תקציב הנדסה 2020 '!W79</f>
        <v>0</v>
      </c>
      <c r="X78" s="4">
        <f>'תקציב הנדסה 2020 '!X79</f>
        <v>0</v>
      </c>
      <c r="Y78" s="4">
        <f>'תקציב הנדסה 2020 '!Y79</f>
        <v>0</v>
      </c>
      <c r="Z78" s="4">
        <f>'תקציב הנדסה 2020 '!Z79</f>
        <v>0</v>
      </c>
      <c r="AA78" s="87" t="str">
        <f>'תקציב הנדסה 2020 '!AA79</f>
        <v>תכנון צומת הבריגדה היהודית -מנחם בגין עקב ריבוי תאונות דרכים עפ"י נתוני הרלב"ד. מימון מ. התחבורה.</v>
      </c>
      <c r="AB78" s="706">
        <f>'תקציב הנדסה 2020 '!AB79</f>
        <v>742000</v>
      </c>
      <c r="AC78" s="618"/>
      <c r="AD78" s="52"/>
      <c r="AE78" s="6"/>
      <c r="AF78" s="6"/>
    </row>
    <row r="79" spans="1:32" s="5" customFormat="1" ht="41.4">
      <c r="A79" s="3">
        <f t="shared" si="2"/>
        <v>73</v>
      </c>
      <c r="B79" s="706">
        <f>'תקציב הנדסה 2020 '!B80</f>
        <v>2123</v>
      </c>
      <c r="C79" s="87" t="str">
        <f>'תקציב הנדסה 2020 '!C80</f>
        <v>צומת השרון בר אילן -בטיחות</v>
      </c>
      <c r="D79" s="4">
        <f>'תקציב הנדסה 2020 '!D80</f>
        <v>750000</v>
      </c>
      <c r="E79" s="4">
        <f>'תקציב הנדסה 2020 '!E80</f>
        <v>750000</v>
      </c>
      <c r="F79" s="4">
        <f>'תקציב הנדסה 2020 '!F80</f>
        <v>0</v>
      </c>
      <c r="G79" s="4">
        <f>'תקציב הנדסה 2020 '!G80</f>
        <v>0</v>
      </c>
      <c r="H79" s="4">
        <f>'תקציב הנדסה 2020 '!H80</f>
        <v>0</v>
      </c>
      <c r="I79" s="4">
        <f>'תקציב הנדסה 2020 '!I80</f>
        <v>0</v>
      </c>
      <c r="J79" s="4">
        <f>'תקציב הנדסה 2020 '!J80</f>
        <v>0</v>
      </c>
      <c r="K79" s="4">
        <f>'תקציב הנדסה 2020 '!K80</f>
        <v>0</v>
      </c>
      <c r="L79" s="4">
        <f>'תקציב הנדסה 2020 '!L80</f>
        <v>0</v>
      </c>
      <c r="M79" s="4">
        <f>'תקציב הנדסה 2020 '!M80</f>
        <v>50000</v>
      </c>
      <c r="N79" s="4">
        <f>'תקציב הנדסה 2020 '!N80</f>
        <v>700000</v>
      </c>
      <c r="O79" s="4">
        <f>'תקציב הנדסה 2020 '!O80</f>
        <v>0</v>
      </c>
      <c r="P79" s="4">
        <f>'תקציב הנדסה 2020 '!P80</f>
        <v>0</v>
      </c>
      <c r="Q79" s="4">
        <f>'תקציב הנדסה 2020 '!Q80</f>
        <v>750000</v>
      </c>
      <c r="R79" s="4">
        <f>'תקציב הנדסה 2020 '!R80</f>
        <v>0</v>
      </c>
      <c r="S79" s="4">
        <f>'תקציב הנדסה 2020 '!S80</f>
        <v>750000</v>
      </c>
      <c r="T79" s="4">
        <f>'תקציב הנדסה 2020 '!T80</f>
        <v>700000</v>
      </c>
      <c r="U79" s="4">
        <f>'תקציב הנדסה 2020 '!U80</f>
        <v>0</v>
      </c>
      <c r="V79" s="4">
        <f>'תקציב הנדסה 2020 '!V80</f>
        <v>0</v>
      </c>
      <c r="W79" s="4">
        <f>'תקציב הנדסה 2020 '!W80</f>
        <v>0</v>
      </c>
      <c r="X79" s="4">
        <f>'תקציב הנדסה 2020 '!X80</f>
        <v>0</v>
      </c>
      <c r="Y79" s="4">
        <f>'תקציב הנדסה 2020 '!Y80</f>
        <v>0</v>
      </c>
      <c r="Z79" s="4">
        <f>'תקציב הנדסה 2020 '!Z80</f>
        <v>0</v>
      </c>
      <c r="AA79" s="87" t="str">
        <f>'תקציב הנדסה 2020 '!AA80</f>
        <v>תכנון צומת השרון בר אילן  עקב ריבוי תאונות דרכים עפ"י נתוני הרלב"ד. מימון מ. התחבורה.</v>
      </c>
      <c r="AB79" s="706">
        <f>'תקציב הנדסה 2020 '!AB80</f>
        <v>742000</v>
      </c>
      <c r="AC79" s="618"/>
      <c r="AD79" s="52"/>
      <c r="AE79" s="6"/>
      <c r="AF79" s="6"/>
    </row>
    <row r="80" spans="1:32" s="5" customFormat="1">
      <c r="A80" s="3">
        <f t="shared" si="2"/>
        <v>74</v>
      </c>
      <c r="B80" s="706">
        <f>'תקציב הנדסה 2020 '!B82</f>
        <v>2142</v>
      </c>
      <c r="C80" s="87" t="str">
        <f>'תקציב הנדסה 2020 '!C82</f>
        <v>פיתוח רח' הארז והחרוב</v>
      </c>
      <c r="D80" s="4">
        <f>'תקציב הנדסה 2020 '!D82</f>
        <v>2400000</v>
      </c>
      <c r="E80" s="4">
        <f>'תקציב הנדסה 2020 '!E82</f>
        <v>0</v>
      </c>
      <c r="F80" s="4">
        <f>'תקציב הנדסה 2020 '!F82</f>
        <v>2400000</v>
      </c>
      <c r="G80" s="4">
        <f>'תקציב הנדסה 2020 '!G82</f>
        <v>0</v>
      </c>
      <c r="H80" s="4">
        <f>'תקציב הנדסה 2020 '!H82</f>
        <v>0</v>
      </c>
      <c r="I80" s="4">
        <f>'תקציב הנדסה 2020 '!I82</f>
        <v>0</v>
      </c>
      <c r="J80" s="4">
        <f>'תקציב הנדסה 2020 '!J82</f>
        <v>0</v>
      </c>
      <c r="K80" s="4">
        <f>'תקציב הנדסה 2020 '!K82</f>
        <v>0</v>
      </c>
      <c r="L80" s="4">
        <f>'תקציב הנדסה 2020 '!L82</f>
        <v>0</v>
      </c>
      <c r="M80" s="4">
        <f>'תקציב הנדסה 2020 '!M82</f>
        <v>0</v>
      </c>
      <c r="N80" s="4">
        <f>'תקציב הנדסה 2020 '!N82</f>
        <v>2400000</v>
      </c>
      <c r="O80" s="4">
        <f>'תקציב הנדסה 2020 '!O82</f>
        <v>0</v>
      </c>
      <c r="P80" s="4">
        <f>'תקציב הנדסה 2020 '!P82</f>
        <v>0</v>
      </c>
      <c r="Q80" s="4">
        <f>'תקציב הנדסה 2020 '!Q82</f>
        <v>0</v>
      </c>
      <c r="R80" s="4">
        <f>'תקציב הנדסה 2020 '!R82</f>
        <v>0</v>
      </c>
      <c r="S80" s="4">
        <f>'תקציב הנדסה 2020 '!S82</f>
        <v>0</v>
      </c>
      <c r="T80" s="4">
        <f>'תקציב הנדסה 2020 '!T82</f>
        <v>0</v>
      </c>
      <c r="U80" s="4">
        <f>'תקציב הנדסה 2020 '!U82</f>
        <v>2400000</v>
      </c>
      <c r="V80" s="4">
        <f>'תקציב הנדסה 2020 '!V82</f>
        <v>2400000</v>
      </c>
      <c r="W80" s="4">
        <f>'תקציב הנדסה 2020 '!W82</f>
        <v>0</v>
      </c>
      <c r="X80" s="4">
        <f>'תקציב הנדסה 2020 '!X82</f>
        <v>0</v>
      </c>
      <c r="Y80" s="4">
        <f>'תקציב הנדסה 2020 '!Y82</f>
        <v>0</v>
      </c>
      <c r="Z80" s="4">
        <f>'תקציב הנדסה 2020 '!Z82</f>
        <v>0</v>
      </c>
      <c r="AA80" s="87" t="str">
        <f>'תקציב הנדסה 2020 '!AA82</f>
        <v>פיתוח רחובות הארז והחרוב. תכנון וביצוע.</v>
      </c>
      <c r="AB80" s="706">
        <f>'תקציב הנדסה 2020 '!AB82</f>
        <v>742000</v>
      </c>
      <c r="AC80" s="618"/>
      <c r="AD80" s="52"/>
      <c r="AE80" s="6"/>
      <c r="AF80" s="6"/>
    </row>
    <row r="81" spans="1:32" s="5" customFormat="1" ht="41.4">
      <c r="A81" s="3">
        <f t="shared" si="2"/>
        <v>75</v>
      </c>
      <c r="B81" s="706">
        <f>'תקציב הנדסה 2020 '!B85</f>
        <v>2145</v>
      </c>
      <c r="C81" s="87" t="str">
        <f>'תקציב הנדסה 2020 '!C85</f>
        <v>ציר ירושלים יבנה/הנגב</v>
      </c>
      <c r="D81" s="4">
        <f>'תקציב הנדסה 2020 '!D85</f>
        <v>2050000</v>
      </c>
      <c r="E81" s="4">
        <f>'תקציב הנדסה 2020 '!E85</f>
        <v>0</v>
      </c>
      <c r="F81" s="4">
        <f>'תקציב הנדסה 2020 '!F85</f>
        <v>2050000</v>
      </c>
      <c r="G81" s="4">
        <f>'תקציב הנדסה 2020 '!G85</f>
        <v>0</v>
      </c>
      <c r="H81" s="4">
        <f>'תקציב הנדסה 2020 '!H85</f>
        <v>0</v>
      </c>
      <c r="I81" s="4">
        <f>'תקציב הנדסה 2020 '!I85</f>
        <v>0</v>
      </c>
      <c r="J81" s="4">
        <f>'תקציב הנדסה 2020 '!J85</f>
        <v>0</v>
      </c>
      <c r="K81" s="4">
        <f>'תקציב הנדסה 2020 '!K85</f>
        <v>0</v>
      </c>
      <c r="L81" s="4">
        <f>'תקציב הנדסה 2020 '!L85</f>
        <v>0</v>
      </c>
      <c r="M81" s="4">
        <f>'תקציב הנדסה 2020 '!M85</f>
        <v>0</v>
      </c>
      <c r="N81" s="4">
        <f>'תקציב הנדסה 2020 '!N85</f>
        <v>500000</v>
      </c>
      <c r="O81" s="4">
        <f>'תקציב הנדסה 2020 '!O85</f>
        <v>1550000</v>
      </c>
      <c r="P81" s="4">
        <f>'תקציב הנדסה 2020 '!P85</f>
        <v>0</v>
      </c>
      <c r="Q81" s="4">
        <f>'תקציב הנדסה 2020 '!Q85</f>
        <v>0</v>
      </c>
      <c r="R81" s="4">
        <f>'תקציב הנדסה 2020 '!R85</f>
        <v>0</v>
      </c>
      <c r="S81" s="4">
        <f>'תקציב הנדסה 2020 '!S85</f>
        <v>0</v>
      </c>
      <c r="T81" s="4">
        <f>'תקציב הנדסה 2020 '!T85</f>
        <v>0</v>
      </c>
      <c r="U81" s="4">
        <f>'תקציב הנדסה 2020 '!U85</f>
        <v>500000</v>
      </c>
      <c r="V81" s="4">
        <f>'תקציב הנדסה 2020 '!V85</f>
        <v>500000</v>
      </c>
      <c r="W81" s="4">
        <f>'תקציב הנדסה 2020 '!W85</f>
        <v>0</v>
      </c>
      <c r="X81" s="4">
        <f>'תקציב הנדסה 2020 '!X85</f>
        <v>0</v>
      </c>
      <c r="Y81" s="4">
        <f>'תקציב הנדסה 2020 '!Y85</f>
        <v>0</v>
      </c>
      <c r="Z81" s="4">
        <f>'תקציב הנדסה 2020 '!Z85</f>
        <v>0</v>
      </c>
      <c r="AA81" s="87" t="str">
        <f>'תקציב הנדסה 2020 '!AA85</f>
        <v>תכנון ציר הרחובות ירושלים יבנה/הנגב המסתמן להיות אחד מעורקי התחבורה הראשיים בעיר.</v>
      </c>
      <c r="AB81" s="706">
        <f>'תקציב הנדסה 2020 '!AB85</f>
        <v>742000</v>
      </c>
      <c r="AC81" s="618"/>
      <c r="AD81" s="52"/>
      <c r="AE81" s="6"/>
      <c r="AF81" s="6"/>
    </row>
    <row r="82" spans="1:32" s="5" customFormat="1" ht="41.4">
      <c r="A82" s="3">
        <f t="shared" si="2"/>
        <v>76</v>
      </c>
      <c r="B82" s="706">
        <f>'תקציב הנדסה 2020 '!B62</f>
        <v>1943</v>
      </c>
      <c r="C82" s="87" t="str">
        <f>'תקציב הנדסה 2020 '!C62</f>
        <v xml:space="preserve">מגרש סימולציה לאופניים </v>
      </c>
      <c r="D82" s="4">
        <f>'תקציב הנדסה 2020 '!D62</f>
        <v>6750000</v>
      </c>
      <c r="E82" s="4">
        <f>'תקציב הנדסה 2020 '!E62</f>
        <v>6750000</v>
      </c>
      <c r="F82" s="4">
        <f>'תקציב הנדסה 2020 '!F62</f>
        <v>0</v>
      </c>
      <c r="G82" s="4">
        <f>'תקציב הנדסה 2020 '!G62</f>
        <v>6750000</v>
      </c>
      <c r="H82" s="4">
        <f>'תקציב הנדסה 2020 '!H62</f>
        <v>4531769.8899999997</v>
      </c>
      <c r="I82" s="4">
        <f>'תקציב הנדסה 2020 '!I62</f>
        <v>68274.94</v>
      </c>
      <c r="J82" s="4">
        <f>'תקציב הנדסה 2020 '!J62</f>
        <v>1900030.88</v>
      </c>
      <c r="K82" s="4">
        <f>'תקציב הנדסה 2020 '!K62</f>
        <v>1968305.8199999998</v>
      </c>
      <c r="L82" s="4">
        <f>'תקציב הנדסה 2020 '!L62</f>
        <v>6500075.709999999</v>
      </c>
      <c r="M82" s="4">
        <f>'תקציב הנדסה 2020 '!M62</f>
        <v>249924.29000000097</v>
      </c>
      <c r="N82" s="4">
        <f>'תקציב הנדסה 2020 '!N62</f>
        <v>0</v>
      </c>
      <c r="O82" s="4">
        <f>'תקציב הנדסה 2020 '!O62</f>
        <v>0</v>
      </c>
      <c r="P82" s="4">
        <f>'תקציב הנדסה 2020 '!P62</f>
        <v>249924.29000000097</v>
      </c>
      <c r="Q82" s="4">
        <f>'תקציב הנדסה 2020 '!Q62</f>
        <v>0</v>
      </c>
      <c r="R82" s="4">
        <f>'תקציב הנדסה 2020 '!R62</f>
        <v>0</v>
      </c>
      <c r="S82" s="4">
        <f>'תקציב הנדסה 2020 '!S62</f>
        <v>0</v>
      </c>
      <c r="T82" s="4">
        <f>'תקציב הנדסה 2020 '!T62</f>
        <v>0</v>
      </c>
      <c r="U82" s="4">
        <f>'תקציב הנדסה 2020 '!U62</f>
        <v>0</v>
      </c>
      <c r="V82" s="4">
        <f>'תקציב הנדסה 2020 '!V62</f>
        <v>0</v>
      </c>
      <c r="W82" s="4">
        <f>'תקציב הנדסה 2020 '!W62</f>
        <v>0</v>
      </c>
      <c r="X82" s="4">
        <f>'תקציב הנדסה 2020 '!X62</f>
        <v>0</v>
      </c>
      <c r="Y82" s="4">
        <f>'תקציב הנדסה 2020 '!Y62</f>
        <v>0</v>
      </c>
      <c r="Z82" s="4">
        <f>'תקציב הנדסה 2020 '!Z62</f>
        <v>0</v>
      </c>
      <c r="AA82" s="87" t="str">
        <f>'תקציב הנדסה 2020 '!AA62</f>
        <v xml:space="preserve">עבודות השלמה סופיות  לרבות מתכננים ופיקוח עקב התארכות תקופת הביצוע של הפרויקט. </v>
      </c>
      <c r="AB82" s="706">
        <f>'תקציב הנדסה 2020 '!AB62</f>
        <v>744000</v>
      </c>
      <c r="AC82" s="619"/>
      <c r="AD82" s="52"/>
    </row>
    <row r="83" spans="1:32" s="5" customFormat="1">
      <c r="A83" s="3">
        <f t="shared" si="2"/>
        <v>77</v>
      </c>
      <c r="B83" s="706">
        <f>'תקציב הנדסה 2020 '!B11</f>
        <v>608</v>
      </c>
      <c r="C83" s="87" t="str">
        <f>'תקציב הנדסה 2020 '!C11</f>
        <v>עבודות ניקוז בעיר</v>
      </c>
      <c r="D83" s="4">
        <f>'תקציב הנדסה 2020 '!D11</f>
        <v>8300000</v>
      </c>
      <c r="E83" s="4">
        <f>'תקציב הנדסה 2020 '!E11</f>
        <v>8300000</v>
      </c>
      <c r="F83" s="4">
        <f>'תקציב הנדסה 2020 '!F11</f>
        <v>0</v>
      </c>
      <c r="G83" s="4">
        <f>'תקציב הנדסה 2020 '!G11</f>
        <v>6200000</v>
      </c>
      <c r="H83" s="4">
        <f>'תקציב הנדסה 2020 '!H11</f>
        <v>5233021.67</v>
      </c>
      <c r="I83" s="4">
        <f>'תקציב הנדסה 2020 '!I11</f>
        <v>0</v>
      </c>
      <c r="J83" s="4">
        <f>'תקציב הנדסה 2020 '!J11</f>
        <v>366573.76</v>
      </c>
      <c r="K83" s="4">
        <f>'תקציב הנדסה 2020 '!K11</f>
        <v>366573.76</v>
      </c>
      <c r="L83" s="4">
        <f>'תקציב הנדסה 2020 '!L11</f>
        <v>5599595.4299999997</v>
      </c>
      <c r="M83" s="4">
        <f>'תקציב הנדסה 2020 '!M11</f>
        <v>400404.5700000003</v>
      </c>
      <c r="N83" s="4">
        <f>'תקציב הנדסה 2020 '!N11</f>
        <v>200000</v>
      </c>
      <c r="O83" s="4">
        <f>'תקציב הנדסה 2020 '!O11</f>
        <v>2100000</v>
      </c>
      <c r="P83" s="4">
        <f>'תקציב הנדסה 2020 '!P11</f>
        <v>600404.5700000003</v>
      </c>
      <c r="Q83" s="4">
        <f>'תקציב הנדסה 2020 '!Q11</f>
        <v>0</v>
      </c>
      <c r="R83" s="4">
        <f>'תקציב הנדסה 2020 '!R11</f>
        <v>0</v>
      </c>
      <c r="S83" s="4">
        <f>'תקציב הנדסה 2020 '!S11</f>
        <v>0</v>
      </c>
      <c r="T83" s="4">
        <f>'תקציב הנדסה 2020 '!T11</f>
        <v>200000</v>
      </c>
      <c r="U83" s="4">
        <f>'תקציב הנדסה 2020 '!U11</f>
        <v>0</v>
      </c>
      <c r="V83" s="4">
        <f>'תקציב הנדסה 2020 '!V11</f>
        <v>0</v>
      </c>
      <c r="W83" s="4">
        <f>'תקציב הנדסה 2020 '!W11</f>
        <v>0</v>
      </c>
      <c r="X83" s="4">
        <f>'תקציב הנדסה 2020 '!X11</f>
        <v>0</v>
      </c>
      <c r="Y83" s="4">
        <f>'תקציב הנדסה 2020 '!Y11</f>
        <v>0</v>
      </c>
      <c r="Z83" s="4">
        <f>'תקציב הנדסה 2020 '!Z11</f>
        <v>0</v>
      </c>
      <c r="AA83" s="87" t="str">
        <f>'תקציב הנדסה 2020 '!AA11</f>
        <v>סל עבודות ניקוז ברחבי העיר .</v>
      </c>
      <c r="AB83" s="706">
        <f>'תקציב הנדסה 2020 '!AB11</f>
        <v>745000</v>
      </c>
      <c r="AC83" s="619"/>
      <c r="AD83" s="52"/>
    </row>
    <row r="84" spans="1:32" s="5" customFormat="1">
      <c r="A84" s="3">
        <f t="shared" si="2"/>
        <v>78</v>
      </c>
      <c r="B84" s="706">
        <f>'תקציב הנדסה 2020 '!B7</f>
        <v>304</v>
      </c>
      <c r="C84" s="87" t="str">
        <f>'תקציב הנדסה 2020 '!C7</f>
        <v>פיתוח פארק הבאסה</v>
      </c>
      <c r="D84" s="4">
        <f>'תקציב הנדסה 2020 '!D7</f>
        <v>54930000</v>
      </c>
      <c r="E84" s="4">
        <f>'תקציב הנדסה 2020 '!E7</f>
        <v>54930000</v>
      </c>
      <c r="F84" s="4">
        <f>'תקציב הנדסה 2020 '!F7</f>
        <v>0</v>
      </c>
      <c r="G84" s="4">
        <f>'תקציב הנדסה 2020 '!G7</f>
        <v>54930000</v>
      </c>
      <c r="H84" s="4">
        <f>'תקציב הנדסה 2020 '!H7</f>
        <v>54780522.609999999</v>
      </c>
      <c r="I84" s="4">
        <f>'תקציב הנדסה 2020 '!I7</f>
        <v>149074.13</v>
      </c>
      <c r="J84" s="4">
        <f>'תקציב הנדסה 2020 '!J7</f>
        <v>0</v>
      </c>
      <c r="K84" s="4">
        <f>'תקציב הנדסה 2020 '!K7</f>
        <v>149074.13</v>
      </c>
      <c r="L84" s="4">
        <f>'תקציב הנדסה 2020 '!L7</f>
        <v>54929596.740000002</v>
      </c>
      <c r="M84" s="4">
        <f>'תקציב הנדסה 2020 '!M7</f>
        <v>403.25999999791384</v>
      </c>
      <c r="N84" s="4">
        <f>'תקציב הנדסה 2020 '!N7</f>
        <v>0</v>
      </c>
      <c r="O84" s="4">
        <f>'תקציב הנדסה 2020 '!O7</f>
        <v>0</v>
      </c>
      <c r="P84" s="4">
        <f>'תקציב הנדסה 2020 '!P7</f>
        <v>403.25999999791384</v>
      </c>
      <c r="Q84" s="4">
        <f>'תקציב הנדסה 2020 '!Q7</f>
        <v>0</v>
      </c>
      <c r="R84" s="4">
        <f>'תקציב הנדסה 2020 '!R7</f>
        <v>0</v>
      </c>
      <c r="S84" s="4">
        <f>'תקציב הנדסה 2020 '!S7</f>
        <v>0</v>
      </c>
      <c r="T84" s="4">
        <f>'תקציב הנדסה 2020 '!T7</f>
        <v>0</v>
      </c>
      <c r="U84" s="4">
        <f>'תקציב הנדסה 2020 '!U7</f>
        <v>0</v>
      </c>
      <c r="V84" s="4">
        <f>'תקציב הנדסה 2020 '!V7</f>
        <v>0</v>
      </c>
      <c r="W84" s="4">
        <f>'תקציב הנדסה 2020 '!W7</f>
        <v>0</v>
      </c>
      <c r="X84" s="4">
        <f>'תקציב הנדסה 2020 '!X7</f>
        <v>0</v>
      </c>
      <c r="Y84" s="4">
        <f>'תקציב הנדסה 2020 '!Y7</f>
        <v>0</v>
      </c>
      <c r="Z84" s="4">
        <f>'תקציב הנדסה 2020 '!Z7</f>
        <v>0</v>
      </c>
      <c r="AA84" s="87">
        <f>'תקציב הנדסה 2020 '!AA7</f>
        <v>0</v>
      </c>
      <c r="AB84" s="706">
        <f>'תקציב הנדסה 2020 '!AB7</f>
        <v>746000</v>
      </c>
      <c r="AC84" s="619"/>
      <c r="AD84" s="52"/>
      <c r="AE84" s="6"/>
      <c r="AF84" s="6"/>
    </row>
    <row r="85" spans="1:32" s="5" customFormat="1">
      <c r="A85" s="3">
        <f t="shared" si="2"/>
        <v>79</v>
      </c>
      <c r="B85" s="706">
        <f>'תקציב הנדסה 2020 '!B18</f>
        <v>1320</v>
      </c>
      <c r="C85" s="87" t="str">
        <f>'תקציב הנדסה 2020 '!C18</f>
        <v>פארק הבאסה שלב ב'</v>
      </c>
      <c r="D85" s="4">
        <f>'תקציב הנדסה 2020 '!D18</f>
        <v>23500000</v>
      </c>
      <c r="E85" s="4">
        <f>'תקציב הנדסה 2020 '!E18</f>
        <v>23500000</v>
      </c>
      <c r="F85" s="4">
        <f>'תקציב הנדסה 2020 '!F18</f>
        <v>0</v>
      </c>
      <c r="G85" s="4">
        <f>'תקציב הנדסה 2020 '!G18</f>
        <v>21550000</v>
      </c>
      <c r="H85" s="4">
        <f>'תקציב הנדסה 2020 '!H18</f>
        <v>21339439.079999998</v>
      </c>
      <c r="I85" s="4">
        <f>'תקציב הנדסה 2020 '!I18</f>
        <v>204226.2</v>
      </c>
      <c r="J85" s="4">
        <f>'תקציב הנדסה 2020 '!J18</f>
        <v>0</v>
      </c>
      <c r="K85" s="4">
        <f>'תקציב הנדסה 2020 '!K18</f>
        <v>204226.2</v>
      </c>
      <c r="L85" s="4">
        <f>'תקציב הנדסה 2020 '!L18</f>
        <v>21543665.279999997</v>
      </c>
      <c r="M85" s="4">
        <f>'תקציב הנדסה 2020 '!M18</f>
        <v>6334.7200000025332</v>
      </c>
      <c r="N85" s="4">
        <f>'תקציב הנדסה 2020 '!N18</f>
        <v>0</v>
      </c>
      <c r="O85" s="4">
        <f>'תקציב הנדסה 2020 '!O18</f>
        <v>1950000</v>
      </c>
      <c r="P85" s="4">
        <f>'תקציב הנדסה 2020 '!P18</f>
        <v>6334.7200000025332</v>
      </c>
      <c r="Q85" s="4">
        <f>'תקציב הנדסה 2020 '!Q18</f>
        <v>0</v>
      </c>
      <c r="R85" s="4">
        <f>'תקציב הנדסה 2020 '!R18</f>
        <v>0</v>
      </c>
      <c r="S85" s="4">
        <f>'תקציב הנדסה 2020 '!S18</f>
        <v>0</v>
      </c>
      <c r="T85" s="4">
        <f>'תקציב הנדסה 2020 '!T18</f>
        <v>0</v>
      </c>
      <c r="U85" s="4">
        <f>'תקציב הנדסה 2020 '!U18</f>
        <v>0</v>
      </c>
      <c r="V85" s="4">
        <f>'תקציב הנדסה 2020 '!V18</f>
        <v>0</v>
      </c>
      <c r="W85" s="4">
        <f>'תקציב הנדסה 2020 '!W18</f>
        <v>0</v>
      </c>
      <c r="X85" s="4">
        <f>'תקציב הנדסה 2020 '!X18</f>
        <v>0</v>
      </c>
      <c r="Y85" s="4">
        <f>'תקציב הנדסה 2020 '!Y18</f>
        <v>0</v>
      </c>
      <c r="Z85" s="4">
        <f>'תקציב הנדסה 2020 '!Z18</f>
        <v>0</v>
      </c>
      <c r="AA85" s="87">
        <f>'תקציב הנדסה 2020 '!AA18</f>
        <v>0</v>
      </c>
      <c r="AB85" s="706">
        <f>'תקציב הנדסה 2020 '!AB18</f>
        <v>746000</v>
      </c>
      <c r="AC85" s="619"/>
      <c r="AD85" s="52"/>
      <c r="AE85" s="6"/>
      <c r="AF85" s="6"/>
    </row>
    <row r="86" spans="1:32" s="5" customFormat="1">
      <c r="A86" s="3">
        <f t="shared" si="2"/>
        <v>80</v>
      </c>
      <c r="B86" s="706">
        <f>'תקציב הנדסה 2020 '!B31</f>
        <v>1568</v>
      </c>
      <c r="C86" s="87" t="str">
        <f>'תקציב הנדסה 2020 '!C31</f>
        <v>פיתוח פארק שלב ג'</v>
      </c>
      <c r="D86" s="4">
        <f>'תקציב הנדסה 2020 '!D31</f>
        <v>46375301</v>
      </c>
      <c r="E86" s="4">
        <f>'תקציב הנדסה 2020 '!E31</f>
        <v>46375301</v>
      </c>
      <c r="F86" s="4">
        <f>'תקציב הנדסה 2020 '!F31</f>
        <v>0</v>
      </c>
      <c r="G86" s="4">
        <f>'תקציב הנדסה 2020 '!G31</f>
        <v>28875301</v>
      </c>
      <c r="H86" s="4">
        <f>'תקציב הנדסה 2020 '!H31</f>
        <v>27763907.309999999</v>
      </c>
      <c r="I86" s="4">
        <f>'תקציב הנדסה 2020 '!I31</f>
        <v>822126.24</v>
      </c>
      <c r="J86" s="4">
        <f>'תקציב הנדסה 2020 '!J31</f>
        <v>55293.26</v>
      </c>
      <c r="K86" s="4">
        <f>'תקציב הנדסה 2020 '!K31</f>
        <v>877419.5</v>
      </c>
      <c r="L86" s="4">
        <f>'תקציב הנדסה 2020 '!L31</f>
        <v>28641326.809999999</v>
      </c>
      <c r="M86" s="4">
        <f>'תקציב הנדסה 2020 '!M31</f>
        <v>233974.19000000134</v>
      </c>
      <c r="N86" s="4">
        <f>'תקציב הנדסה 2020 '!N31</f>
        <v>0</v>
      </c>
      <c r="O86" s="4">
        <f>'תקציב הנדסה 2020 '!O31</f>
        <v>17500000</v>
      </c>
      <c r="P86" s="4">
        <f>'תקציב הנדסה 2020 '!P31</f>
        <v>233974.19000000134</v>
      </c>
      <c r="Q86" s="4">
        <f>'תקציב הנדסה 2020 '!Q31</f>
        <v>0</v>
      </c>
      <c r="R86" s="4">
        <f>'תקציב הנדסה 2020 '!R31</f>
        <v>0</v>
      </c>
      <c r="S86" s="4">
        <f>'תקציב הנדסה 2020 '!S31</f>
        <v>0</v>
      </c>
      <c r="T86" s="4">
        <f>'תקציב הנדסה 2020 '!T31</f>
        <v>0</v>
      </c>
      <c r="U86" s="4">
        <f>'תקציב הנדסה 2020 '!U31</f>
        <v>0</v>
      </c>
      <c r="V86" s="4">
        <f>'תקציב הנדסה 2020 '!V31</f>
        <v>0</v>
      </c>
      <c r="W86" s="4">
        <f>'תקציב הנדסה 2020 '!W31</f>
        <v>0</v>
      </c>
      <c r="X86" s="4">
        <f>'תקציב הנדסה 2020 '!X31</f>
        <v>0</v>
      </c>
      <c r="Y86" s="4">
        <f>'תקציב הנדסה 2020 '!Y31</f>
        <v>0</v>
      </c>
      <c r="Z86" s="4">
        <f>'תקציב הנדסה 2020 '!Z31</f>
        <v>0</v>
      </c>
      <c r="AA86" s="87">
        <f>'תקציב הנדסה 2020 '!AA31</f>
        <v>0</v>
      </c>
      <c r="AB86" s="706">
        <f>'תקציב הנדסה 2020 '!AB31</f>
        <v>746000</v>
      </c>
      <c r="AC86" s="620"/>
      <c r="AD86" s="52"/>
    </row>
    <row r="87" spans="1:32" s="84" customFormat="1">
      <c r="A87" s="41"/>
      <c r="B87" s="725"/>
      <c r="C87" s="705" t="s">
        <v>691</v>
      </c>
      <c r="D87" s="88">
        <f>SUM(D50:D86)</f>
        <v>518558301</v>
      </c>
      <c r="E87" s="88">
        <f t="shared" ref="E87:Z87" si="3">SUM(E50:E86)</f>
        <v>511108301</v>
      </c>
      <c r="F87" s="88">
        <f t="shared" si="3"/>
        <v>7450000</v>
      </c>
      <c r="G87" s="88">
        <f t="shared" si="3"/>
        <v>224318072</v>
      </c>
      <c r="H87" s="88">
        <f t="shared" si="3"/>
        <v>193410567.32999998</v>
      </c>
      <c r="I87" s="88">
        <f t="shared" si="3"/>
        <v>5263537.74</v>
      </c>
      <c r="J87" s="88">
        <f t="shared" si="3"/>
        <v>10300841.699999999</v>
      </c>
      <c r="K87" s="88">
        <f t="shared" si="3"/>
        <v>15564379.440000001</v>
      </c>
      <c r="L87" s="88">
        <f t="shared" si="3"/>
        <v>208974946.76999998</v>
      </c>
      <c r="M87" s="88">
        <f t="shared" si="3"/>
        <v>14943125.230000008</v>
      </c>
      <c r="N87" s="88">
        <f t="shared" si="3"/>
        <v>22230000</v>
      </c>
      <c r="O87" s="88">
        <f t="shared" si="3"/>
        <v>272410229</v>
      </c>
      <c r="P87" s="88">
        <f t="shared" si="3"/>
        <v>15343125.230000008</v>
      </c>
      <c r="Q87" s="88">
        <f t="shared" si="3"/>
        <v>2800000</v>
      </c>
      <c r="R87" s="88">
        <f t="shared" si="3"/>
        <v>0</v>
      </c>
      <c r="S87" s="88">
        <f t="shared" si="3"/>
        <v>2800000</v>
      </c>
      <c r="T87" s="88">
        <f t="shared" si="3"/>
        <v>3200000</v>
      </c>
      <c r="U87" s="88">
        <f t="shared" si="3"/>
        <v>19030000</v>
      </c>
      <c r="V87" s="88">
        <f t="shared" si="3"/>
        <v>19030000</v>
      </c>
      <c r="W87" s="88">
        <f t="shared" si="3"/>
        <v>0</v>
      </c>
      <c r="X87" s="88">
        <f t="shared" si="3"/>
        <v>0</v>
      </c>
      <c r="Y87" s="88">
        <f t="shared" si="3"/>
        <v>0</v>
      </c>
      <c r="Z87" s="88">
        <f t="shared" si="3"/>
        <v>0</v>
      </c>
      <c r="AA87" s="410"/>
      <c r="AB87" s="725"/>
      <c r="AC87" s="726"/>
      <c r="AD87" s="438"/>
    </row>
    <row r="88" spans="1:32" s="5" customFormat="1">
      <c r="A88" s="3">
        <f>A86+1</f>
        <v>81</v>
      </c>
      <c r="B88" s="706">
        <f>'תקציב הנדסה 2020 '!B29</f>
        <v>1529</v>
      </c>
      <c r="C88" s="87" t="str">
        <f>'תקציב הנדסה 2020 '!C29</f>
        <v>הוצאות בקשר עם תביעות סעיף 197</v>
      </c>
      <c r="D88" s="4">
        <f>'תקציב הנדסה 2020 '!D29</f>
        <v>500000</v>
      </c>
      <c r="E88" s="4">
        <f>'תקציב הנדסה 2020 '!E29</f>
        <v>400000</v>
      </c>
      <c r="F88" s="4">
        <f>'תקציב הנדסה 2020 '!F29</f>
        <v>100000</v>
      </c>
      <c r="G88" s="4">
        <f>'תקציב הנדסה 2020 '!G29</f>
        <v>400000</v>
      </c>
      <c r="H88" s="4">
        <f>'תקציב הנדסה 2020 '!H29</f>
        <v>346975.05</v>
      </c>
      <c r="I88" s="4">
        <f>'תקציב הנדסה 2020 '!I29</f>
        <v>0</v>
      </c>
      <c r="J88" s="4">
        <f>'תקציב הנדסה 2020 '!J29</f>
        <v>25400.7</v>
      </c>
      <c r="K88" s="4">
        <f>'תקציב הנדסה 2020 '!K29</f>
        <v>25400.7</v>
      </c>
      <c r="L88" s="4">
        <f>'תקציב הנדסה 2020 '!L29</f>
        <v>372375.75</v>
      </c>
      <c r="M88" s="4">
        <f>'תקציב הנדסה 2020 '!M29</f>
        <v>27624.25</v>
      </c>
      <c r="N88" s="4">
        <f>'תקציב הנדסה 2020 '!N29</f>
        <v>100000</v>
      </c>
      <c r="O88" s="4">
        <f>'תקציב הנדסה 2020 '!O29</f>
        <v>0</v>
      </c>
      <c r="P88" s="4">
        <f>'תקציב הנדסה 2020 '!P29</f>
        <v>27624.25</v>
      </c>
      <c r="Q88" s="4">
        <f>'תקציב הנדסה 2020 '!Q29</f>
        <v>0</v>
      </c>
      <c r="R88" s="4">
        <f>'תקציב הנדסה 2020 '!R29</f>
        <v>0</v>
      </c>
      <c r="S88" s="4">
        <f>'תקציב הנדסה 2020 '!S29</f>
        <v>0</v>
      </c>
      <c r="T88" s="4">
        <f>'תקציב הנדסה 2020 '!T29</f>
        <v>0</v>
      </c>
      <c r="U88" s="4">
        <f>'תקציב הנדסה 2020 '!U29</f>
        <v>100000</v>
      </c>
      <c r="V88" s="4">
        <f>'תקציב הנדסה 2020 '!V29</f>
        <v>100000</v>
      </c>
      <c r="W88" s="4">
        <f>'תקציב הנדסה 2020 '!W29</f>
        <v>0</v>
      </c>
      <c r="X88" s="4">
        <f>'תקציב הנדסה 2020 '!X29</f>
        <v>0</v>
      </c>
      <c r="Y88" s="4">
        <f>'תקציב הנדסה 2020 '!Y29</f>
        <v>0</v>
      </c>
      <c r="Z88" s="4">
        <f>'תקציב הנדסה 2020 '!Z29</f>
        <v>0</v>
      </c>
      <c r="AA88" s="87" t="str">
        <f>'תקציב הנדסה 2020 '!AA29</f>
        <v>סל הוצאות בקשר עם תביעות סעיף 197.</v>
      </c>
      <c r="AB88" s="706">
        <f>'תקציב הנדסה 2020 '!AB29</f>
        <v>760000</v>
      </c>
      <c r="AC88" s="619"/>
      <c r="AD88" s="52"/>
    </row>
    <row r="89" spans="1:32" s="84" customFormat="1">
      <c r="A89" s="41"/>
      <c r="B89" s="725"/>
      <c r="C89" s="705" t="s">
        <v>692</v>
      </c>
      <c r="D89" s="88">
        <f>SUM(D88)</f>
        <v>500000</v>
      </c>
      <c r="E89" s="88">
        <f t="shared" ref="E89:Z89" si="4">SUM(E88)</f>
        <v>400000</v>
      </c>
      <c r="F89" s="88">
        <f t="shared" si="4"/>
        <v>100000</v>
      </c>
      <c r="G89" s="88">
        <f t="shared" si="4"/>
        <v>400000</v>
      </c>
      <c r="H89" s="88">
        <f t="shared" si="4"/>
        <v>346975.05</v>
      </c>
      <c r="I89" s="88">
        <f t="shared" si="4"/>
        <v>0</v>
      </c>
      <c r="J89" s="88">
        <f t="shared" si="4"/>
        <v>25400.7</v>
      </c>
      <c r="K89" s="88">
        <f t="shared" si="4"/>
        <v>25400.7</v>
      </c>
      <c r="L89" s="88">
        <f t="shared" si="4"/>
        <v>372375.75</v>
      </c>
      <c r="M89" s="88">
        <f t="shared" si="4"/>
        <v>27624.25</v>
      </c>
      <c r="N89" s="88">
        <f t="shared" si="4"/>
        <v>100000</v>
      </c>
      <c r="O89" s="88">
        <f t="shared" si="4"/>
        <v>0</v>
      </c>
      <c r="P89" s="88">
        <f t="shared" si="4"/>
        <v>27624.25</v>
      </c>
      <c r="Q89" s="88">
        <f t="shared" si="4"/>
        <v>0</v>
      </c>
      <c r="R89" s="88">
        <f t="shared" si="4"/>
        <v>0</v>
      </c>
      <c r="S89" s="88">
        <f t="shared" si="4"/>
        <v>0</v>
      </c>
      <c r="T89" s="88">
        <f t="shared" si="4"/>
        <v>0</v>
      </c>
      <c r="U89" s="88">
        <f t="shared" si="4"/>
        <v>100000</v>
      </c>
      <c r="V89" s="88">
        <f t="shared" si="4"/>
        <v>100000</v>
      </c>
      <c r="W89" s="88">
        <f t="shared" si="4"/>
        <v>0</v>
      </c>
      <c r="X89" s="88">
        <f t="shared" si="4"/>
        <v>0</v>
      </c>
      <c r="Y89" s="88">
        <f t="shared" si="4"/>
        <v>0</v>
      </c>
      <c r="Z89" s="88">
        <f t="shared" si="4"/>
        <v>0</v>
      </c>
      <c r="AA89" s="410"/>
      <c r="AB89" s="725"/>
      <c r="AC89" s="726"/>
      <c r="AD89" s="438"/>
    </row>
    <row r="90" spans="1:32" s="84" customFormat="1">
      <c r="A90" s="41">
        <f>A88</f>
        <v>81</v>
      </c>
      <c r="B90" s="725"/>
      <c r="C90" s="705" t="s">
        <v>666</v>
      </c>
      <c r="D90" s="88">
        <f>D89+D87+D49</f>
        <v>622652129</v>
      </c>
      <c r="E90" s="88">
        <f t="shared" ref="E90:Z90" si="5">E89+E87+E49</f>
        <v>607401879</v>
      </c>
      <c r="F90" s="88">
        <f t="shared" si="5"/>
        <v>15250250</v>
      </c>
      <c r="G90" s="88">
        <f t="shared" si="5"/>
        <v>282994229</v>
      </c>
      <c r="H90" s="88">
        <f t="shared" si="5"/>
        <v>231832205.63999999</v>
      </c>
      <c r="I90" s="88">
        <f t="shared" si="5"/>
        <v>10898105.370000001</v>
      </c>
      <c r="J90" s="88">
        <f t="shared" si="5"/>
        <v>11954790.389999999</v>
      </c>
      <c r="K90" s="88">
        <f t="shared" si="5"/>
        <v>22852895.760000002</v>
      </c>
      <c r="L90" s="88">
        <f t="shared" si="5"/>
        <v>254685101.39999998</v>
      </c>
      <c r="M90" s="88">
        <f t="shared" si="5"/>
        <v>26266450.600000009</v>
      </c>
      <c r="N90" s="88">
        <f t="shared" si="5"/>
        <v>37708338</v>
      </c>
      <c r="O90" s="88">
        <f t="shared" si="5"/>
        <v>303992239</v>
      </c>
      <c r="P90" s="88">
        <f t="shared" si="5"/>
        <v>28309127.600000009</v>
      </c>
      <c r="Q90" s="88">
        <f t="shared" si="5"/>
        <v>3107323</v>
      </c>
      <c r="R90" s="88">
        <f t="shared" si="5"/>
        <v>0</v>
      </c>
      <c r="S90" s="88">
        <f t="shared" si="5"/>
        <v>3107323</v>
      </c>
      <c r="T90" s="88">
        <f t="shared" si="5"/>
        <v>5150000</v>
      </c>
      <c r="U90" s="88">
        <f t="shared" si="5"/>
        <v>32558338</v>
      </c>
      <c r="V90" s="88">
        <f t="shared" si="5"/>
        <v>31303894</v>
      </c>
      <c r="W90" s="88">
        <f t="shared" si="5"/>
        <v>0</v>
      </c>
      <c r="X90" s="88">
        <f t="shared" si="5"/>
        <v>0</v>
      </c>
      <c r="Y90" s="88">
        <f t="shared" si="5"/>
        <v>0</v>
      </c>
      <c r="Z90" s="88">
        <f t="shared" si="5"/>
        <v>1254444</v>
      </c>
      <c r="AA90" s="705"/>
      <c r="AB90" s="41"/>
      <c r="AC90" s="622"/>
      <c r="AD90" s="438"/>
    </row>
    <row r="91" spans="1:32">
      <c r="L91" s="16">
        <f>K90+H90</f>
        <v>254685101.39999998</v>
      </c>
      <c r="M91" s="16">
        <f>P91+S90-T90</f>
        <v>26266450.600000024</v>
      </c>
      <c r="P91" s="16">
        <f>G90-L91</f>
        <v>28309127.600000024</v>
      </c>
      <c r="U91" s="16">
        <f>N90-T90</f>
        <v>32558338</v>
      </c>
    </row>
    <row r="92" spans="1:32">
      <c r="U92" s="16"/>
    </row>
    <row r="94" spans="1:32">
      <c r="U94" s="16"/>
      <c r="V94" s="16"/>
    </row>
    <row r="95" spans="1:32">
      <c r="U95" s="16"/>
      <c r="V95" s="16"/>
    </row>
    <row r="96" spans="1:32">
      <c r="U96" s="16"/>
      <c r="V96" s="16"/>
    </row>
    <row r="97" spans="21:22">
      <c r="U97" s="16"/>
      <c r="V97" s="16"/>
    </row>
  </sheetData>
  <sheetProtection formatCells="0" formatColumns="0" formatRows="0" insertColumns="0" insertRows="0" insertHyperlinks="0" deleteColumns="0" deleteRows="0" sort="0" autoFilter="0" pivotTables="0"/>
  <sortState ref="A6:AF86">
    <sortCondition ref="AB6:AB86"/>
  </sortState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rightToLeft="1" tabSelected="1" topLeftCell="A13" zoomScaleNormal="100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2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319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1338</v>
      </c>
      <c r="D5" s="273"/>
      <c r="E5" s="273"/>
      <c r="F5" s="277">
        <f>'תקציב החברה לפיתוח 2020'!U127</f>
        <v>337850033</v>
      </c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368</v>
      </c>
      <c r="D7" s="273"/>
      <c r="F7" s="277">
        <f>'תקציב החברה לפיתוח 2020'!A126</f>
        <v>115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6" t="s">
        <v>366</v>
      </c>
      <c r="E11" s="287" t="s">
        <v>367</v>
      </c>
      <c r="F11" s="288" t="s">
        <v>369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80" t="s">
        <v>13</v>
      </c>
      <c r="E12" s="289">
        <f>'תקציב החברה לפיתוח 2020'!V126</f>
        <v>135490880</v>
      </c>
      <c r="F12" s="297">
        <f>E12/$E$17</f>
        <v>0.40103852823953995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276"/>
      <c r="D13" s="280" t="s">
        <v>14</v>
      </c>
      <c r="E13" s="289">
        <f>'תקציב החברה לפיתוח 2020'!W126</f>
        <v>500000</v>
      </c>
      <c r="F13" s="297">
        <f>E13/$E$17</f>
        <v>1.4799465773620334E-3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 hidden="1">
      <c r="C14" s="276"/>
      <c r="D14" s="280" t="s">
        <v>15</v>
      </c>
      <c r="E14" s="289">
        <f>'תקציב החברה לפיתוח 2020'!X126</f>
        <v>0</v>
      </c>
      <c r="F14" s="297">
        <f>E14/$E$17</f>
        <v>0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374</v>
      </c>
      <c r="E15" s="289">
        <f>'תקציב החברה לפיתוח 2020'!Y126</f>
        <v>100433357</v>
      </c>
      <c r="F15" s="297">
        <f>E15/$E$17</f>
        <v>0.29727200589025843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105</v>
      </c>
      <c r="E16" s="289">
        <f>'תקציב החברה לפיתוח 2020'!Z126</f>
        <v>101425796</v>
      </c>
      <c r="F16" s="297">
        <f>E16/$E$17</f>
        <v>0.30020951929283962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6.2" thickBot="1">
      <c r="C17" s="276"/>
      <c r="D17" s="283" t="s">
        <v>120</v>
      </c>
      <c r="E17" s="291">
        <f>SUM(E12:E16)</f>
        <v>337850033</v>
      </c>
      <c r="F17" s="433">
        <f>SUM(F12:F16)</f>
        <v>1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5.6">
      <c r="C18" s="276"/>
      <c r="D18" s="279"/>
      <c r="E18" s="300"/>
      <c r="F18" s="76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s="418" customFormat="1" ht="15.6">
      <c r="C19" s="420" t="s">
        <v>227</v>
      </c>
      <c r="D19" s="417" t="s">
        <v>1427</v>
      </c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  <c r="Q19" s="417"/>
    </row>
    <row r="20" spans="1:17" s="418" customFormat="1" ht="15.6">
      <c r="C20" s="420"/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</row>
    <row r="21" spans="1:17" s="418" customFormat="1" ht="15.6">
      <c r="A21" s="417"/>
      <c r="B21" s="417"/>
      <c r="C21" s="417"/>
      <c r="D21" s="752" t="s">
        <v>1394</v>
      </c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</row>
    <row r="22" spans="1:17" ht="15.6">
      <c r="B22" s="276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</row>
    <row r="23" spans="1:17" ht="15.6">
      <c r="D23" s="446" t="s">
        <v>1419</v>
      </c>
    </row>
    <row r="33" spans="3:17" ht="15.6">
      <c r="D33" s="273" t="s">
        <v>834</v>
      </c>
    </row>
    <row r="38" spans="3:17" s="454" customFormat="1" ht="15.6">
      <c r="C38" s="455" t="s">
        <v>227</v>
      </c>
      <c r="D38" s="456" t="s">
        <v>1396</v>
      </c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"/>
  <sheetViews>
    <sheetView rightToLeft="1" tabSelected="1" topLeftCell="A16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5.77734375" style="274" customWidth="1"/>
    <col min="5" max="5" width="30.44140625" style="274" customWidth="1"/>
    <col min="6" max="6" width="12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2" spans="1:17" ht="21">
      <c r="A2" s="273"/>
      <c r="C2" s="275" t="s">
        <v>228</v>
      </c>
      <c r="D2" s="273"/>
      <c r="E2" s="273"/>
      <c r="F2" s="273"/>
      <c r="G2" s="273"/>
      <c r="H2" s="273"/>
      <c r="I2" s="273"/>
      <c r="J2" s="273"/>
      <c r="K2" s="273"/>
      <c r="L2" s="273"/>
    </row>
    <row r="3" spans="1:17" ht="21">
      <c r="A3" s="273"/>
      <c r="C3" s="275"/>
      <c r="D3" s="273"/>
      <c r="E3" s="273"/>
      <c r="F3" s="273"/>
      <c r="G3" s="273"/>
      <c r="H3" s="273"/>
      <c r="I3" s="273"/>
      <c r="J3" s="273"/>
      <c r="K3" s="273"/>
      <c r="L3" s="273"/>
    </row>
    <row r="4" spans="1:17" ht="15.6">
      <c r="B4" s="276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</row>
    <row r="5" spans="1:17" ht="15.6">
      <c r="B5" s="276" t="s">
        <v>227</v>
      </c>
      <c r="C5" s="273" t="s">
        <v>924</v>
      </c>
      <c r="D5" s="273"/>
      <c r="E5" s="273"/>
      <c r="F5" s="273"/>
      <c r="H5" s="282"/>
      <c r="I5" s="273"/>
      <c r="J5" s="273"/>
      <c r="K5" s="273"/>
      <c r="L5" s="273"/>
      <c r="M5" s="273"/>
      <c r="N5" s="273"/>
      <c r="O5" s="273"/>
      <c r="P5" s="273"/>
      <c r="Q5" s="273"/>
    </row>
    <row r="6" spans="1:17" ht="16.2" thickBot="1">
      <c r="C6" s="273"/>
      <c r="D6" s="273"/>
      <c r="E6" s="273"/>
      <c r="F6" s="273"/>
      <c r="H6" s="273"/>
      <c r="I6" s="273"/>
      <c r="J6" s="273"/>
      <c r="K6" s="273"/>
      <c r="L6" s="273"/>
    </row>
    <row r="7" spans="1:17" ht="15.6">
      <c r="D7" s="286" t="s">
        <v>370</v>
      </c>
      <c r="E7" s="278" t="s">
        <v>367</v>
      </c>
      <c r="F7" s="279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C8" s="276"/>
      <c r="D8" s="280" t="s">
        <v>371</v>
      </c>
      <c r="E8" s="292">
        <f>'תקציב החברה לפיתוח 2020'!U124</f>
        <v>199128033</v>
      </c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C9" s="276"/>
      <c r="D9" s="280" t="s">
        <v>372</v>
      </c>
      <c r="E9" s="292">
        <f>'תקציב החברה לפיתוח 2020'!U106</f>
        <v>138722000</v>
      </c>
      <c r="F9" s="282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C10" s="276"/>
      <c r="D10" s="280" t="s">
        <v>373</v>
      </c>
      <c r="E10" s="292"/>
      <c r="F10" s="282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0" t="s">
        <v>760</v>
      </c>
      <c r="E11" s="281">
        <v>18000000</v>
      </c>
    </row>
    <row r="12" spans="1:17" ht="15.6">
      <c r="C12" s="276"/>
      <c r="D12" s="280" t="s">
        <v>30</v>
      </c>
      <c r="E12" s="281">
        <v>16300000</v>
      </c>
      <c r="F12" s="282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6.05" customHeight="1">
      <c r="D13" s="280" t="s">
        <v>1431</v>
      </c>
      <c r="E13" s="281">
        <v>10500000</v>
      </c>
      <c r="H13" s="444"/>
    </row>
    <row r="14" spans="1:17" ht="15.6">
      <c r="C14" s="276"/>
      <c r="D14" s="280" t="s">
        <v>1429</v>
      </c>
      <c r="E14" s="281">
        <v>9500000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1430</v>
      </c>
      <c r="E15" s="281">
        <v>6640000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1433</v>
      </c>
      <c r="E16" s="281">
        <v>7000000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3:17" ht="15.6">
      <c r="C17" s="276"/>
      <c r="D17" s="280" t="s">
        <v>353</v>
      </c>
      <c r="E17" s="281">
        <v>5417000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3:17" ht="15.6">
      <c r="C18" s="276"/>
      <c r="D18" s="280" t="s">
        <v>99</v>
      </c>
      <c r="E18" s="773">
        <v>5000000</v>
      </c>
      <c r="F18" s="282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3:17" ht="15.6">
      <c r="C19" s="276"/>
      <c r="D19" s="280" t="s">
        <v>54</v>
      </c>
      <c r="E19" s="281">
        <v>5000000</v>
      </c>
      <c r="F19" s="282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3:17" ht="15.75" customHeight="1">
      <c r="C20" s="276"/>
      <c r="D20" s="280" t="s">
        <v>1428</v>
      </c>
      <c r="E20" s="281">
        <v>5000000</v>
      </c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3:17" ht="15.75" customHeight="1">
      <c r="D21" s="280" t="s">
        <v>1432</v>
      </c>
      <c r="E21" s="281">
        <v>5000000</v>
      </c>
      <c r="H21" s="444"/>
    </row>
    <row r="23" spans="3:17" ht="15.6">
      <c r="D23" s="446" t="s">
        <v>1439</v>
      </c>
    </row>
    <row r="34" spans="4:4">
      <c r="D34" s="443"/>
    </row>
  </sheetData>
  <sortState ref="A11:Q19">
    <sortCondition descending="1" ref="E11:E19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45"/>
  <sheetViews>
    <sheetView showZeros="0" rightToLeft="1" tabSelected="1" zoomScaleNormal="100" workbookViewId="0">
      <pane xSplit="3" ySplit="4" topLeftCell="U114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4.77734375" style="334" customWidth="1"/>
    <col min="3" max="3" width="23.33203125" style="210" customWidth="1"/>
    <col min="4" max="5" width="11.77734375" style="192" customWidth="1"/>
    <col min="6" max="6" width="10.33203125" style="192" customWidth="1"/>
    <col min="7" max="10" width="12.6640625" style="192" hidden="1" customWidth="1"/>
    <col min="11" max="11" width="11.33203125" style="192" hidden="1" customWidth="1"/>
    <col min="12" max="14" width="10.33203125" style="192" customWidth="1"/>
    <col min="15" max="15" width="11.77734375" style="192" customWidth="1"/>
    <col min="16" max="19" width="10.33203125" style="192" hidden="1" customWidth="1"/>
    <col min="20" max="20" width="10.33203125" style="192" customWidth="1"/>
    <col min="21" max="23" width="10.33203125" style="191" customWidth="1"/>
    <col min="24" max="24" width="10.33203125" style="191" hidden="1" customWidth="1"/>
    <col min="25" max="26" width="10.33203125" style="191" customWidth="1"/>
    <col min="27" max="27" width="22.109375" style="396" hidden="1" customWidth="1"/>
    <col min="28" max="28" width="10.77734375" style="191" hidden="1" customWidth="1"/>
    <col min="29" max="29" width="10.77734375" style="191" customWidth="1"/>
    <col min="30" max="30" width="30.33203125" style="191" customWidth="1"/>
    <col min="31" max="31" width="11.21875" style="191" customWidth="1"/>
    <col min="32" max="32" width="8.88671875" style="331" customWidth="1"/>
    <col min="33" max="33" width="10.5546875" style="331" customWidth="1"/>
    <col min="34" max="34" width="11.44140625" style="331" customWidth="1"/>
    <col min="35" max="35" width="9.109375" style="191" customWidth="1"/>
    <col min="36" max="36" width="9.109375" style="191"/>
    <col min="37" max="37" width="10.109375" style="191" bestFit="1" customWidth="1"/>
    <col min="38" max="16384" width="9.109375" style="191"/>
  </cols>
  <sheetData>
    <row r="1" spans="1:34" s="331" customFormat="1">
      <c r="A1" s="329"/>
      <c r="B1" s="329"/>
      <c r="C1" s="400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2"/>
      <c r="AC1" s="191"/>
      <c r="AD1" s="191"/>
    </row>
    <row r="2" spans="1:34">
      <c r="A2" s="329" t="s">
        <v>286</v>
      </c>
      <c r="B2" s="329"/>
      <c r="C2" s="400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210"/>
      <c r="AF2" s="191"/>
      <c r="AG2" s="191"/>
      <c r="AH2" s="191"/>
    </row>
    <row r="3" spans="1:34">
      <c r="U3" s="192"/>
    </row>
    <row r="4" spans="1:34" s="336" customFormat="1" ht="86.25" customHeight="1">
      <c r="A4" s="194" t="s">
        <v>0</v>
      </c>
      <c r="B4" s="194" t="s">
        <v>1</v>
      </c>
      <c r="C4" s="194" t="s">
        <v>2</v>
      </c>
      <c r="D4" s="194" t="s">
        <v>3</v>
      </c>
      <c r="E4" s="194" t="s">
        <v>4</v>
      </c>
      <c r="F4" s="194" t="s">
        <v>5</v>
      </c>
      <c r="G4" s="194" t="s">
        <v>6</v>
      </c>
      <c r="H4" s="194" t="s">
        <v>7</v>
      </c>
      <c r="I4" s="194" t="s">
        <v>9</v>
      </c>
      <c r="J4" s="194" t="s">
        <v>215</v>
      </c>
      <c r="K4" s="194" t="s">
        <v>10</v>
      </c>
      <c r="L4" s="194" t="s">
        <v>11</v>
      </c>
      <c r="M4" s="10" t="s">
        <v>918</v>
      </c>
      <c r="N4" s="194" t="s">
        <v>919</v>
      </c>
      <c r="O4" s="194" t="s">
        <v>920</v>
      </c>
      <c r="P4" s="194" t="s">
        <v>12</v>
      </c>
      <c r="Q4" s="194" t="s">
        <v>1120</v>
      </c>
      <c r="R4" s="194" t="s">
        <v>1121</v>
      </c>
      <c r="S4" s="194" t="s">
        <v>927</v>
      </c>
      <c r="T4" s="194" t="s">
        <v>921</v>
      </c>
      <c r="U4" s="194" t="s">
        <v>922</v>
      </c>
      <c r="V4" s="194" t="s">
        <v>13</v>
      </c>
      <c r="W4" s="18" t="s">
        <v>14</v>
      </c>
      <c r="X4" s="194" t="s">
        <v>15</v>
      </c>
      <c r="Y4" s="194" t="s">
        <v>354</v>
      </c>
      <c r="Z4" s="194" t="s">
        <v>105</v>
      </c>
      <c r="AA4" s="623" t="s">
        <v>410</v>
      </c>
      <c r="AB4" s="194" t="s">
        <v>16</v>
      </c>
      <c r="AC4" s="191"/>
      <c r="AD4" s="191"/>
      <c r="AF4" s="331"/>
      <c r="AG4" s="331"/>
      <c r="AH4" s="331"/>
    </row>
    <row r="5" spans="1:34" s="202" customForma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397"/>
      <c r="AB5" s="195"/>
      <c r="AC5" s="191"/>
      <c r="AD5" s="191"/>
      <c r="AF5" s="331"/>
      <c r="AG5" s="331"/>
      <c r="AH5" s="331"/>
    </row>
    <row r="6" spans="1:34" s="202" customFormat="1" ht="30" customHeight="1">
      <c r="A6" s="198">
        <f>A5+1</f>
        <v>1</v>
      </c>
      <c r="B6" s="198">
        <v>382</v>
      </c>
      <c r="C6" s="198" t="s">
        <v>885</v>
      </c>
      <c r="D6" s="199">
        <v>72881330</v>
      </c>
      <c r="E6" s="199">
        <v>72881330</v>
      </c>
      <c r="F6" s="199">
        <f t="shared" ref="F6:F78" si="0">D6-E6</f>
        <v>0</v>
      </c>
      <c r="G6" s="199">
        <v>49881330</v>
      </c>
      <c r="H6" s="199">
        <v>46168828.18</v>
      </c>
      <c r="I6" s="199"/>
      <c r="J6" s="199">
        <v>2174894.41</v>
      </c>
      <c r="K6" s="199">
        <f>SUM(I6:J6)</f>
        <v>2174894.41</v>
      </c>
      <c r="L6" s="199">
        <f t="shared" ref="L6:L68" si="1">K6+H6</f>
        <v>48343722.590000004</v>
      </c>
      <c r="M6" s="199">
        <f>P6+S6</f>
        <v>13037607.409999996</v>
      </c>
      <c r="N6" s="199">
        <v>1000000</v>
      </c>
      <c r="O6" s="199">
        <f>D6-L6-M6-N6</f>
        <v>10500000</v>
      </c>
      <c r="P6" s="199">
        <f>G6-L6</f>
        <v>1537607.4099999964</v>
      </c>
      <c r="Q6" s="199">
        <v>11500000</v>
      </c>
      <c r="R6" s="199"/>
      <c r="S6" s="199">
        <f>SUM(Q6:R6)</f>
        <v>11500000</v>
      </c>
      <c r="T6" s="199">
        <f>P6-M6+S6</f>
        <v>0</v>
      </c>
      <c r="U6" s="199">
        <f>N6-T6</f>
        <v>1000000</v>
      </c>
      <c r="V6" s="199">
        <f>U6-Y6-X6-Z6-W6</f>
        <v>1000000</v>
      </c>
      <c r="W6" s="199"/>
      <c r="X6" s="199"/>
      <c r="Y6" s="199"/>
      <c r="Z6" s="198"/>
      <c r="AA6" s="338" t="s">
        <v>1122</v>
      </c>
      <c r="AB6" s="198">
        <v>742000</v>
      </c>
      <c r="AC6" s="191"/>
      <c r="AD6" s="191"/>
      <c r="AE6" s="624"/>
      <c r="AF6" s="627"/>
      <c r="AG6" s="331"/>
      <c r="AH6" s="331"/>
    </row>
    <row r="7" spans="1:34" s="203" customFormat="1" ht="30" customHeight="1">
      <c r="A7" s="198">
        <f>A6+1</f>
        <v>2</v>
      </c>
      <c r="B7" s="198">
        <v>532</v>
      </c>
      <c r="C7" s="198" t="s">
        <v>96</v>
      </c>
      <c r="D7" s="199">
        <v>80090000</v>
      </c>
      <c r="E7" s="199">
        <v>80090000</v>
      </c>
      <c r="F7" s="199">
        <f t="shared" si="0"/>
        <v>0</v>
      </c>
      <c r="G7" s="199">
        <v>80090000</v>
      </c>
      <c r="H7" s="199">
        <v>73098365.159999996</v>
      </c>
      <c r="I7" s="199"/>
      <c r="J7" s="199">
        <v>767419.44</v>
      </c>
      <c r="K7" s="199">
        <f t="shared" ref="K7:K65" si="2">SUM(I7:J7)</f>
        <v>767419.44</v>
      </c>
      <c r="L7" s="199">
        <f t="shared" si="1"/>
        <v>73865784.599999994</v>
      </c>
      <c r="M7" s="199">
        <f t="shared" ref="M7:M68" si="3">P7+S7</f>
        <v>6224215.400000006</v>
      </c>
      <c r="N7" s="199"/>
      <c r="O7" s="199">
        <f t="shared" ref="O7:O69" si="4">D7-L7-M7-N7</f>
        <v>0</v>
      </c>
      <c r="P7" s="199">
        <f t="shared" ref="P7:P69" si="5">G7-L7</f>
        <v>6224215.400000006</v>
      </c>
      <c r="Q7" s="199"/>
      <c r="R7" s="199"/>
      <c r="S7" s="199">
        <f t="shared" ref="S7:S67" si="6">SUM(Q7:R7)</f>
        <v>0</v>
      </c>
      <c r="T7" s="199">
        <f t="shared" ref="T7:T69" si="7">P7-M7+S7</f>
        <v>0</v>
      </c>
      <c r="U7" s="199">
        <f t="shared" ref="U7:U69" si="8">N7-T7</f>
        <v>0</v>
      </c>
      <c r="V7" s="199">
        <f t="shared" ref="V7:V69" si="9">U7-Y7-X7-Z7-W7</f>
        <v>0</v>
      </c>
      <c r="W7" s="199"/>
      <c r="X7" s="199"/>
      <c r="Y7" s="199"/>
      <c r="Z7" s="198"/>
      <c r="AA7" s="341" t="s">
        <v>1123</v>
      </c>
      <c r="AB7" s="198">
        <v>742000</v>
      </c>
      <c r="AC7" s="191"/>
      <c r="AD7" s="191"/>
      <c r="AE7" s="624"/>
      <c r="AF7" s="627"/>
      <c r="AG7" s="331"/>
      <c r="AH7" s="331"/>
    </row>
    <row r="8" spans="1:34" s="203" customFormat="1" ht="30" customHeight="1">
      <c r="A8" s="198">
        <f t="shared" ref="A8:A71" si="10">A7+1</f>
        <v>3</v>
      </c>
      <c r="B8" s="198">
        <v>576</v>
      </c>
      <c r="C8" s="198" t="s">
        <v>97</v>
      </c>
      <c r="D8" s="199">
        <f>55113000+3000000</f>
        <v>58113000</v>
      </c>
      <c r="E8" s="199">
        <v>55113000</v>
      </c>
      <c r="F8" s="199">
        <f t="shared" si="0"/>
        <v>3000000</v>
      </c>
      <c r="G8" s="199">
        <v>55113000</v>
      </c>
      <c r="H8" s="199">
        <v>47204085.600000001</v>
      </c>
      <c r="I8" s="199"/>
      <c r="J8" s="199">
        <v>2886324.39</v>
      </c>
      <c r="K8" s="199">
        <f t="shared" si="2"/>
        <v>2886324.39</v>
      </c>
      <c r="L8" s="199">
        <f t="shared" si="1"/>
        <v>50090409.990000002</v>
      </c>
      <c r="M8" s="199">
        <f t="shared" si="3"/>
        <v>5022590.0099999979</v>
      </c>
      <c r="N8" s="199">
        <v>3000000</v>
      </c>
      <c r="O8" s="199">
        <f t="shared" si="4"/>
        <v>0</v>
      </c>
      <c r="P8" s="199">
        <f t="shared" si="5"/>
        <v>5022590.0099999979</v>
      </c>
      <c r="Q8" s="199"/>
      <c r="R8" s="199"/>
      <c r="S8" s="199">
        <f t="shared" si="6"/>
        <v>0</v>
      </c>
      <c r="T8" s="199">
        <f t="shared" si="7"/>
        <v>0</v>
      </c>
      <c r="U8" s="199">
        <f t="shared" si="8"/>
        <v>3000000</v>
      </c>
      <c r="V8" s="199">
        <f t="shared" si="9"/>
        <v>3000000</v>
      </c>
      <c r="W8" s="199"/>
      <c r="X8" s="199"/>
      <c r="Y8" s="199"/>
      <c r="Z8" s="199"/>
      <c r="AA8" s="198" t="s">
        <v>590</v>
      </c>
      <c r="AB8" s="198">
        <v>760000</v>
      </c>
      <c r="AC8" s="191"/>
      <c r="AD8" s="191"/>
      <c r="AE8" s="624"/>
      <c r="AF8" s="627"/>
      <c r="AG8" s="331"/>
      <c r="AH8" s="331"/>
    </row>
    <row r="9" spans="1:34" s="203" customFormat="1" ht="30" customHeight="1">
      <c r="A9" s="198">
        <f t="shared" si="10"/>
        <v>4</v>
      </c>
      <c r="B9" s="198">
        <v>634</v>
      </c>
      <c r="C9" s="198" t="s">
        <v>758</v>
      </c>
      <c r="D9" s="199">
        <f>57250000-900000</f>
        <v>56350000</v>
      </c>
      <c r="E9" s="199">
        <v>57250000</v>
      </c>
      <c r="F9" s="199">
        <f t="shared" si="0"/>
        <v>-900000</v>
      </c>
      <c r="G9" s="199">
        <v>56350000</v>
      </c>
      <c r="H9" s="199">
        <v>55240943.850000001</v>
      </c>
      <c r="I9" s="199"/>
      <c r="J9" s="199">
        <v>1109051.78</v>
      </c>
      <c r="K9" s="199">
        <f t="shared" si="2"/>
        <v>1109051.78</v>
      </c>
      <c r="L9" s="199">
        <f t="shared" si="1"/>
        <v>56349995.630000003</v>
      </c>
      <c r="M9" s="199">
        <f t="shared" si="3"/>
        <v>4.369999997317791</v>
      </c>
      <c r="N9" s="199"/>
      <c r="O9" s="199">
        <f t="shared" si="4"/>
        <v>0</v>
      </c>
      <c r="P9" s="199">
        <f t="shared" si="5"/>
        <v>4.369999997317791</v>
      </c>
      <c r="Q9" s="199"/>
      <c r="R9" s="199"/>
      <c r="S9" s="199">
        <f t="shared" si="6"/>
        <v>0</v>
      </c>
      <c r="T9" s="199">
        <f t="shared" si="7"/>
        <v>0</v>
      </c>
      <c r="U9" s="199">
        <f t="shared" si="8"/>
        <v>0</v>
      </c>
      <c r="V9" s="199">
        <f t="shared" si="9"/>
        <v>0</v>
      </c>
      <c r="W9" s="199"/>
      <c r="X9" s="199"/>
      <c r="Y9" s="199"/>
      <c r="Z9" s="198"/>
      <c r="AA9" s="198" t="s">
        <v>1124</v>
      </c>
      <c r="AB9" s="198">
        <v>732000</v>
      </c>
      <c r="AC9" s="191"/>
      <c r="AD9" s="191"/>
      <c r="AE9" s="624"/>
      <c r="AF9" s="627"/>
      <c r="AG9" s="331"/>
      <c r="AH9" s="331"/>
    </row>
    <row r="10" spans="1:34" s="202" customFormat="1" ht="30" customHeight="1">
      <c r="A10" s="198">
        <f t="shared" si="10"/>
        <v>5</v>
      </c>
      <c r="B10" s="198">
        <v>1067</v>
      </c>
      <c r="C10" s="198" t="s">
        <v>98</v>
      </c>
      <c r="D10" s="199">
        <f>3725000+250000</f>
        <v>3975000</v>
      </c>
      <c r="E10" s="199">
        <v>3725000</v>
      </c>
      <c r="F10" s="199">
        <f t="shared" si="0"/>
        <v>250000</v>
      </c>
      <c r="G10" s="199">
        <v>3725000</v>
      </c>
      <c r="H10" s="199">
        <v>2800272.44</v>
      </c>
      <c r="I10" s="199"/>
      <c r="J10" s="199">
        <v>924353.38</v>
      </c>
      <c r="K10" s="199">
        <f t="shared" si="2"/>
        <v>924353.38</v>
      </c>
      <c r="L10" s="199">
        <f t="shared" si="1"/>
        <v>3724625.82</v>
      </c>
      <c r="M10" s="199">
        <f t="shared" si="3"/>
        <v>374.18000000016764</v>
      </c>
      <c r="N10" s="199">
        <v>250000</v>
      </c>
      <c r="O10" s="199">
        <f t="shared" si="4"/>
        <v>0</v>
      </c>
      <c r="P10" s="199">
        <f t="shared" si="5"/>
        <v>374.18000000016764</v>
      </c>
      <c r="Q10" s="199"/>
      <c r="R10" s="199"/>
      <c r="S10" s="199">
        <f t="shared" si="6"/>
        <v>0</v>
      </c>
      <c r="T10" s="199">
        <f t="shared" si="7"/>
        <v>0</v>
      </c>
      <c r="U10" s="199">
        <f t="shared" si="8"/>
        <v>250000</v>
      </c>
      <c r="V10" s="199">
        <f t="shared" si="9"/>
        <v>250000</v>
      </c>
      <c r="W10" s="199"/>
      <c r="X10" s="199"/>
      <c r="Y10" s="199"/>
      <c r="Z10" s="198"/>
      <c r="AA10" s="341" t="s">
        <v>459</v>
      </c>
      <c r="AB10" s="198">
        <v>742000</v>
      </c>
      <c r="AC10" s="191"/>
      <c r="AD10" s="191"/>
      <c r="AE10" s="624"/>
      <c r="AF10" s="627"/>
      <c r="AG10" s="331"/>
      <c r="AH10" s="331"/>
    </row>
    <row r="11" spans="1:34" s="203" customFormat="1" ht="30" customHeight="1">
      <c r="A11" s="198">
        <f t="shared" si="10"/>
        <v>6</v>
      </c>
      <c r="B11" s="198">
        <v>1207</v>
      </c>
      <c r="C11" s="198" t="s">
        <v>99</v>
      </c>
      <c r="D11" s="199">
        <v>50650000</v>
      </c>
      <c r="E11" s="199">
        <v>50650000</v>
      </c>
      <c r="F11" s="199">
        <f t="shared" si="0"/>
        <v>0</v>
      </c>
      <c r="G11" s="199">
        <v>35650000</v>
      </c>
      <c r="H11" s="199">
        <v>20936335.899999999</v>
      </c>
      <c r="I11" s="199"/>
      <c r="J11" s="199">
        <v>713609.87</v>
      </c>
      <c r="K11" s="199">
        <f t="shared" si="2"/>
        <v>713609.87</v>
      </c>
      <c r="L11" s="199">
        <f t="shared" si="1"/>
        <v>21649945.77</v>
      </c>
      <c r="M11" s="199">
        <f t="shared" si="3"/>
        <v>19000054.23</v>
      </c>
      <c r="N11" s="199">
        <f>10000000-5000000</f>
        <v>5000000</v>
      </c>
      <c r="O11" s="199">
        <f t="shared" si="4"/>
        <v>5000000</v>
      </c>
      <c r="P11" s="199">
        <f t="shared" si="5"/>
        <v>14000054.23</v>
      </c>
      <c r="Q11" s="199">
        <v>5000000</v>
      </c>
      <c r="R11" s="199"/>
      <c r="S11" s="199">
        <f t="shared" si="6"/>
        <v>5000000</v>
      </c>
      <c r="T11" s="199">
        <f t="shared" si="7"/>
        <v>0</v>
      </c>
      <c r="U11" s="199">
        <f t="shared" si="8"/>
        <v>5000000</v>
      </c>
      <c r="V11" s="199">
        <f t="shared" si="9"/>
        <v>5000000</v>
      </c>
      <c r="W11" s="199"/>
      <c r="X11" s="199"/>
      <c r="Y11" s="199"/>
      <c r="Z11" s="198"/>
      <c r="AA11" s="341" t="s">
        <v>1293</v>
      </c>
      <c r="AB11" s="198">
        <v>742000</v>
      </c>
      <c r="AC11" s="191"/>
      <c r="AD11" s="191"/>
      <c r="AE11" s="624"/>
      <c r="AF11" s="627"/>
      <c r="AG11" s="331"/>
      <c r="AH11" s="331"/>
    </row>
    <row r="12" spans="1:34" s="203" customFormat="1" ht="30" customHeight="1">
      <c r="A12" s="198">
        <f t="shared" si="10"/>
        <v>7</v>
      </c>
      <c r="B12" s="198">
        <v>1238</v>
      </c>
      <c r="C12" s="198" t="s">
        <v>100</v>
      </c>
      <c r="D12" s="199">
        <v>32940000</v>
      </c>
      <c r="E12" s="199">
        <v>32940000</v>
      </c>
      <c r="F12" s="199">
        <f t="shared" si="0"/>
        <v>0</v>
      </c>
      <c r="G12" s="199">
        <v>26440000</v>
      </c>
      <c r="H12" s="199">
        <v>25492352.199999999</v>
      </c>
      <c r="I12" s="199"/>
      <c r="J12" s="199">
        <v>254641.37</v>
      </c>
      <c r="K12" s="199">
        <f t="shared" si="2"/>
        <v>254641.37</v>
      </c>
      <c r="L12" s="199">
        <f t="shared" si="1"/>
        <v>25746993.57</v>
      </c>
      <c r="M12" s="199">
        <f t="shared" si="3"/>
        <v>693006.4299999997</v>
      </c>
      <c r="N12" s="199"/>
      <c r="O12" s="199">
        <f t="shared" si="4"/>
        <v>6500000</v>
      </c>
      <c r="P12" s="199">
        <f t="shared" si="5"/>
        <v>693006.4299999997</v>
      </c>
      <c r="Q12" s="199"/>
      <c r="R12" s="199"/>
      <c r="S12" s="199">
        <f t="shared" si="6"/>
        <v>0</v>
      </c>
      <c r="T12" s="199">
        <f t="shared" si="7"/>
        <v>0</v>
      </c>
      <c r="U12" s="199">
        <f t="shared" si="8"/>
        <v>0</v>
      </c>
      <c r="V12" s="199">
        <f t="shared" si="9"/>
        <v>0</v>
      </c>
      <c r="W12" s="199"/>
      <c r="X12" s="199"/>
      <c r="Y12" s="199"/>
      <c r="Z12" s="198"/>
      <c r="AA12" s="458" t="s">
        <v>1309</v>
      </c>
      <c r="AB12" s="198">
        <v>742000</v>
      </c>
      <c r="AC12" s="191"/>
      <c r="AD12" s="191"/>
      <c r="AE12" s="624"/>
      <c r="AF12" s="627"/>
      <c r="AG12" s="331"/>
      <c r="AH12" s="331"/>
    </row>
    <row r="13" spans="1:34" s="203" customFormat="1" ht="30" customHeight="1">
      <c r="A13" s="198">
        <f t="shared" si="10"/>
        <v>8</v>
      </c>
      <c r="B13" s="198">
        <v>1298</v>
      </c>
      <c r="C13" s="198" t="s">
        <v>37</v>
      </c>
      <c r="D13" s="199">
        <v>4600000</v>
      </c>
      <c r="E13" s="199">
        <v>4600000</v>
      </c>
      <c r="F13" s="199">
        <f t="shared" si="0"/>
        <v>0</v>
      </c>
      <c r="G13" s="199">
        <v>4100000</v>
      </c>
      <c r="H13" s="199">
        <v>3769560.87</v>
      </c>
      <c r="I13" s="199"/>
      <c r="J13" s="199">
        <v>311421.5</v>
      </c>
      <c r="K13" s="199">
        <f t="shared" si="2"/>
        <v>311421.5</v>
      </c>
      <c r="L13" s="199">
        <f t="shared" si="1"/>
        <v>4080982.37</v>
      </c>
      <c r="M13" s="199">
        <f t="shared" si="3"/>
        <v>519017.62999999989</v>
      </c>
      <c r="N13" s="199"/>
      <c r="O13" s="199">
        <f t="shared" si="4"/>
        <v>0</v>
      </c>
      <c r="P13" s="199">
        <f t="shared" si="5"/>
        <v>19017.629999999888</v>
      </c>
      <c r="Q13" s="199">
        <v>500000</v>
      </c>
      <c r="R13" s="199"/>
      <c r="S13" s="199">
        <f t="shared" si="6"/>
        <v>500000</v>
      </c>
      <c r="T13" s="199">
        <f t="shared" si="7"/>
        <v>0</v>
      </c>
      <c r="U13" s="199">
        <f t="shared" si="8"/>
        <v>0</v>
      </c>
      <c r="V13" s="199">
        <f t="shared" si="9"/>
        <v>0</v>
      </c>
      <c r="W13" s="199"/>
      <c r="X13" s="199"/>
      <c r="Y13" s="199"/>
      <c r="Z13" s="198"/>
      <c r="AA13" s="341" t="s">
        <v>460</v>
      </c>
      <c r="AB13" s="198">
        <v>742000</v>
      </c>
      <c r="AC13" s="191"/>
      <c r="AD13" s="191"/>
      <c r="AE13" s="624"/>
      <c r="AF13" s="627"/>
      <c r="AG13" s="331"/>
      <c r="AH13" s="331"/>
    </row>
    <row r="14" spans="1:34" s="202" customFormat="1" ht="30" customHeight="1">
      <c r="A14" s="198">
        <f t="shared" si="10"/>
        <v>9</v>
      </c>
      <c r="B14" s="198">
        <v>1312</v>
      </c>
      <c r="C14" s="198" t="s">
        <v>38</v>
      </c>
      <c r="D14" s="199">
        <v>109500000</v>
      </c>
      <c r="E14" s="199">
        <v>109500000</v>
      </c>
      <c r="F14" s="199">
        <f t="shared" si="0"/>
        <v>0</v>
      </c>
      <c r="G14" s="199">
        <v>109500000</v>
      </c>
      <c r="H14" s="199">
        <v>103144077.06999999</v>
      </c>
      <c r="I14" s="199"/>
      <c r="J14" s="199">
        <v>4833910.67</v>
      </c>
      <c r="K14" s="199">
        <f t="shared" si="2"/>
        <v>4833910.67</v>
      </c>
      <c r="L14" s="199">
        <f t="shared" si="1"/>
        <v>107977987.73999999</v>
      </c>
      <c r="M14" s="199">
        <f t="shared" si="3"/>
        <v>1522012.2600000054</v>
      </c>
      <c r="N14" s="199"/>
      <c r="O14" s="199">
        <f t="shared" si="4"/>
        <v>0</v>
      </c>
      <c r="P14" s="199">
        <f t="shared" si="5"/>
        <v>1522012.2600000054</v>
      </c>
      <c r="Q14" s="199"/>
      <c r="R14" s="199"/>
      <c r="S14" s="199">
        <f t="shared" si="6"/>
        <v>0</v>
      </c>
      <c r="T14" s="199">
        <f t="shared" si="7"/>
        <v>0</v>
      </c>
      <c r="U14" s="199">
        <f t="shared" si="8"/>
        <v>0</v>
      </c>
      <c r="V14" s="199">
        <f t="shared" si="9"/>
        <v>0</v>
      </c>
      <c r="W14" s="199"/>
      <c r="X14" s="199"/>
      <c r="Y14" s="199"/>
      <c r="Z14" s="198"/>
      <c r="AA14" s="198" t="s">
        <v>1125</v>
      </c>
      <c r="AB14" s="198">
        <v>930000</v>
      </c>
      <c r="AC14" s="191"/>
      <c r="AD14" s="191"/>
      <c r="AE14" s="624"/>
      <c r="AF14" s="627"/>
      <c r="AG14" s="331"/>
      <c r="AH14" s="331"/>
    </row>
    <row r="15" spans="1:34" s="5" customFormat="1" ht="30" customHeight="1">
      <c r="A15" s="198">
        <f t="shared" si="10"/>
        <v>10</v>
      </c>
      <c r="B15" s="3">
        <v>1314</v>
      </c>
      <c r="C15" s="3" t="s">
        <v>51</v>
      </c>
      <c r="D15" s="4">
        <v>3200000</v>
      </c>
      <c r="E15" s="4">
        <v>3200000</v>
      </c>
      <c r="F15" s="4">
        <f t="shared" si="0"/>
        <v>0</v>
      </c>
      <c r="G15" s="4">
        <v>400000</v>
      </c>
      <c r="H15" s="4">
        <v>359314.49</v>
      </c>
      <c r="I15" s="4"/>
      <c r="J15" s="4"/>
      <c r="K15" s="199">
        <f t="shared" si="2"/>
        <v>0</v>
      </c>
      <c r="L15" s="199">
        <f t="shared" si="1"/>
        <v>359314.49</v>
      </c>
      <c r="M15" s="199">
        <f t="shared" si="3"/>
        <v>40685.510000000009</v>
      </c>
      <c r="N15" s="4">
        <v>2800000</v>
      </c>
      <c r="O15" s="4">
        <f t="shared" si="4"/>
        <v>0</v>
      </c>
      <c r="P15" s="4">
        <f t="shared" si="5"/>
        <v>40685.510000000009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2800000</v>
      </c>
      <c r="V15" s="4">
        <f>U15-Z15-W15-Y15</f>
        <v>2800000</v>
      </c>
      <c r="W15" s="4"/>
      <c r="X15" s="4"/>
      <c r="Y15" s="4"/>
      <c r="Z15" s="3"/>
      <c r="AA15" s="3" t="s">
        <v>1310</v>
      </c>
      <c r="AB15" s="3">
        <v>742000</v>
      </c>
      <c r="AC15" s="191"/>
      <c r="AD15" s="191"/>
      <c r="AE15" s="624"/>
      <c r="AF15" s="627"/>
    </row>
    <row r="16" spans="1:34" s="5" customFormat="1" ht="30" customHeight="1">
      <c r="A16" s="198">
        <f t="shared" si="10"/>
        <v>11</v>
      </c>
      <c r="B16" s="3">
        <v>1322</v>
      </c>
      <c r="C16" s="3" t="s">
        <v>39</v>
      </c>
      <c r="D16" s="4">
        <v>18500000</v>
      </c>
      <c r="E16" s="4">
        <v>18500000</v>
      </c>
      <c r="F16" s="4">
        <f t="shared" si="0"/>
        <v>0</v>
      </c>
      <c r="G16" s="4">
        <v>10850000</v>
      </c>
      <c r="H16" s="4">
        <v>9625168.5899999999</v>
      </c>
      <c r="I16" s="4">
        <v>92414.99</v>
      </c>
      <c r="J16" s="4"/>
      <c r="K16" s="199">
        <f t="shared" si="2"/>
        <v>92414.99</v>
      </c>
      <c r="L16" s="199">
        <f t="shared" si="1"/>
        <v>9717583.5800000001</v>
      </c>
      <c r="M16" s="199">
        <f t="shared" si="3"/>
        <v>1132416.42</v>
      </c>
      <c r="N16" s="4">
        <f>4000000-2000000</f>
        <v>2000000</v>
      </c>
      <c r="O16" s="4">
        <f t="shared" si="4"/>
        <v>5650000</v>
      </c>
      <c r="P16" s="4">
        <f t="shared" si="5"/>
        <v>1132416.42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2000000</v>
      </c>
      <c r="V16" s="4">
        <f>U16-Z16-W16-Y16</f>
        <v>2000000</v>
      </c>
      <c r="W16" s="4"/>
      <c r="X16" s="4"/>
      <c r="Y16" s="4"/>
      <c r="Z16" s="3"/>
      <c r="AA16" s="3" t="s">
        <v>416</v>
      </c>
      <c r="AB16" s="3">
        <v>742000</v>
      </c>
      <c r="AC16" s="191"/>
      <c r="AD16" s="191"/>
      <c r="AE16" s="624"/>
      <c r="AF16" s="627"/>
    </row>
    <row r="17" spans="1:39" s="5" customFormat="1" ht="30" customHeight="1">
      <c r="A17" s="198">
        <f t="shared" si="10"/>
        <v>12</v>
      </c>
      <c r="B17" s="3">
        <v>1357</v>
      </c>
      <c r="C17" s="3" t="s">
        <v>54</v>
      </c>
      <c r="D17" s="4">
        <v>25000000</v>
      </c>
      <c r="E17" s="4">
        <v>25000000</v>
      </c>
      <c r="F17" s="4">
        <f t="shared" si="0"/>
        <v>0</v>
      </c>
      <c r="G17" s="4">
        <v>12612000</v>
      </c>
      <c r="H17" s="4">
        <v>12420746.140000001</v>
      </c>
      <c r="I17" s="4"/>
      <c r="J17" s="4">
        <v>162998.54999999999</v>
      </c>
      <c r="K17" s="199">
        <f t="shared" si="2"/>
        <v>162998.54999999999</v>
      </c>
      <c r="L17" s="199">
        <f t="shared" si="1"/>
        <v>12583744.690000001</v>
      </c>
      <c r="M17" s="199">
        <f t="shared" si="3"/>
        <v>28255.309999998659</v>
      </c>
      <c r="N17" s="4">
        <v>5000000</v>
      </c>
      <c r="O17" s="4">
        <f t="shared" si="4"/>
        <v>7388000</v>
      </c>
      <c r="P17" s="4">
        <f t="shared" si="5"/>
        <v>28255.309999998659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5000000</v>
      </c>
      <c r="V17" s="4">
        <f>U17-Z17-W17-Y17</f>
        <v>5000000</v>
      </c>
      <c r="W17" s="4"/>
      <c r="X17" s="4"/>
      <c r="Y17" s="4"/>
      <c r="Z17" s="3"/>
      <c r="AA17" s="3" t="s">
        <v>1378</v>
      </c>
      <c r="AB17" s="3">
        <v>829000</v>
      </c>
      <c r="AC17" s="191"/>
      <c r="AD17" s="191"/>
      <c r="AE17" s="624"/>
      <c r="AF17" s="627"/>
    </row>
    <row r="18" spans="1:39" s="202" customFormat="1" ht="30" customHeight="1">
      <c r="A18" s="198">
        <f t="shared" si="10"/>
        <v>13</v>
      </c>
      <c r="B18" s="198">
        <v>1375</v>
      </c>
      <c r="C18" s="198" t="s">
        <v>759</v>
      </c>
      <c r="D18" s="199">
        <v>40150000</v>
      </c>
      <c r="E18" s="199">
        <v>40150000</v>
      </c>
      <c r="F18" s="199">
        <f t="shared" si="0"/>
        <v>0</v>
      </c>
      <c r="G18" s="199">
        <v>29500000</v>
      </c>
      <c r="H18" s="199">
        <v>27491253.710000001</v>
      </c>
      <c r="I18" s="199"/>
      <c r="J18" s="199">
        <v>73394.25</v>
      </c>
      <c r="K18" s="199">
        <f t="shared" si="2"/>
        <v>73394.25</v>
      </c>
      <c r="L18" s="199">
        <f t="shared" si="1"/>
        <v>27564647.960000001</v>
      </c>
      <c r="M18" s="199">
        <f t="shared" si="3"/>
        <v>2585352.0399999991</v>
      </c>
      <c r="N18" s="199"/>
      <c r="O18" s="199">
        <f t="shared" si="4"/>
        <v>10000000</v>
      </c>
      <c r="P18" s="199">
        <f t="shared" si="5"/>
        <v>1935352.0399999991</v>
      </c>
      <c r="Q18" s="199">
        <v>650000</v>
      </c>
      <c r="R18" s="199"/>
      <c r="S18" s="4">
        <f t="shared" si="6"/>
        <v>650000</v>
      </c>
      <c r="T18" s="199">
        <f t="shared" si="7"/>
        <v>0</v>
      </c>
      <c r="U18" s="199">
        <f t="shared" si="8"/>
        <v>0</v>
      </c>
      <c r="V18" s="199">
        <f t="shared" si="9"/>
        <v>0</v>
      </c>
      <c r="W18" s="199"/>
      <c r="X18" s="199"/>
      <c r="Y18" s="199"/>
      <c r="Z18" s="198"/>
      <c r="AA18" s="198" t="s">
        <v>1311</v>
      </c>
      <c r="AB18" s="198">
        <v>747000</v>
      </c>
      <c r="AC18" s="191"/>
      <c r="AD18" s="191"/>
      <c r="AE18" s="624"/>
      <c r="AF18" s="627"/>
      <c r="AG18" s="331"/>
      <c r="AH18" s="331"/>
    </row>
    <row r="19" spans="1:39" s="202" customFormat="1" ht="30" customHeight="1">
      <c r="A19" s="198">
        <f t="shared" si="10"/>
        <v>14</v>
      </c>
      <c r="B19" s="198">
        <v>1403</v>
      </c>
      <c r="C19" s="198" t="s">
        <v>461</v>
      </c>
      <c r="D19" s="199">
        <f>31750000+4500000</f>
        <v>36250000</v>
      </c>
      <c r="E19" s="199">
        <f>31750000+4500000</f>
        <v>36250000</v>
      </c>
      <c r="F19" s="199">
        <f t="shared" si="0"/>
        <v>0</v>
      </c>
      <c r="G19" s="199">
        <v>36250000</v>
      </c>
      <c r="H19" s="199">
        <v>35249254.460000001</v>
      </c>
      <c r="I19" s="199"/>
      <c r="J19" s="199">
        <v>1000738.72</v>
      </c>
      <c r="K19" s="199">
        <f t="shared" si="2"/>
        <v>1000738.72</v>
      </c>
      <c r="L19" s="199">
        <f t="shared" si="1"/>
        <v>36249993.18</v>
      </c>
      <c r="M19" s="199">
        <f t="shared" si="3"/>
        <v>6.8200000002980232</v>
      </c>
      <c r="N19" s="199"/>
      <c r="O19" s="199">
        <f t="shared" si="4"/>
        <v>0</v>
      </c>
      <c r="P19" s="199">
        <f t="shared" si="5"/>
        <v>6.8200000002980232</v>
      </c>
      <c r="Q19" s="199"/>
      <c r="R19" s="199"/>
      <c r="S19" s="199">
        <f t="shared" si="6"/>
        <v>0</v>
      </c>
      <c r="T19" s="199">
        <f t="shared" si="7"/>
        <v>0</v>
      </c>
      <c r="U19" s="199">
        <f t="shared" si="8"/>
        <v>0</v>
      </c>
      <c r="V19" s="199">
        <f t="shared" si="9"/>
        <v>0</v>
      </c>
      <c r="W19" s="199"/>
      <c r="X19" s="199"/>
      <c r="Y19" s="199"/>
      <c r="Z19" s="198"/>
      <c r="AA19" s="198" t="s">
        <v>1126</v>
      </c>
      <c r="AB19" s="198">
        <v>826000</v>
      </c>
      <c r="AC19" s="191"/>
      <c r="AD19" s="191"/>
      <c r="AE19" s="624"/>
      <c r="AF19" s="627"/>
      <c r="AG19" s="331"/>
      <c r="AH19" s="331"/>
    </row>
    <row r="20" spans="1:39" s="202" customFormat="1" ht="30" customHeight="1">
      <c r="A20" s="198">
        <f t="shared" si="10"/>
        <v>15</v>
      </c>
      <c r="B20" s="198">
        <v>1443</v>
      </c>
      <c r="C20" s="198" t="s">
        <v>101</v>
      </c>
      <c r="D20" s="199">
        <v>78500000</v>
      </c>
      <c r="E20" s="199">
        <v>78500000</v>
      </c>
      <c r="F20" s="199">
        <f t="shared" si="0"/>
        <v>0</v>
      </c>
      <c r="G20" s="199">
        <v>50840000</v>
      </c>
      <c r="H20" s="199">
        <v>50824299</v>
      </c>
      <c r="I20" s="199"/>
      <c r="J20" s="199"/>
      <c r="K20" s="199">
        <f t="shared" si="2"/>
        <v>0</v>
      </c>
      <c r="L20" s="199">
        <f t="shared" si="1"/>
        <v>50824299</v>
      </c>
      <c r="M20" s="199">
        <f t="shared" si="3"/>
        <v>15701</v>
      </c>
      <c r="N20" s="199"/>
      <c r="O20" s="199">
        <f t="shared" si="4"/>
        <v>27660000</v>
      </c>
      <c r="P20" s="199">
        <f t="shared" si="5"/>
        <v>15701</v>
      </c>
      <c r="Q20" s="199"/>
      <c r="R20" s="199"/>
      <c r="S20" s="199">
        <f t="shared" si="6"/>
        <v>0</v>
      </c>
      <c r="T20" s="199">
        <f t="shared" si="7"/>
        <v>0</v>
      </c>
      <c r="U20" s="199">
        <f t="shared" si="8"/>
        <v>0</v>
      </c>
      <c r="V20" s="199">
        <f t="shared" si="9"/>
        <v>0</v>
      </c>
      <c r="W20" s="199"/>
      <c r="X20" s="199"/>
      <c r="Y20" s="199"/>
      <c r="Z20" s="198"/>
      <c r="AA20" s="198"/>
      <c r="AB20" s="198">
        <v>749000</v>
      </c>
      <c r="AC20" s="191"/>
      <c r="AD20" s="191"/>
      <c r="AE20" s="624"/>
      <c r="AF20" s="627"/>
      <c r="AG20" s="331"/>
      <c r="AH20" s="331"/>
    </row>
    <row r="21" spans="1:39" s="202" customFormat="1" ht="30" customHeight="1">
      <c r="A21" s="198">
        <f t="shared" si="10"/>
        <v>16</v>
      </c>
      <c r="B21" s="198">
        <v>1446</v>
      </c>
      <c r="C21" s="198" t="s">
        <v>216</v>
      </c>
      <c r="D21" s="199">
        <v>14250000</v>
      </c>
      <c r="E21" s="199">
        <v>14250000</v>
      </c>
      <c r="F21" s="199">
        <f t="shared" si="0"/>
        <v>0</v>
      </c>
      <c r="G21" s="199">
        <v>8000000</v>
      </c>
      <c r="H21" s="199">
        <v>3219669.5</v>
      </c>
      <c r="I21" s="199"/>
      <c r="J21" s="199">
        <v>323514.64</v>
      </c>
      <c r="K21" s="199">
        <f t="shared" si="2"/>
        <v>323514.64</v>
      </c>
      <c r="L21" s="199">
        <f t="shared" si="1"/>
        <v>3543184.14</v>
      </c>
      <c r="M21" s="199">
        <f t="shared" si="3"/>
        <v>10706815.859999999</v>
      </c>
      <c r="N21" s="199"/>
      <c r="O21" s="199">
        <f t="shared" si="4"/>
        <v>0</v>
      </c>
      <c r="P21" s="199">
        <f t="shared" si="5"/>
        <v>4456815.8599999994</v>
      </c>
      <c r="Q21" s="199">
        <v>6250000</v>
      </c>
      <c r="R21" s="199"/>
      <c r="S21" s="199">
        <f t="shared" si="6"/>
        <v>6250000</v>
      </c>
      <c r="T21" s="199">
        <f t="shared" si="7"/>
        <v>0</v>
      </c>
      <c r="U21" s="199">
        <f t="shared" si="8"/>
        <v>0</v>
      </c>
      <c r="V21" s="199">
        <f t="shared" si="9"/>
        <v>0</v>
      </c>
      <c r="W21" s="199"/>
      <c r="X21" s="199"/>
      <c r="Y21" s="199"/>
      <c r="Z21" s="198"/>
      <c r="AA21" s="341" t="s">
        <v>591</v>
      </c>
      <c r="AB21" s="198">
        <v>742000</v>
      </c>
      <c r="AC21" s="191"/>
      <c r="AD21" s="191"/>
      <c r="AE21" s="624"/>
      <c r="AF21" s="627"/>
      <c r="AG21" s="331"/>
      <c r="AH21" s="331"/>
    </row>
    <row r="22" spans="1:39" s="202" customFormat="1" ht="30" customHeight="1">
      <c r="A22" s="198">
        <f t="shared" si="10"/>
        <v>17</v>
      </c>
      <c r="B22" s="198">
        <v>1455</v>
      </c>
      <c r="C22" s="198" t="s">
        <v>42</v>
      </c>
      <c r="D22" s="199">
        <v>4500000</v>
      </c>
      <c r="E22" s="199">
        <v>4500000</v>
      </c>
      <c r="F22" s="199">
        <f t="shared" si="0"/>
        <v>0</v>
      </c>
      <c r="G22" s="199">
        <v>4500000</v>
      </c>
      <c r="H22" s="199">
        <v>3313902.7</v>
      </c>
      <c r="I22" s="199"/>
      <c r="J22" s="199">
        <v>414522.88</v>
      </c>
      <c r="K22" s="199">
        <f t="shared" si="2"/>
        <v>414522.88</v>
      </c>
      <c r="L22" s="199">
        <f t="shared" si="1"/>
        <v>3728425.58</v>
      </c>
      <c r="M22" s="199">
        <f t="shared" si="3"/>
        <v>771574.41999999993</v>
      </c>
      <c r="N22" s="199"/>
      <c r="O22" s="199">
        <f t="shared" si="4"/>
        <v>0</v>
      </c>
      <c r="P22" s="199">
        <f t="shared" si="5"/>
        <v>771574.41999999993</v>
      </c>
      <c r="Q22" s="199"/>
      <c r="R22" s="199"/>
      <c r="S22" s="199">
        <f t="shared" si="6"/>
        <v>0</v>
      </c>
      <c r="T22" s="199">
        <f t="shared" si="7"/>
        <v>0</v>
      </c>
      <c r="U22" s="199">
        <f t="shared" si="8"/>
        <v>0</v>
      </c>
      <c r="V22" s="199">
        <f t="shared" si="9"/>
        <v>0</v>
      </c>
      <c r="W22" s="199"/>
      <c r="X22" s="199"/>
      <c r="Y22" s="199"/>
      <c r="Z22" s="198"/>
      <c r="AA22" s="341" t="s">
        <v>1127</v>
      </c>
      <c r="AB22" s="198">
        <v>742000</v>
      </c>
      <c r="AC22" s="191"/>
      <c r="AD22" s="191"/>
      <c r="AE22" s="624"/>
      <c r="AF22" s="627"/>
      <c r="AG22" s="331"/>
      <c r="AH22" s="331"/>
    </row>
    <row r="23" spans="1:39" s="202" customFormat="1" ht="30" customHeight="1">
      <c r="A23" s="198">
        <f t="shared" si="10"/>
        <v>18</v>
      </c>
      <c r="B23" s="198">
        <v>1462</v>
      </c>
      <c r="C23" s="198" t="s">
        <v>462</v>
      </c>
      <c r="D23" s="199">
        <v>7500000</v>
      </c>
      <c r="E23" s="199">
        <v>7500000</v>
      </c>
      <c r="F23" s="199">
        <f t="shared" si="0"/>
        <v>0</v>
      </c>
      <c r="G23" s="199">
        <v>7500000</v>
      </c>
      <c r="H23" s="199">
        <v>3539289.7</v>
      </c>
      <c r="I23" s="199"/>
      <c r="J23" s="199">
        <v>837250.43</v>
      </c>
      <c r="K23" s="199">
        <f t="shared" si="2"/>
        <v>837250.43</v>
      </c>
      <c r="L23" s="199">
        <f t="shared" si="1"/>
        <v>4376540.13</v>
      </c>
      <c r="M23" s="199">
        <f t="shared" si="3"/>
        <v>3123459.87</v>
      </c>
      <c r="N23" s="199"/>
      <c r="O23" s="199">
        <f t="shared" si="4"/>
        <v>0</v>
      </c>
      <c r="P23" s="199">
        <f t="shared" si="5"/>
        <v>3123459.87</v>
      </c>
      <c r="Q23" s="199"/>
      <c r="R23" s="199"/>
      <c r="S23" s="199">
        <f t="shared" si="6"/>
        <v>0</v>
      </c>
      <c r="T23" s="199">
        <f t="shared" si="7"/>
        <v>0</v>
      </c>
      <c r="U23" s="199">
        <f t="shared" si="8"/>
        <v>0</v>
      </c>
      <c r="V23" s="199">
        <f t="shared" si="9"/>
        <v>0</v>
      </c>
      <c r="W23" s="199"/>
      <c r="X23" s="199"/>
      <c r="Y23" s="199"/>
      <c r="Z23" s="198"/>
      <c r="AA23" s="198" t="s">
        <v>1128</v>
      </c>
      <c r="AB23" s="198">
        <v>742000</v>
      </c>
      <c r="AC23" s="191"/>
      <c r="AD23" s="191"/>
      <c r="AE23" s="624"/>
      <c r="AF23" s="627"/>
      <c r="AG23" s="331"/>
      <c r="AH23" s="331"/>
    </row>
    <row r="24" spans="1:39" s="202" customFormat="1" ht="30" customHeight="1">
      <c r="A24" s="198">
        <f t="shared" si="10"/>
        <v>19</v>
      </c>
      <c r="B24" s="198">
        <v>1539</v>
      </c>
      <c r="C24" s="198" t="s">
        <v>44</v>
      </c>
      <c r="D24" s="199">
        <v>16300000</v>
      </c>
      <c r="E24" s="199">
        <v>16300000</v>
      </c>
      <c r="F24" s="199">
        <f t="shared" si="0"/>
        <v>0</v>
      </c>
      <c r="G24" s="199">
        <v>16300000</v>
      </c>
      <c r="H24" s="199">
        <v>13561457.970000001</v>
      </c>
      <c r="I24" s="199">
        <v>54264.4</v>
      </c>
      <c r="J24" s="199">
        <v>1161823.8700000001</v>
      </c>
      <c r="K24" s="199">
        <f t="shared" si="2"/>
        <v>1216088.27</v>
      </c>
      <c r="L24" s="199">
        <f t="shared" si="1"/>
        <v>14777546.24</v>
      </c>
      <c r="M24" s="199">
        <f t="shared" si="3"/>
        <v>1522453.7599999998</v>
      </c>
      <c r="N24" s="199"/>
      <c r="O24" s="199">
        <f t="shared" si="4"/>
        <v>0</v>
      </c>
      <c r="P24" s="199">
        <f t="shared" si="5"/>
        <v>1522453.7599999998</v>
      </c>
      <c r="Q24" s="199"/>
      <c r="R24" s="199"/>
      <c r="S24" s="199">
        <f t="shared" si="6"/>
        <v>0</v>
      </c>
      <c r="T24" s="199">
        <f t="shared" si="7"/>
        <v>0</v>
      </c>
      <c r="U24" s="199">
        <f t="shared" si="8"/>
        <v>0</v>
      </c>
      <c r="V24" s="199">
        <f t="shared" si="9"/>
        <v>0</v>
      </c>
      <c r="W24" s="199"/>
      <c r="X24" s="199"/>
      <c r="Y24" s="199"/>
      <c r="Z24" s="198"/>
      <c r="AA24" s="198" t="s">
        <v>1129</v>
      </c>
      <c r="AB24" s="198">
        <v>742000</v>
      </c>
      <c r="AC24" s="191"/>
      <c r="AD24" s="191"/>
      <c r="AE24" s="624"/>
      <c r="AF24" s="627"/>
      <c r="AG24" s="331"/>
      <c r="AH24" s="331"/>
    </row>
    <row r="25" spans="1:39" s="202" customFormat="1" ht="30" customHeight="1">
      <c r="A25" s="198">
        <f t="shared" si="10"/>
        <v>20</v>
      </c>
      <c r="B25" s="198">
        <v>1588</v>
      </c>
      <c r="C25" s="198" t="s">
        <v>28</v>
      </c>
      <c r="D25" s="199">
        <v>50500000</v>
      </c>
      <c r="E25" s="199">
        <v>50500000</v>
      </c>
      <c r="F25" s="199">
        <f t="shared" si="0"/>
        <v>0</v>
      </c>
      <c r="G25" s="199">
        <v>32500000</v>
      </c>
      <c r="H25" s="199">
        <v>27393014.829999998</v>
      </c>
      <c r="I25" s="199">
        <v>682147.41</v>
      </c>
      <c r="J25" s="199">
        <v>1712018.49</v>
      </c>
      <c r="K25" s="199">
        <f t="shared" si="2"/>
        <v>2394165.9</v>
      </c>
      <c r="L25" s="199">
        <f t="shared" si="1"/>
        <v>29787180.729999997</v>
      </c>
      <c r="M25" s="199">
        <f t="shared" si="3"/>
        <v>15712819.270000003</v>
      </c>
      <c r="N25" s="199"/>
      <c r="O25" s="199">
        <f t="shared" si="4"/>
        <v>5000000</v>
      </c>
      <c r="P25" s="199">
        <f t="shared" si="5"/>
        <v>2712819.2700000033</v>
      </c>
      <c r="Q25" s="199">
        <v>13000000</v>
      </c>
      <c r="R25" s="199"/>
      <c r="S25" s="199">
        <f t="shared" si="6"/>
        <v>13000000</v>
      </c>
      <c r="T25" s="199">
        <f t="shared" si="7"/>
        <v>0</v>
      </c>
      <c r="U25" s="199">
        <f t="shared" si="8"/>
        <v>0</v>
      </c>
      <c r="V25" s="199">
        <f t="shared" si="9"/>
        <v>0</v>
      </c>
      <c r="W25" s="199"/>
      <c r="X25" s="199"/>
      <c r="Y25" s="199"/>
      <c r="Z25" s="198"/>
      <c r="AA25" s="198" t="s">
        <v>592</v>
      </c>
      <c r="AB25" s="198">
        <v>742000</v>
      </c>
      <c r="AC25" s="191"/>
      <c r="AD25" s="191"/>
      <c r="AE25" s="624"/>
      <c r="AF25" s="627"/>
      <c r="AG25" s="331"/>
      <c r="AH25" s="331"/>
    </row>
    <row r="26" spans="1:39" s="202" customFormat="1" ht="30" customHeight="1">
      <c r="A26" s="198">
        <f t="shared" si="10"/>
        <v>21</v>
      </c>
      <c r="B26" s="198">
        <v>1614</v>
      </c>
      <c r="C26" s="198" t="s">
        <v>463</v>
      </c>
      <c r="D26" s="199">
        <v>7200000</v>
      </c>
      <c r="E26" s="199">
        <v>7200000</v>
      </c>
      <c r="F26" s="199">
        <f t="shared" si="0"/>
        <v>0</v>
      </c>
      <c r="G26" s="199">
        <v>7200000</v>
      </c>
      <c r="H26" s="199">
        <v>4760817.5</v>
      </c>
      <c r="I26" s="199"/>
      <c r="J26" s="199">
        <v>915188.54</v>
      </c>
      <c r="K26" s="199">
        <f t="shared" si="2"/>
        <v>915188.54</v>
      </c>
      <c r="L26" s="199">
        <f t="shared" si="1"/>
        <v>5676006.04</v>
      </c>
      <c r="M26" s="199">
        <f t="shared" si="3"/>
        <v>1523993.96</v>
      </c>
      <c r="N26" s="199"/>
      <c r="O26" s="199">
        <f t="shared" si="4"/>
        <v>0</v>
      </c>
      <c r="P26" s="199">
        <f t="shared" si="5"/>
        <v>1523993.96</v>
      </c>
      <c r="Q26" s="199"/>
      <c r="R26" s="199"/>
      <c r="S26" s="199">
        <f t="shared" si="6"/>
        <v>0</v>
      </c>
      <c r="T26" s="199">
        <f t="shared" si="7"/>
        <v>0</v>
      </c>
      <c r="U26" s="199">
        <f t="shared" si="8"/>
        <v>0</v>
      </c>
      <c r="V26" s="199">
        <f t="shared" si="9"/>
        <v>0</v>
      </c>
      <c r="W26" s="199"/>
      <c r="X26" s="199"/>
      <c r="Y26" s="199"/>
      <c r="Z26" s="198"/>
      <c r="AA26" s="198" t="s">
        <v>1130</v>
      </c>
      <c r="AB26" s="198">
        <v>742000</v>
      </c>
      <c r="AC26" s="191"/>
      <c r="AD26" s="191"/>
      <c r="AE26" s="624"/>
      <c r="AF26" s="627"/>
      <c r="AG26" s="331"/>
      <c r="AH26" s="331"/>
    </row>
    <row r="27" spans="1:39" s="202" customFormat="1" ht="30" customHeight="1">
      <c r="A27" s="198">
        <f t="shared" si="10"/>
        <v>22</v>
      </c>
      <c r="B27" s="198">
        <v>1615</v>
      </c>
      <c r="C27" s="198" t="s">
        <v>151</v>
      </c>
      <c r="D27" s="199">
        <v>27700000</v>
      </c>
      <c r="E27" s="199">
        <v>27700000</v>
      </c>
      <c r="F27" s="199">
        <f t="shared" si="0"/>
        <v>0</v>
      </c>
      <c r="G27" s="199">
        <v>20200000</v>
      </c>
      <c r="H27" s="199">
        <v>13404493.66</v>
      </c>
      <c r="I27" s="199"/>
      <c r="J27" s="199">
        <v>1724902.74</v>
      </c>
      <c r="K27" s="199">
        <f t="shared" si="2"/>
        <v>1724902.74</v>
      </c>
      <c r="L27" s="199">
        <f t="shared" si="1"/>
        <v>15129396.4</v>
      </c>
      <c r="M27" s="199">
        <f t="shared" si="3"/>
        <v>5070603.5999999996</v>
      </c>
      <c r="N27" s="199">
        <f>7500000-3000000-500000</f>
        <v>4000000</v>
      </c>
      <c r="O27" s="199">
        <f t="shared" si="4"/>
        <v>3500000</v>
      </c>
      <c r="P27" s="199">
        <f t="shared" si="5"/>
        <v>5070603.5999999996</v>
      </c>
      <c r="Q27" s="199">
        <f>7500000-7500000</f>
        <v>0</v>
      </c>
      <c r="R27" s="199"/>
      <c r="S27" s="199">
        <f t="shared" si="6"/>
        <v>0</v>
      </c>
      <c r="T27" s="199">
        <f t="shared" si="7"/>
        <v>0</v>
      </c>
      <c r="U27" s="199">
        <f t="shared" si="8"/>
        <v>4000000</v>
      </c>
      <c r="V27" s="199">
        <f t="shared" si="9"/>
        <v>4000000</v>
      </c>
      <c r="W27" s="199"/>
      <c r="X27" s="199"/>
      <c r="Y27" s="199"/>
      <c r="Z27" s="198"/>
      <c r="AA27" s="198" t="s">
        <v>1294</v>
      </c>
      <c r="AB27" s="198">
        <v>742000</v>
      </c>
      <c r="AC27" s="191"/>
      <c r="AD27" s="191"/>
      <c r="AE27" s="624"/>
      <c r="AF27" s="627"/>
      <c r="AG27" s="331"/>
      <c r="AH27" s="331"/>
    </row>
    <row r="28" spans="1:39" s="202" customFormat="1" ht="30" customHeight="1">
      <c r="A28" s="198">
        <f t="shared" si="10"/>
        <v>23</v>
      </c>
      <c r="B28" s="198">
        <v>1656</v>
      </c>
      <c r="C28" s="198" t="s">
        <v>46</v>
      </c>
      <c r="D28" s="199">
        <v>9400000</v>
      </c>
      <c r="E28" s="199">
        <v>9400000</v>
      </c>
      <c r="F28" s="199">
        <f t="shared" si="0"/>
        <v>0</v>
      </c>
      <c r="G28" s="199">
        <v>9400000</v>
      </c>
      <c r="H28" s="199">
        <v>6217998.0999999996</v>
      </c>
      <c r="I28" s="199"/>
      <c r="J28" s="199">
        <v>220821.15</v>
      </c>
      <c r="K28" s="199">
        <f t="shared" si="2"/>
        <v>220821.15</v>
      </c>
      <c r="L28" s="199">
        <f t="shared" si="1"/>
        <v>6438819.25</v>
      </c>
      <c r="M28" s="199">
        <f>P28+S28-2700000</f>
        <v>261180.75</v>
      </c>
      <c r="N28" s="199"/>
      <c r="O28" s="199">
        <f t="shared" si="4"/>
        <v>2700000</v>
      </c>
      <c r="P28" s="199">
        <f t="shared" si="5"/>
        <v>2961180.75</v>
      </c>
      <c r="Q28" s="199"/>
      <c r="R28" s="199"/>
      <c r="S28" s="199">
        <f t="shared" si="6"/>
        <v>0</v>
      </c>
      <c r="T28" s="199">
        <f t="shared" si="7"/>
        <v>2700000</v>
      </c>
      <c r="U28" s="199">
        <f t="shared" si="8"/>
        <v>-2700000</v>
      </c>
      <c r="V28" s="199">
        <f t="shared" si="9"/>
        <v>-2700000</v>
      </c>
      <c r="W28" s="199"/>
      <c r="X28" s="199"/>
      <c r="Y28" s="199"/>
      <c r="Z28" s="198"/>
      <c r="AA28" s="341"/>
      <c r="AB28" s="198">
        <v>742000</v>
      </c>
      <c r="AC28" s="191"/>
      <c r="AD28" s="191"/>
      <c r="AE28" s="624"/>
      <c r="AF28" s="627"/>
      <c r="AG28" s="331"/>
      <c r="AH28" s="331"/>
    </row>
    <row r="29" spans="1:39" s="202" customFormat="1" ht="30" customHeight="1">
      <c r="A29" s="198">
        <f t="shared" si="10"/>
        <v>24</v>
      </c>
      <c r="B29" s="198">
        <v>1657</v>
      </c>
      <c r="C29" s="198" t="s">
        <v>30</v>
      </c>
      <c r="D29" s="199">
        <v>60000000</v>
      </c>
      <c r="E29" s="199">
        <v>60000000</v>
      </c>
      <c r="F29" s="199">
        <f t="shared" si="0"/>
        <v>0</v>
      </c>
      <c r="G29" s="199">
        <v>13700000</v>
      </c>
      <c r="H29" s="199">
        <v>5296985.92</v>
      </c>
      <c r="I29" s="199">
        <v>167189.14000000001</v>
      </c>
      <c r="J29" s="199">
        <v>360232.04</v>
      </c>
      <c r="K29" s="199">
        <f t="shared" si="2"/>
        <v>527421.17999999993</v>
      </c>
      <c r="L29" s="199">
        <f t="shared" si="1"/>
        <v>5824407.0999999996</v>
      </c>
      <c r="M29" s="199">
        <f t="shared" si="3"/>
        <v>7875592.9000000004</v>
      </c>
      <c r="N29" s="199">
        <f>46300000-20000000-10000000</f>
        <v>16300000</v>
      </c>
      <c r="O29" s="199">
        <f t="shared" si="4"/>
        <v>30000000</v>
      </c>
      <c r="P29" s="199">
        <f t="shared" si="5"/>
        <v>7875592.9000000004</v>
      </c>
      <c r="Q29" s="199"/>
      <c r="R29" s="199"/>
      <c r="S29" s="199">
        <f t="shared" si="6"/>
        <v>0</v>
      </c>
      <c r="T29" s="199">
        <f t="shared" si="7"/>
        <v>0</v>
      </c>
      <c r="U29" s="199">
        <f t="shared" si="8"/>
        <v>16300000</v>
      </c>
      <c r="V29" s="199">
        <f t="shared" si="9"/>
        <v>14588734</v>
      </c>
      <c r="W29" s="199"/>
      <c r="X29" s="199"/>
      <c r="Y29" s="199"/>
      <c r="Z29" s="199">
        <f>210000+1501266</f>
        <v>1711266</v>
      </c>
      <c r="AA29" s="3" t="s">
        <v>1312</v>
      </c>
      <c r="AB29" s="198">
        <v>742000</v>
      </c>
      <c r="AC29" s="191"/>
      <c r="AD29" s="191"/>
      <c r="AE29" s="624"/>
      <c r="AF29" s="627"/>
      <c r="AG29" s="331"/>
      <c r="AH29" s="331"/>
    </row>
    <row r="30" spans="1:39" s="202" customFormat="1" ht="30" customHeight="1">
      <c r="A30" s="198">
        <f t="shared" si="10"/>
        <v>25</v>
      </c>
      <c r="B30" s="198">
        <v>1723</v>
      </c>
      <c r="C30" s="198" t="s">
        <v>31</v>
      </c>
      <c r="D30" s="199">
        <v>17500000</v>
      </c>
      <c r="E30" s="199">
        <v>17500000</v>
      </c>
      <c r="F30" s="199">
        <f t="shared" si="0"/>
        <v>0</v>
      </c>
      <c r="G30" s="199">
        <v>12212460</v>
      </c>
      <c r="H30" s="199">
        <v>1426802</v>
      </c>
      <c r="I30" s="199"/>
      <c r="J30" s="199">
        <v>40053.839999999997</v>
      </c>
      <c r="K30" s="199">
        <f t="shared" si="2"/>
        <v>40053.839999999997</v>
      </c>
      <c r="L30" s="199">
        <f t="shared" si="1"/>
        <v>1466855.84</v>
      </c>
      <c r="M30" s="199">
        <f t="shared" si="3"/>
        <v>10745604.16</v>
      </c>
      <c r="N30" s="199"/>
      <c r="O30" s="199">
        <f t="shared" si="4"/>
        <v>5287540</v>
      </c>
      <c r="P30" s="199">
        <f t="shared" si="5"/>
        <v>10745604.16</v>
      </c>
      <c r="Q30" s="199"/>
      <c r="R30" s="199"/>
      <c r="S30" s="199">
        <f t="shared" si="6"/>
        <v>0</v>
      </c>
      <c r="T30" s="199">
        <f t="shared" si="7"/>
        <v>0</v>
      </c>
      <c r="U30" s="199">
        <f t="shared" si="8"/>
        <v>0</v>
      </c>
      <c r="V30" s="199">
        <f t="shared" si="9"/>
        <v>0</v>
      </c>
      <c r="W30" s="199"/>
      <c r="X30" s="199"/>
      <c r="Y30" s="199"/>
      <c r="Z30" s="199"/>
      <c r="AA30" s="198" t="s">
        <v>1458</v>
      </c>
      <c r="AB30" s="198">
        <v>732000</v>
      </c>
      <c r="AC30" s="191"/>
      <c r="AD30" s="191"/>
      <c r="AE30" s="624"/>
      <c r="AF30" s="627"/>
      <c r="AG30" s="331"/>
      <c r="AH30" s="331"/>
    </row>
    <row r="31" spans="1:39" s="202" customFormat="1" ht="30" customHeight="1">
      <c r="A31" s="198">
        <f t="shared" si="10"/>
        <v>26</v>
      </c>
      <c r="B31" s="198">
        <v>1751</v>
      </c>
      <c r="C31" s="198" t="s">
        <v>131</v>
      </c>
      <c r="D31" s="199">
        <v>4800000</v>
      </c>
      <c r="E31" s="199">
        <v>4800000</v>
      </c>
      <c r="F31" s="199">
        <f t="shared" si="0"/>
        <v>0</v>
      </c>
      <c r="G31" s="199">
        <v>4800000</v>
      </c>
      <c r="H31" s="199">
        <v>2455646</v>
      </c>
      <c r="I31" s="199"/>
      <c r="J31" s="199">
        <v>68843.38</v>
      </c>
      <c r="K31" s="199">
        <f t="shared" si="2"/>
        <v>68843.38</v>
      </c>
      <c r="L31" s="199">
        <f t="shared" si="1"/>
        <v>2524489.38</v>
      </c>
      <c r="M31" s="199">
        <f t="shared" si="3"/>
        <v>2275510.62</v>
      </c>
      <c r="N31" s="199"/>
      <c r="O31" s="199">
        <f t="shared" si="4"/>
        <v>0</v>
      </c>
      <c r="P31" s="199">
        <f t="shared" si="5"/>
        <v>2275510.62</v>
      </c>
      <c r="Q31" s="199"/>
      <c r="R31" s="199"/>
      <c r="S31" s="199">
        <f t="shared" si="6"/>
        <v>0</v>
      </c>
      <c r="T31" s="199">
        <f t="shared" si="7"/>
        <v>0</v>
      </c>
      <c r="U31" s="199">
        <f t="shared" si="8"/>
        <v>0</v>
      </c>
      <c r="V31" s="199">
        <f t="shared" si="9"/>
        <v>0</v>
      </c>
      <c r="W31" s="199"/>
      <c r="X31" s="199"/>
      <c r="Y31" s="199"/>
      <c r="Z31" s="198"/>
      <c r="AA31" s="198" t="s">
        <v>1383</v>
      </c>
      <c r="AB31" s="198">
        <v>810000</v>
      </c>
      <c r="AC31" s="191"/>
      <c r="AD31" s="191"/>
      <c r="AE31" s="624"/>
      <c r="AF31" s="627"/>
      <c r="AG31" s="331"/>
      <c r="AH31" s="331"/>
    </row>
    <row r="32" spans="1:39" s="210" customFormat="1" ht="30" customHeight="1">
      <c r="A32" s="198">
        <f t="shared" si="10"/>
        <v>27</v>
      </c>
      <c r="B32" s="198">
        <v>1765</v>
      </c>
      <c r="C32" s="198" t="s">
        <v>130</v>
      </c>
      <c r="D32" s="199">
        <v>2800000</v>
      </c>
      <c r="E32" s="199">
        <v>2800000</v>
      </c>
      <c r="F32" s="199">
        <f t="shared" si="0"/>
        <v>0</v>
      </c>
      <c r="G32" s="199">
        <v>2800000</v>
      </c>
      <c r="H32" s="199">
        <v>2241815.36</v>
      </c>
      <c r="I32" s="199"/>
      <c r="J32" s="199">
        <v>79517.86</v>
      </c>
      <c r="K32" s="199">
        <f t="shared" si="2"/>
        <v>79517.86</v>
      </c>
      <c r="L32" s="199">
        <f t="shared" si="1"/>
        <v>2321333.2199999997</v>
      </c>
      <c r="M32" s="199">
        <f>P32+S32-250000</f>
        <v>228666.78000000026</v>
      </c>
      <c r="N32" s="199"/>
      <c r="O32" s="199">
        <f t="shared" si="4"/>
        <v>250000</v>
      </c>
      <c r="P32" s="199">
        <f t="shared" si="5"/>
        <v>478666.78000000026</v>
      </c>
      <c r="Q32" s="199"/>
      <c r="R32" s="199"/>
      <c r="S32" s="199">
        <f t="shared" si="6"/>
        <v>0</v>
      </c>
      <c r="T32" s="199">
        <f t="shared" si="7"/>
        <v>250000</v>
      </c>
      <c r="U32" s="199">
        <f t="shared" si="8"/>
        <v>-250000</v>
      </c>
      <c r="V32" s="199">
        <f t="shared" si="9"/>
        <v>-250000</v>
      </c>
      <c r="W32" s="199"/>
      <c r="X32" s="199"/>
      <c r="Y32" s="199"/>
      <c r="Z32" s="198"/>
      <c r="AA32" s="198" t="s">
        <v>1379</v>
      </c>
      <c r="AB32" s="198">
        <v>742000</v>
      </c>
      <c r="AC32" s="191"/>
      <c r="AD32" s="191"/>
      <c r="AE32" s="624"/>
      <c r="AF32" s="627"/>
      <c r="AG32" s="331"/>
      <c r="AH32" s="331"/>
      <c r="AI32" s="209"/>
      <c r="AJ32" s="209"/>
      <c r="AK32" s="209"/>
      <c r="AL32" s="209"/>
      <c r="AM32" s="209"/>
    </row>
    <row r="33" spans="1:39" s="203" customFormat="1" ht="30" customHeight="1">
      <c r="A33" s="198">
        <f t="shared" si="10"/>
        <v>28</v>
      </c>
      <c r="B33" s="198">
        <v>1798</v>
      </c>
      <c r="C33" s="198" t="s">
        <v>137</v>
      </c>
      <c r="D33" s="199">
        <f>1600000+700000</f>
        <v>2300000</v>
      </c>
      <c r="E33" s="199">
        <v>1600000</v>
      </c>
      <c r="F33" s="199">
        <f t="shared" si="0"/>
        <v>700000</v>
      </c>
      <c r="G33" s="199">
        <v>1600000</v>
      </c>
      <c r="H33" s="199">
        <v>1483649</v>
      </c>
      <c r="I33" s="199"/>
      <c r="J33" s="199">
        <v>111425.85</v>
      </c>
      <c r="K33" s="199">
        <f t="shared" si="2"/>
        <v>111425.85</v>
      </c>
      <c r="L33" s="199">
        <f t="shared" si="1"/>
        <v>1595074.85</v>
      </c>
      <c r="M33" s="199">
        <f t="shared" si="3"/>
        <v>4925.1499999999069</v>
      </c>
      <c r="N33" s="199">
        <v>700000</v>
      </c>
      <c r="O33" s="199">
        <f t="shared" si="4"/>
        <v>0</v>
      </c>
      <c r="P33" s="199">
        <f t="shared" si="5"/>
        <v>4925.1499999999069</v>
      </c>
      <c r="Q33" s="199"/>
      <c r="R33" s="199"/>
      <c r="S33" s="199">
        <f t="shared" si="6"/>
        <v>0</v>
      </c>
      <c r="T33" s="199">
        <f t="shared" si="7"/>
        <v>0</v>
      </c>
      <c r="U33" s="199">
        <f t="shared" si="8"/>
        <v>700000</v>
      </c>
      <c r="V33" s="199">
        <f t="shared" si="9"/>
        <v>700000</v>
      </c>
      <c r="W33" s="199"/>
      <c r="X33" s="199"/>
      <c r="Y33" s="199"/>
      <c r="Z33" s="198"/>
      <c r="AA33" s="198" t="s">
        <v>1131</v>
      </c>
      <c r="AB33" s="198">
        <v>829000</v>
      </c>
      <c r="AC33" s="191"/>
      <c r="AD33" s="191"/>
      <c r="AE33" s="624"/>
      <c r="AF33" s="627"/>
      <c r="AG33" s="331"/>
      <c r="AH33" s="331"/>
    </row>
    <row r="34" spans="1:39" ht="30" customHeight="1">
      <c r="A34" s="198">
        <f t="shared" si="10"/>
        <v>29</v>
      </c>
      <c r="B34" s="198">
        <v>1806</v>
      </c>
      <c r="C34" s="198" t="s">
        <v>163</v>
      </c>
      <c r="D34" s="199">
        <v>500000</v>
      </c>
      <c r="E34" s="199">
        <v>500000</v>
      </c>
      <c r="F34" s="199">
        <f t="shared" si="0"/>
        <v>0</v>
      </c>
      <c r="G34" s="199">
        <v>350000</v>
      </c>
      <c r="H34" s="199">
        <v>162931</v>
      </c>
      <c r="I34" s="199"/>
      <c r="J34" s="199">
        <v>172184.22</v>
      </c>
      <c r="K34" s="199">
        <f t="shared" si="2"/>
        <v>172184.22</v>
      </c>
      <c r="L34" s="199">
        <f t="shared" si="1"/>
        <v>335115.21999999997</v>
      </c>
      <c r="M34" s="199">
        <f t="shared" si="3"/>
        <v>164884.78000000003</v>
      </c>
      <c r="N34" s="199"/>
      <c r="O34" s="199">
        <f t="shared" si="4"/>
        <v>0</v>
      </c>
      <c r="P34" s="199">
        <f t="shared" si="5"/>
        <v>14884.780000000028</v>
      </c>
      <c r="Q34" s="199">
        <v>150000</v>
      </c>
      <c r="R34" s="199"/>
      <c r="S34" s="199">
        <f t="shared" si="6"/>
        <v>150000</v>
      </c>
      <c r="T34" s="199">
        <f t="shared" si="7"/>
        <v>0</v>
      </c>
      <c r="U34" s="199">
        <f t="shared" si="8"/>
        <v>0</v>
      </c>
      <c r="V34" s="199">
        <f t="shared" si="9"/>
        <v>0</v>
      </c>
      <c r="W34" s="199"/>
      <c r="X34" s="199"/>
      <c r="Y34" s="199"/>
      <c r="Z34" s="198"/>
      <c r="AA34" s="341" t="s">
        <v>464</v>
      </c>
      <c r="AB34" s="198">
        <v>732000</v>
      </c>
      <c r="AE34" s="624"/>
      <c r="AF34" s="627"/>
      <c r="AI34" s="210"/>
      <c r="AJ34" s="210"/>
      <c r="AK34" s="210"/>
      <c r="AL34" s="210"/>
      <c r="AM34" s="210"/>
    </row>
    <row r="35" spans="1:39" ht="30" customHeight="1">
      <c r="A35" s="198">
        <f t="shared" si="10"/>
        <v>30</v>
      </c>
      <c r="B35" s="340">
        <v>1819</v>
      </c>
      <c r="C35" s="198" t="s">
        <v>884</v>
      </c>
      <c r="D35" s="199">
        <v>18000000</v>
      </c>
      <c r="E35" s="199">
        <v>18000000</v>
      </c>
      <c r="F35" s="199">
        <f t="shared" si="0"/>
        <v>0</v>
      </c>
      <c r="G35" s="199">
        <v>9200000</v>
      </c>
      <c r="H35" s="199">
        <v>1611879.1</v>
      </c>
      <c r="I35" s="199"/>
      <c r="J35" s="199">
        <v>153377.19</v>
      </c>
      <c r="K35" s="199">
        <f t="shared" si="2"/>
        <v>153377.19</v>
      </c>
      <c r="L35" s="199">
        <f t="shared" si="1"/>
        <v>1765256.29</v>
      </c>
      <c r="M35" s="199">
        <f t="shared" si="3"/>
        <v>10434743.710000001</v>
      </c>
      <c r="N35" s="199">
        <v>3800000</v>
      </c>
      <c r="O35" s="199">
        <f t="shared" si="4"/>
        <v>2000000</v>
      </c>
      <c r="P35" s="199">
        <f t="shared" si="5"/>
        <v>7434743.71</v>
      </c>
      <c r="Q35" s="199">
        <f>6800000-3800000</f>
        <v>3000000</v>
      </c>
      <c r="R35" s="199"/>
      <c r="S35" s="199">
        <f t="shared" si="6"/>
        <v>3000000</v>
      </c>
      <c r="T35" s="199">
        <f t="shared" si="7"/>
        <v>0</v>
      </c>
      <c r="U35" s="199">
        <f t="shared" si="8"/>
        <v>3800000</v>
      </c>
      <c r="V35" s="199">
        <f t="shared" si="9"/>
        <v>3345000</v>
      </c>
      <c r="W35" s="199"/>
      <c r="X35" s="199"/>
      <c r="Y35" s="199"/>
      <c r="Z35" s="199">
        <v>455000</v>
      </c>
      <c r="AA35" s="198" t="s">
        <v>1459</v>
      </c>
      <c r="AB35" s="198">
        <v>742000</v>
      </c>
      <c r="AE35" s="624"/>
      <c r="AF35" s="627"/>
    </row>
    <row r="36" spans="1:39" s="202" customFormat="1" ht="30" customHeight="1">
      <c r="A36" s="198">
        <f t="shared" si="10"/>
        <v>31</v>
      </c>
      <c r="B36" s="198">
        <v>1825</v>
      </c>
      <c r="C36" s="198" t="s">
        <v>596</v>
      </c>
      <c r="D36" s="199">
        <v>39000000</v>
      </c>
      <c r="E36" s="199">
        <v>39000000</v>
      </c>
      <c r="F36" s="199">
        <f t="shared" si="0"/>
        <v>0</v>
      </c>
      <c r="G36" s="199">
        <v>39000000</v>
      </c>
      <c r="H36" s="199">
        <v>36409869</v>
      </c>
      <c r="I36" s="199"/>
      <c r="J36" s="199">
        <v>2583458.11</v>
      </c>
      <c r="K36" s="199">
        <f t="shared" si="2"/>
        <v>2583458.11</v>
      </c>
      <c r="L36" s="199">
        <f t="shared" si="1"/>
        <v>38993327.109999999</v>
      </c>
      <c r="M36" s="199">
        <f t="shared" si="3"/>
        <v>6672.890000000596</v>
      </c>
      <c r="N36" s="199"/>
      <c r="O36" s="199">
        <f t="shared" si="4"/>
        <v>0</v>
      </c>
      <c r="P36" s="199">
        <f t="shared" si="5"/>
        <v>6672.890000000596</v>
      </c>
      <c r="Q36" s="199"/>
      <c r="R36" s="199"/>
      <c r="S36" s="199">
        <f t="shared" si="6"/>
        <v>0</v>
      </c>
      <c r="T36" s="199">
        <f t="shared" si="7"/>
        <v>0</v>
      </c>
      <c r="U36" s="199">
        <f t="shared" si="8"/>
        <v>0</v>
      </c>
      <c r="V36" s="199">
        <f t="shared" si="9"/>
        <v>0</v>
      </c>
      <c r="W36" s="199"/>
      <c r="X36" s="199"/>
      <c r="Y36" s="199"/>
      <c r="Z36" s="198"/>
      <c r="AA36" s="347" t="s">
        <v>1295</v>
      </c>
      <c r="AB36" s="198">
        <v>810000</v>
      </c>
      <c r="AC36" s="191"/>
      <c r="AD36" s="191"/>
      <c r="AE36" s="624"/>
      <c r="AF36" s="627"/>
      <c r="AG36" s="331"/>
      <c r="AH36" s="331"/>
    </row>
    <row r="37" spans="1:39" ht="30" customHeight="1">
      <c r="A37" s="198">
        <f t="shared" si="10"/>
        <v>32</v>
      </c>
      <c r="B37" s="340">
        <v>1833</v>
      </c>
      <c r="C37" s="198" t="s">
        <v>156</v>
      </c>
      <c r="D37" s="199">
        <v>29000000</v>
      </c>
      <c r="E37" s="199">
        <v>29000000</v>
      </c>
      <c r="F37" s="199">
        <f t="shared" si="0"/>
        <v>0</v>
      </c>
      <c r="G37" s="199">
        <v>1150000</v>
      </c>
      <c r="H37" s="199">
        <v>932146</v>
      </c>
      <c r="I37" s="199"/>
      <c r="J37" s="199">
        <v>64341.11</v>
      </c>
      <c r="K37" s="199">
        <f t="shared" si="2"/>
        <v>64341.11</v>
      </c>
      <c r="L37" s="199">
        <f t="shared" si="1"/>
        <v>996487.11</v>
      </c>
      <c r="M37" s="199">
        <f t="shared" si="3"/>
        <v>14003512.890000001</v>
      </c>
      <c r="N37" s="199">
        <f>14000000-7000000</f>
        <v>7000000</v>
      </c>
      <c r="O37" s="199">
        <f t="shared" si="4"/>
        <v>7000000</v>
      </c>
      <c r="P37" s="199">
        <f t="shared" si="5"/>
        <v>153512.89000000001</v>
      </c>
      <c r="Q37" s="199">
        <v>13850000</v>
      </c>
      <c r="R37" s="199"/>
      <c r="S37" s="199">
        <f t="shared" si="6"/>
        <v>13850000</v>
      </c>
      <c r="T37" s="199">
        <f t="shared" si="7"/>
        <v>0</v>
      </c>
      <c r="U37" s="199">
        <f t="shared" si="8"/>
        <v>7000000</v>
      </c>
      <c r="V37" s="199">
        <f t="shared" si="9"/>
        <v>3768840</v>
      </c>
      <c r="W37" s="199"/>
      <c r="X37" s="199"/>
      <c r="Y37" s="199"/>
      <c r="Z37" s="199">
        <v>3231160</v>
      </c>
      <c r="AA37" s="198" t="s">
        <v>1238</v>
      </c>
      <c r="AB37" s="198">
        <v>829000</v>
      </c>
      <c r="AE37" s="624"/>
      <c r="AF37" s="627"/>
    </row>
    <row r="38" spans="1:39" s="202" customFormat="1" ht="30" customHeight="1">
      <c r="A38" s="198">
        <f t="shared" si="10"/>
        <v>33</v>
      </c>
      <c r="B38" s="198">
        <v>1834</v>
      </c>
      <c r="C38" s="198" t="s">
        <v>146</v>
      </c>
      <c r="D38" s="199">
        <v>60000000</v>
      </c>
      <c r="E38" s="199">
        <v>60000000</v>
      </c>
      <c r="F38" s="199">
        <f t="shared" si="0"/>
        <v>0</v>
      </c>
      <c r="G38" s="199">
        <v>5100000</v>
      </c>
      <c r="H38" s="199">
        <v>1930349</v>
      </c>
      <c r="I38" s="199"/>
      <c r="J38" s="199">
        <v>164386.35</v>
      </c>
      <c r="K38" s="199">
        <f t="shared" si="2"/>
        <v>164386.35</v>
      </c>
      <c r="L38" s="199">
        <f t="shared" si="1"/>
        <v>2094735.35</v>
      </c>
      <c r="M38" s="199">
        <f>P38+S38-18000000</f>
        <v>13505264.649999999</v>
      </c>
      <c r="N38" s="199">
        <f>18000000-2000000</f>
        <v>16000000</v>
      </c>
      <c r="O38" s="199">
        <f t="shared" si="4"/>
        <v>28400000</v>
      </c>
      <c r="P38" s="199">
        <f t="shared" si="5"/>
        <v>3005264.65</v>
      </c>
      <c r="Q38" s="199">
        <v>28500000</v>
      </c>
      <c r="R38" s="199">
        <f>-3000000+3000000</f>
        <v>0</v>
      </c>
      <c r="S38" s="199">
        <f t="shared" si="6"/>
        <v>28500000</v>
      </c>
      <c r="T38" s="199">
        <f t="shared" si="7"/>
        <v>18000000</v>
      </c>
      <c r="U38" s="199">
        <f t="shared" si="8"/>
        <v>-2000000</v>
      </c>
      <c r="V38" s="199">
        <f t="shared" si="9"/>
        <v>-2000000</v>
      </c>
      <c r="W38" s="199"/>
      <c r="X38" s="199"/>
      <c r="Y38" s="199"/>
      <c r="Z38" s="198"/>
      <c r="AA38" s="198" t="s">
        <v>1296</v>
      </c>
      <c r="AB38" s="198">
        <v>824000</v>
      </c>
      <c r="AC38" s="191"/>
      <c r="AD38" s="191"/>
      <c r="AE38" s="624"/>
      <c r="AF38" s="627"/>
      <c r="AG38" s="331"/>
      <c r="AH38" s="331"/>
    </row>
    <row r="39" spans="1:39" s="202" customFormat="1" ht="30" customHeight="1">
      <c r="A39" s="198">
        <f t="shared" si="10"/>
        <v>34</v>
      </c>
      <c r="B39" s="198">
        <v>1835</v>
      </c>
      <c r="C39" s="198" t="s">
        <v>760</v>
      </c>
      <c r="D39" s="199">
        <f>58000000+12000000</f>
        <v>70000000</v>
      </c>
      <c r="E39" s="199">
        <v>58000000</v>
      </c>
      <c r="F39" s="199">
        <f t="shared" si="0"/>
        <v>12000000</v>
      </c>
      <c r="G39" s="199">
        <v>11900000</v>
      </c>
      <c r="H39" s="199">
        <v>8964400</v>
      </c>
      <c r="I39" s="199"/>
      <c r="J39" s="199">
        <v>2333325.81</v>
      </c>
      <c r="K39" s="199">
        <f t="shared" si="2"/>
        <v>2333325.81</v>
      </c>
      <c r="L39" s="199">
        <f t="shared" si="1"/>
        <v>11297725.810000001</v>
      </c>
      <c r="M39" s="199">
        <f t="shared" si="3"/>
        <v>602274.18999999948</v>
      </c>
      <c r="N39" s="199">
        <f>30000000-10000000-2000000</f>
        <v>18000000</v>
      </c>
      <c r="O39" s="199">
        <f t="shared" si="4"/>
        <v>40100000</v>
      </c>
      <c r="P39" s="199">
        <f t="shared" si="5"/>
        <v>602274.18999999948</v>
      </c>
      <c r="Q39" s="199"/>
      <c r="R39" s="199"/>
      <c r="S39" s="199">
        <f t="shared" si="6"/>
        <v>0</v>
      </c>
      <c r="T39" s="199">
        <f t="shared" si="7"/>
        <v>0</v>
      </c>
      <c r="U39" s="199">
        <f t="shared" si="8"/>
        <v>18000000</v>
      </c>
      <c r="V39" s="199">
        <f t="shared" si="9"/>
        <v>18000000</v>
      </c>
      <c r="W39" s="199"/>
      <c r="X39" s="199"/>
      <c r="Y39" s="199"/>
      <c r="Z39" s="198"/>
      <c r="AA39" s="397" t="s">
        <v>1313</v>
      </c>
      <c r="AB39" s="198">
        <v>824000</v>
      </c>
      <c r="AC39" s="191"/>
      <c r="AD39" s="191"/>
      <c r="AE39" s="624"/>
      <c r="AF39" s="627"/>
      <c r="AG39" s="331"/>
      <c r="AH39" s="331"/>
    </row>
    <row r="40" spans="1:39" s="202" customFormat="1" ht="30" customHeight="1">
      <c r="A40" s="198">
        <f t="shared" si="10"/>
        <v>35</v>
      </c>
      <c r="B40" s="198">
        <v>1836</v>
      </c>
      <c r="C40" s="198" t="s">
        <v>147</v>
      </c>
      <c r="D40" s="199">
        <v>500000</v>
      </c>
      <c r="E40" s="199">
        <v>500000</v>
      </c>
      <c r="F40" s="199">
        <f t="shared" si="0"/>
        <v>0</v>
      </c>
      <c r="G40" s="199">
        <v>500000</v>
      </c>
      <c r="H40" s="199">
        <v>425414</v>
      </c>
      <c r="I40" s="199"/>
      <c r="J40" s="199"/>
      <c r="K40" s="199">
        <f t="shared" si="2"/>
        <v>0</v>
      </c>
      <c r="L40" s="199">
        <f t="shared" si="1"/>
        <v>425414</v>
      </c>
      <c r="M40" s="199">
        <f t="shared" si="3"/>
        <v>74586</v>
      </c>
      <c r="N40" s="199"/>
      <c r="O40" s="199">
        <f t="shared" si="4"/>
        <v>0</v>
      </c>
      <c r="P40" s="199">
        <f t="shared" si="5"/>
        <v>74586</v>
      </c>
      <c r="Q40" s="199"/>
      <c r="R40" s="199"/>
      <c r="S40" s="199">
        <f t="shared" si="6"/>
        <v>0</v>
      </c>
      <c r="T40" s="199">
        <f t="shared" si="7"/>
        <v>0</v>
      </c>
      <c r="U40" s="199">
        <f t="shared" si="8"/>
        <v>0</v>
      </c>
      <c r="V40" s="199">
        <f t="shared" si="9"/>
        <v>0</v>
      </c>
      <c r="W40" s="199"/>
      <c r="X40" s="199"/>
      <c r="Y40" s="199"/>
      <c r="Z40" s="198"/>
      <c r="AA40" s="347" t="s">
        <v>1127</v>
      </c>
      <c r="AB40" s="198">
        <v>930000</v>
      </c>
      <c r="AC40" s="191"/>
      <c r="AD40" s="191"/>
      <c r="AE40" s="624"/>
      <c r="AF40" s="627"/>
      <c r="AG40" s="331"/>
      <c r="AH40" s="331"/>
    </row>
    <row r="41" spans="1:39" ht="30" customHeight="1">
      <c r="A41" s="198">
        <f t="shared" si="10"/>
        <v>36</v>
      </c>
      <c r="B41" s="340">
        <v>1837</v>
      </c>
      <c r="C41" s="198" t="s">
        <v>157</v>
      </c>
      <c r="D41" s="199">
        <f>3200000+260000</f>
        <v>3460000</v>
      </c>
      <c r="E41" s="199">
        <f>3200000+260000</f>
        <v>3460000</v>
      </c>
      <c r="F41" s="199">
        <f t="shared" si="0"/>
        <v>0</v>
      </c>
      <c r="G41" s="199">
        <v>3460000</v>
      </c>
      <c r="H41" s="199">
        <v>3083128</v>
      </c>
      <c r="I41" s="199"/>
      <c r="J41" s="199">
        <v>115008.16</v>
      </c>
      <c r="K41" s="199">
        <f t="shared" si="2"/>
        <v>115008.16</v>
      </c>
      <c r="L41" s="199">
        <f t="shared" si="1"/>
        <v>3198136.16</v>
      </c>
      <c r="M41" s="199">
        <f t="shared" si="3"/>
        <v>261863.83999999985</v>
      </c>
      <c r="N41" s="199"/>
      <c r="O41" s="199">
        <f t="shared" si="4"/>
        <v>0</v>
      </c>
      <c r="P41" s="199">
        <f t="shared" si="5"/>
        <v>261863.83999999985</v>
      </c>
      <c r="Q41" s="199"/>
      <c r="R41" s="199"/>
      <c r="S41" s="199">
        <f t="shared" si="6"/>
        <v>0</v>
      </c>
      <c r="T41" s="199">
        <f t="shared" si="7"/>
        <v>0</v>
      </c>
      <c r="U41" s="199">
        <f t="shared" si="8"/>
        <v>0</v>
      </c>
      <c r="V41" s="199">
        <f t="shared" si="9"/>
        <v>0</v>
      </c>
      <c r="W41" s="199"/>
      <c r="X41" s="199"/>
      <c r="Y41" s="199"/>
      <c r="Z41" s="198"/>
      <c r="AA41" s="198" t="s">
        <v>1132</v>
      </c>
      <c r="AB41" s="198">
        <v>850000</v>
      </c>
      <c r="AE41" s="624"/>
      <c r="AF41" s="627"/>
    </row>
    <row r="42" spans="1:39" ht="30" customHeight="1">
      <c r="A42" s="198">
        <f t="shared" si="10"/>
        <v>37</v>
      </c>
      <c r="B42" s="340">
        <v>1845</v>
      </c>
      <c r="C42" s="198" t="s">
        <v>158</v>
      </c>
      <c r="D42" s="199">
        <f>1500000+4500000</f>
        <v>6000000</v>
      </c>
      <c r="E42" s="199">
        <v>1500000</v>
      </c>
      <c r="F42" s="199">
        <f t="shared" si="0"/>
        <v>4500000</v>
      </c>
      <c r="G42" s="199">
        <v>750000</v>
      </c>
      <c r="H42" s="199">
        <v>556996</v>
      </c>
      <c r="I42" s="199"/>
      <c r="J42" s="199">
        <v>31930.3</v>
      </c>
      <c r="K42" s="199">
        <f t="shared" si="2"/>
        <v>31930.3</v>
      </c>
      <c r="L42" s="199">
        <f t="shared" si="1"/>
        <v>588926.30000000005</v>
      </c>
      <c r="M42" s="199">
        <f t="shared" si="3"/>
        <v>911073.7</v>
      </c>
      <c r="N42" s="199">
        <f>4500000-2000000</f>
        <v>2500000</v>
      </c>
      <c r="O42" s="199">
        <f t="shared" si="4"/>
        <v>2000000</v>
      </c>
      <c r="P42" s="199">
        <f t="shared" si="5"/>
        <v>161073.69999999995</v>
      </c>
      <c r="Q42" s="199">
        <v>750000</v>
      </c>
      <c r="R42" s="199"/>
      <c r="S42" s="199">
        <f t="shared" si="6"/>
        <v>750000</v>
      </c>
      <c r="T42" s="199">
        <f t="shared" si="7"/>
        <v>0</v>
      </c>
      <c r="U42" s="199">
        <f t="shared" si="8"/>
        <v>2500000</v>
      </c>
      <c r="V42" s="199">
        <f t="shared" si="9"/>
        <v>2500000</v>
      </c>
      <c r="W42" s="199"/>
      <c r="X42" s="199"/>
      <c r="Y42" s="199"/>
      <c r="Z42" s="198"/>
      <c r="AA42" s="198" t="s">
        <v>1133</v>
      </c>
      <c r="AB42" s="198">
        <v>742000</v>
      </c>
      <c r="AE42" s="624"/>
      <c r="AF42" s="627"/>
    </row>
    <row r="43" spans="1:39" ht="30" customHeight="1">
      <c r="A43" s="198">
        <f t="shared" si="10"/>
        <v>38</v>
      </c>
      <c r="B43" s="340">
        <v>1846</v>
      </c>
      <c r="C43" s="198" t="s">
        <v>159</v>
      </c>
      <c r="D43" s="199">
        <v>500000</v>
      </c>
      <c r="E43" s="199">
        <v>500000</v>
      </c>
      <c r="F43" s="199">
        <f t="shared" si="0"/>
        <v>0</v>
      </c>
      <c r="G43" s="199">
        <v>500000</v>
      </c>
      <c r="H43" s="199">
        <v>328739</v>
      </c>
      <c r="I43" s="199"/>
      <c r="J43" s="199"/>
      <c r="K43" s="199">
        <f t="shared" si="2"/>
        <v>0</v>
      </c>
      <c r="L43" s="199">
        <f t="shared" si="1"/>
        <v>328739</v>
      </c>
      <c r="M43" s="199">
        <f t="shared" si="3"/>
        <v>171261</v>
      </c>
      <c r="N43" s="199"/>
      <c r="O43" s="199">
        <f t="shared" si="4"/>
        <v>0</v>
      </c>
      <c r="P43" s="199">
        <f t="shared" si="5"/>
        <v>171261</v>
      </c>
      <c r="Q43" s="199"/>
      <c r="R43" s="199"/>
      <c r="S43" s="199">
        <f t="shared" si="6"/>
        <v>0</v>
      </c>
      <c r="T43" s="199">
        <f t="shared" si="7"/>
        <v>0</v>
      </c>
      <c r="U43" s="199">
        <f t="shared" si="8"/>
        <v>0</v>
      </c>
      <c r="V43" s="199">
        <f t="shared" si="9"/>
        <v>0</v>
      </c>
      <c r="W43" s="199"/>
      <c r="X43" s="199"/>
      <c r="Y43" s="199"/>
      <c r="Z43" s="198"/>
      <c r="AA43" s="198"/>
      <c r="AB43" s="198">
        <v>732000</v>
      </c>
      <c r="AE43" s="624"/>
      <c r="AF43" s="627"/>
    </row>
    <row r="44" spans="1:39" s="5" customFormat="1" ht="30" customHeight="1">
      <c r="A44" s="198">
        <f t="shared" si="10"/>
        <v>39</v>
      </c>
      <c r="B44" s="3">
        <v>1872</v>
      </c>
      <c r="C44" s="3" t="s">
        <v>761</v>
      </c>
      <c r="D44" s="4">
        <v>1160000</v>
      </c>
      <c r="E44" s="4">
        <v>1160000</v>
      </c>
      <c r="F44" s="4">
        <f t="shared" si="0"/>
        <v>0</v>
      </c>
      <c r="G44" s="4">
        <v>1160000</v>
      </c>
      <c r="H44" s="4">
        <v>480996</v>
      </c>
      <c r="I44" s="4"/>
      <c r="J44" s="4">
        <v>678998.24</v>
      </c>
      <c r="K44" s="199">
        <f t="shared" si="2"/>
        <v>678998.24</v>
      </c>
      <c r="L44" s="199">
        <f t="shared" si="1"/>
        <v>1159994.24</v>
      </c>
      <c r="M44" s="199">
        <f t="shared" si="3"/>
        <v>5.7600000000093132</v>
      </c>
      <c r="N44" s="4"/>
      <c r="O44" s="4">
        <f t="shared" si="4"/>
        <v>0</v>
      </c>
      <c r="P44" s="199">
        <f t="shared" si="5"/>
        <v>5.7600000000093132</v>
      </c>
      <c r="Q44" s="4"/>
      <c r="R44" s="4"/>
      <c r="S44" s="4">
        <f t="shared" si="6"/>
        <v>0</v>
      </c>
      <c r="T44" s="4">
        <f t="shared" si="7"/>
        <v>0</v>
      </c>
      <c r="U44" s="4">
        <f t="shared" si="8"/>
        <v>0</v>
      </c>
      <c r="V44" s="4">
        <f>U44-Z44-W44-Y44</f>
        <v>0</v>
      </c>
      <c r="W44" s="4"/>
      <c r="X44" s="4"/>
      <c r="Y44" s="4"/>
      <c r="Z44" s="3"/>
      <c r="AA44" s="3" t="s">
        <v>1460</v>
      </c>
      <c r="AB44" s="3">
        <v>742000</v>
      </c>
      <c r="AC44" s="191"/>
      <c r="AD44" s="191"/>
      <c r="AE44" s="624"/>
      <c r="AF44" s="627"/>
    </row>
    <row r="45" spans="1:39" ht="30" customHeight="1">
      <c r="A45" s="198">
        <f t="shared" si="10"/>
        <v>40</v>
      </c>
      <c r="B45" s="340">
        <v>1894</v>
      </c>
      <c r="C45" s="198" t="s">
        <v>359</v>
      </c>
      <c r="D45" s="199">
        <v>7100000</v>
      </c>
      <c r="E45" s="199">
        <v>7100000</v>
      </c>
      <c r="F45" s="199">
        <f t="shared" si="0"/>
        <v>0</v>
      </c>
      <c r="G45" s="199">
        <v>7100000</v>
      </c>
      <c r="H45" s="199">
        <v>6269033</v>
      </c>
      <c r="I45" s="199"/>
      <c r="J45" s="199">
        <v>823004.96</v>
      </c>
      <c r="K45" s="199">
        <f t="shared" si="2"/>
        <v>823004.96</v>
      </c>
      <c r="L45" s="199">
        <f t="shared" si="1"/>
        <v>7092037.96</v>
      </c>
      <c r="M45" s="199">
        <f t="shared" si="3"/>
        <v>7962.0400000000373</v>
      </c>
      <c r="N45" s="199"/>
      <c r="O45" s="199">
        <f t="shared" si="4"/>
        <v>0</v>
      </c>
      <c r="P45" s="199">
        <f t="shared" si="5"/>
        <v>7962.0400000000373</v>
      </c>
      <c r="Q45" s="199"/>
      <c r="R45" s="199"/>
      <c r="S45" s="199">
        <f t="shared" si="6"/>
        <v>0</v>
      </c>
      <c r="T45" s="199">
        <f t="shared" si="7"/>
        <v>0</v>
      </c>
      <c r="U45" s="199">
        <f t="shared" si="8"/>
        <v>0</v>
      </c>
      <c r="V45" s="199">
        <f t="shared" si="9"/>
        <v>0</v>
      </c>
      <c r="W45" s="199"/>
      <c r="X45" s="199"/>
      <c r="Y45" s="199"/>
      <c r="Z45" s="198"/>
      <c r="AA45" s="198" t="s">
        <v>1489</v>
      </c>
      <c r="AB45" s="198">
        <v>810000</v>
      </c>
      <c r="AE45" s="624"/>
      <c r="AF45" s="627"/>
    </row>
    <row r="46" spans="1:39" ht="30" customHeight="1">
      <c r="A46" s="198">
        <f t="shared" si="10"/>
        <v>41</v>
      </c>
      <c r="B46" s="340">
        <v>1896</v>
      </c>
      <c r="C46" s="198" t="s">
        <v>762</v>
      </c>
      <c r="D46" s="199">
        <v>18560000</v>
      </c>
      <c r="E46" s="199">
        <v>18560000</v>
      </c>
      <c r="F46" s="199">
        <f t="shared" si="0"/>
        <v>0</v>
      </c>
      <c r="G46" s="199">
        <v>4000000</v>
      </c>
      <c r="H46" s="199">
        <v>881105</v>
      </c>
      <c r="I46" s="199"/>
      <c r="J46" s="199">
        <v>754536.83</v>
      </c>
      <c r="K46" s="199">
        <f t="shared" si="2"/>
        <v>754536.83</v>
      </c>
      <c r="L46" s="199">
        <f t="shared" si="1"/>
        <v>1635641.83</v>
      </c>
      <c r="M46" s="199">
        <f t="shared" si="3"/>
        <v>9964358.1699999999</v>
      </c>
      <c r="N46" s="199">
        <v>3500000</v>
      </c>
      <c r="O46" s="199">
        <f t="shared" si="4"/>
        <v>3460000.0000000019</v>
      </c>
      <c r="P46" s="199">
        <f t="shared" si="5"/>
        <v>2364358.17</v>
      </c>
      <c r="Q46" s="199">
        <v>7600000</v>
      </c>
      <c r="R46" s="199"/>
      <c r="S46" s="199">
        <f t="shared" si="6"/>
        <v>7600000</v>
      </c>
      <c r="T46" s="199">
        <f t="shared" si="7"/>
        <v>0</v>
      </c>
      <c r="U46" s="199">
        <f t="shared" si="8"/>
        <v>3500000</v>
      </c>
      <c r="V46" s="199">
        <f t="shared" si="9"/>
        <v>3500000</v>
      </c>
      <c r="W46" s="199"/>
      <c r="X46" s="199"/>
      <c r="Y46" s="199"/>
      <c r="Z46" s="198"/>
      <c r="AA46" s="198" t="s">
        <v>1314</v>
      </c>
      <c r="AB46" s="198">
        <v>829000</v>
      </c>
      <c r="AE46" s="624"/>
      <c r="AF46" s="627"/>
    </row>
    <row r="47" spans="1:39" ht="30" customHeight="1">
      <c r="A47" s="198">
        <f t="shared" si="10"/>
        <v>42</v>
      </c>
      <c r="B47" s="340">
        <v>1903</v>
      </c>
      <c r="C47" s="198" t="s">
        <v>160</v>
      </c>
      <c r="D47" s="199">
        <v>1700000</v>
      </c>
      <c r="E47" s="199">
        <v>1700000</v>
      </c>
      <c r="F47" s="199">
        <f t="shared" si="0"/>
        <v>0</v>
      </c>
      <c r="G47" s="199">
        <v>1700000</v>
      </c>
      <c r="H47" s="199">
        <v>1626667</v>
      </c>
      <c r="I47" s="199"/>
      <c r="J47" s="199">
        <v>64998.18</v>
      </c>
      <c r="K47" s="199">
        <f t="shared" si="2"/>
        <v>64998.18</v>
      </c>
      <c r="L47" s="199">
        <f t="shared" si="1"/>
        <v>1691665.18</v>
      </c>
      <c r="M47" s="199">
        <f t="shared" si="3"/>
        <v>8334.8200000000652</v>
      </c>
      <c r="N47" s="199"/>
      <c r="O47" s="199">
        <f t="shared" si="4"/>
        <v>0</v>
      </c>
      <c r="P47" s="199">
        <f t="shared" si="5"/>
        <v>8334.8200000000652</v>
      </c>
      <c r="Q47" s="199"/>
      <c r="R47" s="199"/>
      <c r="S47" s="199">
        <f t="shared" si="6"/>
        <v>0</v>
      </c>
      <c r="T47" s="199">
        <f t="shared" si="7"/>
        <v>0</v>
      </c>
      <c r="U47" s="199">
        <f t="shared" si="8"/>
        <v>0</v>
      </c>
      <c r="V47" s="199">
        <f t="shared" si="9"/>
        <v>0</v>
      </c>
      <c r="W47" s="199"/>
      <c r="X47" s="199"/>
      <c r="Y47" s="199"/>
      <c r="Z47" s="198"/>
      <c r="AA47" s="198" t="s">
        <v>1489</v>
      </c>
      <c r="AB47" s="198">
        <v>930000</v>
      </c>
      <c r="AE47" s="624"/>
      <c r="AF47" s="627"/>
    </row>
    <row r="48" spans="1:39" s="202" customFormat="1" ht="30" customHeight="1">
      <c r="A48" s="198">
        <f t="shared" si="10"/>
        <v>43</v>
      </c>
      <c r="B48" s="198">
        <v>1904</v>
      </c>
      <c r="C48" s="198" t="s">
        <v>150</v>
      </c>
      <c r="D48" s="199">
        <v>5700000</v>
      </c>
      <c r="E48" s="199">
        <v>5700000</v>
      </c>
      <c r="F48" s="199">
        <f t="shared" si="0"/>
        <v>0</v>
      </c>
      <c r="G48" s="199">
        <v>3000000</v>
      </c>
      <c r="H48" s="199">
        <v>753917</v>
      </c>
      <c r="I48" s="199"/>
      <c r="J48" s="199">
        <v>1804833.77</v>
      </c>
      <c r="K48" s="199">
        <f t="shared" si="2"/>
        <v>1804833.77</v>
      </c>
      <c r="L48" s="199">
        <f t="shared" si="1"/>
        <v>2558750.77</v>
      </c>
      <c r="M48" s="199">
        <f t="shared" si="3"/>
        <v>3141249.23</v>
      </c>
      <c r="N48" s="199"/>
      <c r="O48" s="199">
        <f t="shared" si="4"/>
        <v>0</v>
      </c>
      <c r="P48" s="199">
        <f t="shared" si="5"/>
        <v>441249.23</v>
      </c>
      <c r="Q48" s="199">
        <f>3700000-1000000</f>
        <v>2700000</v>
      </c>
      <c r="R48" s="199"/>
      <c r="S48" s="199">
        <f t="shared" si="6"/>
        <v>2700000</v>
      </c>
      <c r="T48" s="199">
        <f t="shared" si="7"/>
        <v>0</v>
      </c>
      <c r="U48" s="199">
        <f t="shared" si="8"/>
        <v>0</v>
      </c>
      <c r="V48" s="199">
        <f t="shared" si="9"/>
        <v>0</v>
      </c>
      <c r="W48" s="199"/>
      <c r="X48" s="199"/>
      <c r="Y48" s="199"/>
      <c r="Z48" s="199"/>
      <c r="AA48" s="198" t="s">
        <v>1134</v>
      </c>
      <c r="AB48" s="198">
        <v>742000</v>
      </c>
      <c r="AC48" s="191"/>
      <c r="AD48" s="191"/>
      <c r="AE48" s="624"/>
      <c r="AF48" s="627"/>
      <c r="AG48" s="331"/>
      <c r="AH48" s="331"/>
    </row>
    <row r="49" spans="1:39" ht="30" customHeight="1">
      <c r="A49" s="198">
        <f t="shared" si="10"/>
        <v>44</v>
      </c>
      <c r="B49" s="340">
        <v>1921</v>
      </c>
      <c r="C49" s="198" t="s">
        <v>162</v>
      </c>
      <c r="D49" s="199">
        <f>9276000+300000+140000</f>
        <v>9716000</v>
      </c>
      <c r="E49" s="199">
        <v>9276000</v>
      </c>
      <c r="F49" s="199">
        <f t="shared" si="0"/>
        <v>440000</v>
      </c>
      <c r="G49" s="199">
        <v>6820000</v>
      </c>
      <c r="H49" s="199">
        <v>3737579.47</v>
      </c>
      <c r="I49" s="199"/>
      <c r="J49" s="199">
        <v>294083.34999999998</v>
      </c>
      <c r="K49" s="199">
        <f t="shared" si="2"/>
        <v>294083.34999999998</v>
      </c>
      <c r="L49" s="199">
        <f t="shared" si="1"/>
        <v>4031662.8200000003</v>
      </c>
      <c r="M49" s="199">
        <f t="shared" si="3"/>
        <v>5244337.18</v>
      </c>
      <c r="N49" s="199">
        <f>300000+140000</f>
        <v>440000</v>
      </c>
      <c r="O49" s="199">
        <f t="shared" si="4"/>
        <v>0</v>
      </c>
      <c r="P49" s="199">
        <f t="shared" si="5"/>
        <v>2788337.1799999997</v>
      </c>
      <c r="Q49" s="199">
        <v>2456000</v>
      </c>
      <c r="R49" s="199"/>
      <c r="S49" s="199">
        <f t="shared" si="6"/>
        <v>2456000</v>
      </c>
      <c r="T49" s="199">
        <f t="shared" si="7"/>
        <v>0</v>
      </c>
      <c r="U49" s="199">
        <f t="shared" si="8"/>
        <v>440000</v>
      </c>
      <c r="V49" s="199">
        <f t="shared" si="9"/>
        <v>1007551</v>
      </c>
      <c r="W49" s="199"/>
      <c r="X49" s="199"/>
      <c r="Y49" s="199"/>
      <c r="Z49" s="199">
        <v>-567551</v>
      </c>
      <c r="AA49" s="198" t="s">
        <v>1315</v>
      </c>
      <c r="AB49" s="198">
        <v>829000</v>
      </c>
      <c r="AE49" s="624"/>
      <c r="AF49" s="627"/>
    </row>
    <row r="50" spans="1:39" ht="30" customHeight="1">
      <c r="A50" s="198">
        <f t="shared" si="10"/>
        <v>45</v>
      </c>
      <c r="B50" s="340">
        <v>1936</v>
      </c>
      <c r="C50" s="198" t="s">
        <v>217</v>
      </c>
      <c r="D50" s="199">
        <v>6082795</v>
      </c>
      <c r="E50" s="199">
        <v>6082795</v>
      </c>
      <c r="F50" s="199">
        <f t="shared" si="0"/>
        <v>0</v>
      </c>
      <c r="G50" s="199">
        <v>700000</v>
      </c>
      <c r="H50" s="199">
        <v>313933</v>
      </c>
      <c r="I50" s="199"/>
      <c r="J50" s="199"/>
      <c r="K50" s="199">
        <f t="shared" si="2"/>
        <v>0</v>
      </c>
      <c r="L50" s="199">
        <f t="shared" si="1"/>
        <v>313933</v>
      </c>
      <c r="M50" s="199">
        <f t="shared" si="3"/>
        <v>386067</v>
      </c>
      <c r="N50" s="199"/>
      <c r="O50" s="199">
        <f t="shared" si="4"/>
        <v>5382795</v>
      </c>
      <c r="P50" s="199">
        <f t="shared" si="5"/>
        <v>386067</v>
      </c>
      <c r="Q50" s="199"/>
      <c r="R50" s="199"/>
      <c r="S50" s="199">
        <f t="shared" si="6"/>
        <v>0</v>
      </c>
      <c r="T50" s="199">
        <f t="shared" si="7"/>
        <v>0</v>
      </c>
      <c r="U50" s="199">
        <f t="shared" si="8"/>
        <v>0</v>
      </c>
      <c r="V50" s="199">
        <f t="shared" si="9"/>
        <v>0</v>
      </c>
      <c r="W50" s="199"/>
      <c r="X50" s="199"/>
      <c r="Y50" s="199"/>
      <c r="Z50" s="198"/>
      <c r="AA50" s="341" t="s">
        <v>597</v>
      </c>
      <c r="AB50" s="198">
        <v>732000</v>
      </c>
      <c r="AE50" s="624"/>
      <c r="AF50" s="627"/>
      <c r="AK50" s="205"/>
    </row>
    <row r="51" spans="1:39" ht="30" customHeight="1">
      <c r="A51" s="198">
        <f t="shared" si="10"/>
        <v>46</v>
      </c>
      <c r="B51" s="340">
        <v>1953</v>
      </c>
      <c r="C51" s="198" t="s">
        <v>763</v>
      </c>
      <c r="D51" s="199">
        <v>5300000</v>
      </c>
      <c r="E51" s="199">
        <v>5300000</v>
      </c>
      <c r="F51" s="199">
        <f t="shared" si="0"/>
        <v>0</v>
      </c>
      <c r="G51" s="199">
        <v>5300000</v>
      </c>
      <c r="H51" s="199">
        <v>2899791</v>
      </c>
      <c r="I51" s="199"/>
      <c r="J51" s="199">
        <v>468927.57</v>
      </c>
      <c r="K51" s="199">
        <f t="shared" si="2"/>
        <v>468927.57</v>
      </c>
      <c r="L51" s="199">
        <f t="shared" si="1"/>
        <v>3368718.57</v>
      </c>
      <c r="M51" s="199">
        <f t="shared" si="3"/>
        <v>1931281.4300000002</v>
      </c>
      <c r="N51" s="199"/>
      <c r="O51" s="199">
        <f t="shared" si="4"/>
        <v>0</v>
      </c>
      <c r="P51" s="199">
        <f t="shared" si="5"/>
        <v>1931281.4300000002</v>
      </c>
      <c r="Q51" s="199"/>
      <c r="R51" s="199"/>
      <c r="S51" s="199">
        <f t="shared" si="6"/>
        <v>0</v>
      </c>
      <c r="T51" s="199">
        <f t="shared" si="7"/>
        <v>0</v>
      </c>
      <c r="U51" s="199">
        <f t="shared" si="8"/>
        <v>0</v>
      </c>
      <c r="V51" s="199">
        <f t="shared" si="9"/>
        <v>0</v>
      </c>
      <c r="W51" s="199"/>
      <c r="X51" s="199"/>
      <c r="Y51" s="199"/>
      <c r="Z51" s="198"/>
      <c r="AA51" s="458" t="s">
        <v>856</v>
      </c>
      <c r="AB51" s="198">
        <v>742000</v>
      </c>
      <c r="AE51" s="624"/>
      <c r="AF51" s="627"/>
    </row>
    <row r="52" spans="1:39" s="202" customFormat="1" ht="30" customHeight="1">
      <c r="A52" s="198">
        <f t="shared" si="10"/>
        <v>47</v>
      </c>
      <c r="B52" s="198">
        <v>1954</v>
      </c>
      <c r="C52" s="198" t="s">
        <v>186</v>
      </c>
      <c r="D52" s="199">
        <v>2000000</v>
      </c>
      <c r="E52" s="199">
        <v>2000000</v>
      </c>
      <c r="F52" s="199">
        <f t="shared" si="0"/>
        <v>0</v>
      </c>
      <c r="G52" s="199">
        <v>2000000</v>
      </c>
      <c r="H52" s="199">
        <v>495628</v>
      </c>
      <c r="I52" s="199"/>
      <c r="J52" s="199">
        <v>1388926.78</v>
      </c>
      <c r="K52" s="199">
        <f t="shared" si="2"/>
        <v>1388926.78</v>
      </c>
      <c r="L52" s="199">
        <f t="shared" si="1"/>
        <v>1884554.78</v>
      </c>
      <c r="M52" s="199">
        <f t="shared" si="3"/>
        <v>115445.21999999997</v>
      </c>
      <c r="N52" s="199"/>
      <c r="O52" s="199">
        <f t="shared" si="4"/>
        <v>0</v>
      </c>
      <c r="P52" s="199">
        <f t="shared" si="5"/>
        <v>115445.21999999997</v>
      </c>
      <c r="Q52" s="199"/>
      <c r="R52" s="199"/>
      <c r="S52" s="199">
        <f t="shared" si="6"/>
        <v>0</v>
      </c>
      <c r="T52" s="199">
        <f t="shared" si="7"/>
        <v>0</v>
      </c>
      <c r="U52" s="199">
        <f t="shared" si="8"/>
        <v>0</v>
      </c>
      <c r="V52" s="199">
        <f t="shared" si="9"/>
        <v>0</v>
      </c>
      <c r="W52" s="199"/>
      <c r="X52" s="199"/>
      <c r="Y52" s="199"/>
      <c r="Z52" s="198"/>
      <c r="AA52" s="341" t="s">
        <v>1135</v>
      </c>
      <c r="AB52" s="198">
        <v>742000</v>
      </c>
      <c r="AC52" s="191"/>
      <c r="AD52" s="191"/>
      <c r="AE52" s="624"/>
      <c r="AF52" s="627"/>
      <c r="AG52" s="331"/>
      <c r="AH52" s="331"/>
    </row>
    <row r="53" spans="1:39" ht="30" customHeight="1">
      <c r="A53" s="198">
        <f t="shared" si="10"/>
        <v>48</v>
      </c>
      <c r="B53" s="340">
        <v>1955</v>
      </c>
      <c r="C53" s="198" t="s">
        <v>187</v>
      </c>
      <c r="D53" s="199">
        <v>250000</v>
      </c>
      <c r="E53" s="199">
        <v>250000</v>
      </c>
      <c r="F53" s="199">
        <f t="shared" si="0"/>
        <v>0</v>
      </c>
      <c r="G53" s="199">
        <v>250000</v>
      </c>
      <c r="H53" s="199">
        <v>9922</v>
      </c>
      <c r="I53" s="199"/>
      <c r="J53" s="199">
        <v>95495.4</v>
      </c>
      <c r="K53" s="199">
        <f t="shared" si="2"/>
        <v>95495.4</v>
      </c>
      <c r="L53" s="199">
        <f t="shared" si="1"/>
        <v>105417.4</v>
      </c>
      <c r="M53" s="199">
        <f t="shared" si="3"/>
        <v>144582.6</v>
      </c>
      <c r="N53" s="199"/>
      <c r="O53" s="199">
        <f t="shared" si="4"/>
        <v>0</v>
      </c>
      <c r="P53" s="199">
        <f t="shared" si="5"/>
        <v>144582.6</v>
      </c>
      <c r="Q53" s="199"/>
      <c r="R53" s="199"/>
      <c r="S53" s="199">
        <f t="shared" si="6"/>
        <v>0</v>
      </c>
      <c r="T53" s="199">
        <f t="shared" si="7"/>
        <v>0</v>
      </c>
      <c r="U53" s="199">
        <f t="shared" si="8"/>
        <v>0</v>
      </c>
      <c r="V53" s="199">
        <f t="shared" si="9"/>
        <v>0</v>
      </c>
      <c r="W53" s="199"/>
      <c r="X53" s="199"/>
      <c r="Y53" s="199"/>
      <c r="Z53" s="198"/>
      <c r="AA53" s="341" t="s">
        <v>1136</v>
      </c>
      <c r="AB53" s="198">
        <v>742000</v>
      </c>
      <c r="AE53" s="624"/>
      <c r="AF53" s="627"/>
    </row>
    <row r="54" spans="1:39" ht="30" customHeight="1">
      <c r="A54" s="198">
        <f t="shared" si="10"/>
        <v>49</v>
      </c>
      <c r="B54" s="340">
        <v>1957</v>
      </c>
      <c r="C54" s="198" t="s">
        <v>465</v>
      </c>
      <c r="D54" s="199">
        <v>60000000</v>
      </c>
      <c r="E54" s="199">
        <v>60000000</v>
      </c>
      <c r="F54" s="199">
        <f t="shared" si="0"/>
        <v>0</v>
      </c>
      <c r="G54" s="199">
        <v>16500000</v>
      </c>
      <c r="H54" s="199">
        <v>2599801</v>
      </c>
      <c r="I54" s="199"/>
      <c r="J54" s="199">
        <v>1784381.46</v>
      </c>
      <c r="K54" s="199">
        <f t="shared" si="2"/>
        <v>1784381.46</v>
      </c>
      <c r="L54" s="199">
        <f t="shared" si="1"/>
        <v>4384182.46</v>
      </c>
      <c r="M54" s="199">
        <f>P54+S54-16000000</f>
        <v>10615817.539999999</v>
      </c>
      <c r="N54" s="199">
        <f>16000000-2000000</f>
        <v>14000000</v>
      </c>
      <c r="O54" s="199">
        <f t="shared" si="4"/>
        <v>31000000</v>
      </c>
      <c r="P54" s="199">
        <f t="shared" si="5"/>
        <v>12115817.539999999</v>
      </c>
      <c r="Q54" s="199">
        <v>14500000</v>
      </c>
      <c r="R54" s="199"/>
      <c r="S54" s="199">
        <f t="shared" si="6"/>
        <v>14500000</v>
      </c>
      <c r="T54" s="199">
        <f t="shared" si="7"/>
        <v>16000000</v>
      </c>
      <c r="U54" s="199">
        <f t="shared" si="8"/>
        <v>-2000000</v>
      </c>
      <c r="V54" s="199">
        <f t="shared" si="9"/>
        <v>-2000000</v>
      </c>
      <c r="W54" s="199"/>
      <c r="X54" s="199"/>
      <c r="Y54" s="199"/>
      <c r="Z54" s="198"/>
      <c r="AA54" s="198" t="s">
        <v>1461</v>
      </c>
      <c r="AB54" s="198">
        <v>810000</v>
      </c>
      <c r="AE54" s="624"/>
      <c r="AF54" s="627"/>
    </row>
    <row r="55" spans="1:39" ht="30" customHeight="1">
      <c r="A55" s="198">
        <f t="shared" si="10"/>
        <v>50</v>
      </c>
      <c r="B55" s="340">
        <v>1972</v>
      </c>
      <c r="C55" s="198" t="s">
        <v>466</v>
      </c>
      <c r="D55" s="199">
        <v>4470000</v>
      </c>
      <c r="E55" s="199">
        <v>4470000</v>
      </c>
      <c r="F55" s="199">
        <f t="shared" si="0"/>
        <v>0</v>
      </c>
      <c r="G55" s="199">
        <v>2470000</v>
      </c>
      <c r="H55" s="199">
        <v>997007.92</v>
      </c>
      <c r="I55" s="199"/>
      <c r="J55" s="199">
        <v>1385901.47</v>
      </c>
      <c r="K55" s="199">
        <f t="shared" si="2"/>
        <v>1385901.47</v>
      </c>
      <c r="L55" s="199">
        <f t="shared" si="1"/>
        <v>2382909.39</v>
      </c>
      <c r="M55" s="199">
        <f t="shared" si="3"/>
        <v>2087090.6099999999</v>
      </c>
      <c r="N55" s="199"/>
      <c r="O55" s="199">
        <f t="shared" si="4"/>
        <v>0</v>
      </c>
      <c r="P55" s="199">
        <f t="shared" si="5"/>
        <v>87090.60999999987</v>
      </c>
      <c r="Q55" s="199">
        <v>2000000</v>
      </c>
      <c r="R55" s="199"/>
      <c r="S55" s="199">
        <f t="shared" si="6"/>
        <v>2000000</v>
      </c>
      <c r="T55" s="199">
        <f t="shared" si="7"/>
        <v>0</v>
      </c>
      <c r="U55" s="199">
        <f t="shared" si="8"/>
        <v>0</v>
      </c>
      <c r="V55" s="199">
        <f t="shared" si="9"/>
        <v>0</v>
      </c>
      <c r="W55" s="199"/>
      <c r="X55" s="199"/>
      <c r="Y55" s="199"/>
      <c r="Z55" s="198"/>
      <c r="AA55" s="198" t="s">
        <v>751</v>
      </c>
      <c r="AB55" s="198">
        <v>746000</v>
      </c>
      <c r="AE55" s="624"/>
      <c r="AF55" s="627"/>
      <c r="AK55" s="205"/>
    </row>
    <row r="56" spans="1:39" ht="30" customHeight="1">
      <c r="A56" s="198">
        <f t="shared" si="10"/>
        <v>51</v>
      </c>
      <c r="B56" s="340">
        <v>1991</v>
      </c>
      <c r="C56" s="198" t="s">
        <v>467</v>
      </c>
      <c r="D56" s="199">
        <v>2000000</v>
      </c>
      <c r="E56" s="199">
        <v>2000000</v>
      </c>
      <c r="F56" s="199">
        <f t="shared" si="0"/>
        <v>0</v>
      </c>
      <c r="G56" s="199">
        <v>100000</v>
      </c>
      <c r="H56" s="199">
        <v>86295</v>
      </c>
      <c r="I56" s="199"/>
      <c r="J56" s="199">
        <v>13703.04</v>
      </c>
      <c r="K56" s="199">
        <f t="shared" si="2"/>
        <v>13703.04</v>
      </c>
      <c r="L56" s="199">
        <f t="shared" si="1"/>
        <v>99998.040000000008</v>
      </c>
      <c r="M56" s="199">
        <f t="shared" si="3"/>
        <v>1.9599999999918509</v>
      </c>
      <c r="N56" s="199"/>
      <c r="O56" s="199">
        <f t="shared" si="4"/>
        <v>1900000</v>
      </c>
      <c r="P56" s="199">
        <f t="shared" si="5"/>
        <v>1.9599999999918509</v>
      </c>
      <c r="Q56" s="199"/>
      <c r="R56" s="199"/>
      <c r="S56" s="199">
        <f t="shared" si="6"/>
        <v>0</v>
      </c>
      <c r="T56" s="199">
        <f t="shared" si="7"/>
        <v>0</v>
      </c>
      <c r="U56" s="199">
        <f t="shared" si="8"/>
        <v>0</v>
      </c>
      <c r="V56" s="199">
        <f t="shared" si="9"/>
        <v>0</v>
      </c>
      <c r="W56" s="199"/>
      <c r="X56" s="199"/>
      <c r="Y56" s="199"/>
      <c r="Z56" s="198"/>
      <c r="AA56" s="339"/>
      <c r="AB56" s="198">
        <v>823000</v>
      </c>
      <c r="AE56" s="624"/>
      <c r="AF56" s="627"/>
      <c r="AK56" s="205"/>
    </row>
    <row r="57" spans="1:39" s="210" customFormat="1" ht="30" customHeight="1">
      <c r="A57" s="198">
        <f t="shared" si="10"/>
        <v>52</v>
      </c>
      <c r="B57" s="198">
        <v>1998</v>
      </c>
      <c r="C57" s="198" t="s">
        <v>351</v>
      </c>
      <c r="D57" s="199">
        <v>4630000</v>
      </c>
      <c r="E57" s="199">
        <v>4630000</v>
      </c>
      <c r="F57" s="199">
        <f>D57-E57</f>
        <v>0</v>
      </c>
      <c r="G57" s="199">
        <v>500000</v>
      </c>
      <c r="H57" s="199">
        <v>12799</v>
      </c>
      <c r="I57" s="199"/>
      <c r="J57" s="199">
        <v>137199.82</v>
      </c>
      <c r="K57" s="199">
        <f t="shared" si="2"/>
        <v>137199.82</v>
      </c>
      <c r="L57" s="199">
        <f t="shared" si="1"/>
        <v>149998.82</v>
      </c>
      <c r="M57" s="199">
        <f t="shared" si="3"/>
        <v>1850001.18</v>
      </c>
      <c r="N57" s="199">
        <v>2630000</v>
      </c>
      <c r="O57" s="199">
        <f>D57-L57-M57-N57</f>
        <v>0</v>
      </c>
      <c r="P57" s="199">
        <f t="shared" si="5"/>
        <v>350001.18</v>
      </c>
      <c r="Q57" s="199">
        <v>1500000</v>
      </c>
      <c r="R57" s="199"/>
      <c r="S57" s="199">
        <f t="shared" si="6"/>
        <v>1500000</v>
      </c>
      <c r="T57" s="199">
        <f>P57-M57+S57</f>
        <v>0</v>
      </c>
      <c r="U57" s="199">
        <f>N57-T57</f>
        <v>2630000</v>
      </c>
      <c r="V57" s="199">
        <f>U57-Y57-X57-Z57-W57</f>
        <v>2630000</v>
      </c>
      <c r="W57" s="199"/>
      <c r="X57" s="199"/>
      <c r="Y57" s="199"/>
      <c r="Z57" s="198"/>
      <c r="AA57" s="198" t="s">
        <v>1384</v>
      </c>
      <c r="AB57" s="343">
        <v>870000</v>
      </c>
      <c r="AC57" s="191"/>
      <c r="AD57" s="191"/>
      <c r="AE57" s="624"/>
      <c r="AF57" s="627"/>
      <c r="AG57" s="331"/>
      <c r="AH57" s="331"/>
      <c r="AI57" s="209"/>
      <c r="AJ57" s="209"/>
      <c r="AK57" s="209"/>
      <c r="AL57" s="209"/>
      <c r="AM57" s="209"/>
    </row>
    <row r="58" spans="1:39" s="210" customFormat="1" ht="30" customHeight="1">
      <c r="A58" s="198">
        <f t="shared" si="10"/>
        <v>53</v>
      </c>
      <c r="B58" s="198">
        <v>2002</v>
      </c>
      <c r="C58" s="198" t="s">
        <v>237</v>
      </c>
      <c r="D58" s="199">
        <v>1500000</v>
      </c>
      <c r="E58" s="199">
        <v>1500000</v>
      </c>
      <c r="F58" s="199">
        <f t="shared" si="0"/>
        <v>0</v>
      </c>
      <c r="G58" s="199">
        <v>865000</v>
      </c>
      <c r="H58" s="199">
        <v>131418</v>
      </c>
      <c r="I58" s="199"/>
      <c r="J58" s="199">
        <v>559648.74</v>
      </c>
      <c r="K58" s="199">
        <f t="shared" si="2"/>
        <v>559648.74</v>
      </c>
      <c r="L58" s="199">
        <f t="shared" si="1"/>
        <v>691066.74</v>
      </c>
      <c r="M58" s="199">
        <f t="shared" si="3"/>
        <v>808933.26</v>
      </c>
      <c r="N58" s="199"/>
      <c r="O58" s="199">
        <f t="shared" si="4"/>
        <v>0</v>
      </c>
      <c r="P58" s="199">
        <f t="shared" si="5"/>
        <v>173933.26</v>
      </c>
      <c r="Q58" s="199">
        <v>635000</v>
      </c>
      <c r="R58" s="199"/>
      <c r="S58" s="199">
        <f t="shared" si="6"/>
        <v>635000</v>
      </c>
      <c r="T58" s="199">
        <f t="shared" si="7"/>
        <v>0</v>
      </c>
      <c r="U58" s="199">
        <f t="shared" si="8"/>
        <v>0</v>
      </c>
      <c r="V58" s="199">
        <f t="shared" si="9"/>
        <v>0</v>
      </c>
      <c r="W58" s="199"/>
      <c r="X58" s="199"/>
      <c r="Y58" s="199"/>
      <c r="Z58" s="198"/>
      <c r="AA58" s="198" t="s">
        <v>1137</v>
      </c>
      <c r="AB58" s="343">
        <v>742000</v>
      </c>
      <c r="AC58" s="191"/>
      <c r="AD58" s="191"/>
      <c r="AE58" s="624"/>
      <c r="AF58" s="627"/>
      <c r="AG58" s="331"/>
      <c r="AH58" s="331"/>
      <c r="AI58" s="209"/>
      <c r="AJ58" s="209"/>
      <c r="AK58" s="209"/>
      <c r="AL58" s="209"/>
      <c r="AM58" s="209"/>
    </row>
    <row r="59" spans="1:39" s="210" customFormat="1" ht="30" customHeight="1">
      <c r="A59" s="198">
        <f t="shared" si="10"/>
        <v>54</v>
      </c>
      <c r="B59" s="198">
        <v>2008</v>
      </c>
      <c r="C59" s="198" t="s">
        <v>434</v>
      </c>
      <c r="D59" s="199">
        <v>2500000</v>
      </c>
      <c r="E59" s="199">
        <v>2500000</v>
      </c>
      <c r="F59" s="199">
        <f t="shared" si="0"/>
        <v>0</v>
      </c>
      <c r="G59" s="199">
        <v>0</v>
      </c>
      <c r="H59" s="199">
        <v>0</v>
      </c>
      <c r="I59" s="199"/>
      <c r="J59" s="199"/>
      <c r="K59" s="199">
        <f t="shared" si="2"/>
        <v>0</v>
      </c>
      <c r="L59" s="199">
        <f t="shared" si="1"/>
        <v>0</v>
      </c>
      <c r="M59" s="199">
        <f t="shared" si="3"/>
        <v>0</v>
      </c>
      <c r="N59" s="199">
        <f>2500000-2500000</f>
        <v>0</v>
      </c>
      <c r="O59" s="199">
        <f t="shared" si="4"/>
        <v>2500000</v>
      </c>
      <c r="P59" s="199">
        <f t="shared" si="5"/>
        <v>0</v>
      </c>
      <c r="Q59" s="199"/>
      <c r="R59" s="199"/>
      <c r="S59" s="199">
        <f>SUM(Q59:R59)</f>
        <v>0</v>
      </c>
      <c r="T59" s="199">
        <f t="shared" si="7"/>
        <v>0</v>
      </c>
      <c r="U59" s="199">
        <f t="shared" si="8"/>
        <v>0</v>
      </c>
      <c r="V59" s="199">
        <f t="shared" si="9"/>
        <v>0</v>
      </c>
      <c r="W59" s="199"/>
      <c r="X59" s="199"/>
      <c r="Y59" s="199"/>
      <c r="Z59" s="198"/>
      <c r="AA59" s="625"/>
      <c r="AB59" s="198">
        <v>742000</v>
      </c>
      <c r="AC59" s="191"/>
      <c r="AD59" s="191"/>
      <c r="AE59" s="624"/>
      <c r="AF59" s="627"/>
      <c r="AG59" s="331"/>
      <c r="AH59" s="331"/>
      <c r="AI59" s="209"/>
      <c r="AJ59" s="209"/>
      <c r="AK59" s="209"/>
      <c r="AL59" s="209"/>
      <c r="AM59" s="209"/>
    </row>
    <row r="60" spans="1:39" s="5" customFormat="1" ht="30" customHeight="1">
      <c r="A60" s="198">
        <f t="shared" si="10"/>
        <v>55</v>
      </c>
      <c r="B60" s="3">
        <v>2010</v>
      </c>
      <c r="C60" s="3" t="s">
        <v>435</v>
      </c>
      <c r="D60" s="4">
        <f>8000000+4900000-4900000</f>
        <v>8000000</v>
      </c>
      <c r="E60" s="4">
        <v>8000000</v>
      </c>
      <c r="F60" s="4">
        <f t="shared" si="0"/>
        <v>0</v>
      </c>
      <c r="G60" s="4">
        <v>500000</v>
      </c>
      <c r="H60" s="4">
        <v>0</v>
      </c>
      <c r="I60" s="4"/>
      <c r="J60" s="4"/>
      <c r="K60" s="199">
        <f t="shared" si="2"/>
        <v>0</v>
      </c>
      <c r="L60" s="199">
        <f t="shared" si="1"/>
        <v>0</v>
      </c>
      <c r="M60" s="199">
        <f t="shared" si="3"/>
        <v>500000</v>
      </c>
      <c r="N60" s="4">
        <f>12400000-12400000</f>
        <v>0</v>
      </c>
      <c r="O60" s="4">
        <f t="shared" si="4"/>
        <v>7500000</v>
      </c>
      <c r="P60" s="199">
        <f t="shared" si="5"/>
        <v>500000</v>
      </c>
      <c r="Q60" s="4"/>
      <c r="R60" s="4"/>
      <c r="S60" s="4">
        <f t="shared" ref="S60:S65" si="11">SUM(Q60:R60)</f>
        <v>0</v>
      </c>
      <c r="T60" s="4">
        <f t="shared" si="7"/>
        <v>0</v>
      </c>
      <c r="U60" s="4">
        <f t="shared" si="8"/>
        <v>0</v>
      </c>
      <c r="V60" s="4">
        <f>U60-Z60-W60-Y60</f>
        <v>0</v>
      </c>
      <c r="W60" s="4"/>
      <c r="X60" s="4"/>
      <c r="Y60" s="4"/>
      <c r="Z60" s="3"/>
      <c r="AA60" s="3" t="s">
        <v>1316</v>
      </c>
      <c r="AB60" s="3">
        <v>742000</v>
      </c>
      <c r="AC60" s="191"/>
      <c r="AD60" s="191"/>
      <c r="AE60" s="624"/>
      <c r="AF60" s="627"/>
    </row>
    <row r="61" spans="1:39" s="5" customFormat="1" ht="30" customHeight="1">
      <c r="A61" s="198">
        <f t="shared" si="10"/>
        <v>56</v>
      </c>
      <c r="B61" s="3">
        <v>2011</v>
      </c>
      <c r="C61" s="3" t="s">
        <v>357</v>
      </c>
      <c r="D61" s="4">
        <v>80000000</v>
      </c>
      <c r="E61" s="4">
        <v>80000000</v>
      </c>
      <c r="F61" s="4">
        <f t="shared" si="0"/>
        <v>0</v>
      </c>
      <c r="G61" s="4">
        <v>0</v>
      </c>
      <c r="H61" s="4">
        <v>0</v>
      </c>
      <c r="I61" s="4"/>
      <c r="J61" s="4"/>
      <c r="K61" s="199">
        <f t="shared" si="2"/>
        <v>0</v>
      </c>
      <c r="L61" s="199">
        <f t="shared" si="1"/>
        <v>0</v>
      </c>
      <c r="M61" s="199">
        <f t="shared" si="3"/>
        <v>0</v>
      </c>
      <c r="N61" s="4">
        <v>5000000</v>
      </c>
      <c r="O61" s="4">
        <f t="shared" si="4"/>
        <v>75000000</v>
      </c>
      <c r="P61" s="199">
        <f t="shared" si="5"/>
        <v>0</v>
      </c>
      <c r="Q61" s="4"/>
      <c r="R61" s="4"/>
      <c r="S61" s="4">
        <f t="shared" si="11"/>
        <v>0</v>
      </c>
      <c r="T61" s="4">
        <f t="shared" si="7"/>
        <v>0</v>
      </c>
      <c r="U61" s="4">
        <f t="shared" si="8"/>
        <v>5000000</v>
      </c>
      <c r="V61" s="4">
        <f>U61-Z61-W61-Y61</f>
        <v>5000000</v>
      </c>
      <c r="W61" s="4"/>
      <c r="X61" s="4"/>
      <c r="Y61" s="4"/>
      <c r="Z61" s="3"/>
      <c r="AA61" s="3" t="s">
        <v>1317</v>
      </c>
      <c r="AB61" s="3">
        <v>742000</v>
      </c>
      <c r="AC61" s="191"/>
      <c r="AD61" s="191"/>
      <c r="AE61" s="624"/>
      <c r="AF61" s="627"/>
    </row>
    <row r="62" spans="1:39" s="210" customFormat="1" ht="30" customHeight="1">
      <c r="A62" s="198">
        <f t="shared" si="10"/>
        <v>57</v>
      </c>
      <c r="B62" s="198">
        <v>2015</v>
      </c>
      <c r="C62" s="397" t="s">
        <v>887</v>
      </c>
      <c r="D62" s="199">
        <f>22500000+2500000</f>
        <v>25000000</v>
      </c>
      <c r="E62" s="199">
        <v>10500000</v>
      </c>
      <c r="F62" s="199">
        <f t="shared" si="0"/>
        <v>14500000</v>
      </c>
      <c r="G62" s="199">
        <v>5500000</v>
      </c>
      <c r="H62" s="199">
        <v>307009</v>
      </c>
      <c r="I62" s="199"/>
      <c r="J62" s="199">
        <v>192991.08</v>
      </c>
      <c r="K62" s="199">
        <f t="shared" si="2"/>
        <v>192991.08</v>
      </c>
      <c r="L62" s="199">
        <f t="shared" si="1"/>
        <v>500000.07999999996</v>
      </c>
      <c r="M62" s="199">
        <f>P62+S62-5000000</f>
        <v>4999999.92</v>
      </c>
      <c r="N62" s="199">
        <f>17000000+2500000-5000000</f>
        <v>14500000</v>
      </c>
      <c r="O62" s="199">
        <f t="shared" si="4"/>
        <v>5000000</v>
      </c>
      <c r="P62" s="199">
        <f t="shared" si="5"/>
        <v>4999999.92</v>
      </c>
      <c r="Q62" s="4">
        <v>5000000</v>
      </c>
      <c r="R62" s="199"/>
      <c r="S62" s="4">
        <f t="shared" si="11"/>
        <v>5000000</v>
      </c>
      <c r="T62" s="199">
        <f t="shared" si="7"/>
        <v>5000000</v>
      </c>
      <c r="U62" s="199">
        <f t="shared" si="8"/>
        <v>9500000</v>
      </c>
      <c r="V62" s="199">
        <f t="shared" si="9"/>
        <v>9500000</v>
      </c>
      <c r="W62" s="199"/>
      <c r="X62" s="199"/>
      <c r="Y62" s="199"/>
      <c r="Z62" s="198"/>
      <c r="AA62" s="198" t="s">
        <v>1385</v>
      </c>
      <c r="AB62" s="198">
        <v>810000</v>
      </c>
      <c r="AC62" s="191"/>
      <c r="AD62" s="191"/>
      <c r="AE62" s="624"/>
      <c r="AF62" s="627"/>
      <c r="AG62" s="331"/>
      <c r="AH62" s="331"/>
    </row>
    <row r="63" spans="1:39" s="203" customFormat="1" ht="30" customHeight="1">
      <c r="A63" s="198">
        <f t="shared" si="10"/>
        <v>58</v>
      </c>
      <c r="B63" s="198">
        <v>2016</v>
      </c>
      <c r="C63" s="397" t="s">
        <v>888</v>
      </c>
      <c r="D63" s="199">
        <v>7340000</v>
      </c>
      <c r="E63" s="199">
        <v>7340000</v>
      </c>
      <c r="F63" s="199">
        <f t="shared" si="0"/>
        <v>0</v>
      </c>
      <c r="G63" s="199">
        <v>7340000</v>
      </c>
      <c r="H63" s="199">
        <v>6978013</v>
      </c>
      <c r="I63" s="199"/>
      <c r="J63" s="199">
        <v>335053.92</v>
      </c>
      <c r="K63" s="199">
        <f t="shared" si="2"/>
        <v>335053.92</v>
      </c>
      <c r="L63" s="199">
        <f t="shared" si="1"/>
        <v>7313066.9199999999</v>
      </c>
      <c r="M63" s="199">
        <f t="shared" si="3"/>
        <v>26933.080000000075</v>
      </c>
      <c r="N63" s="199"/>
      <c r="O63" s="199">
        <f t="shared" si="4"/>
        <v>0</v>
      </c>
      <c r="P63" s="199">
        <f t="shared" si="5"/>
        <v>26933.080000000075</v>
      </c>
      <c r="Q63" s="199"/>
      <c r="R63" s="199"/>
      <c r="S63" s="4">
        <f t="shared" si="11"/>
        <v>0</v>
      </c>
      <c r="T63" s="199">
        <f t="shared" si="7"/>
        <v>0</v>
      </c>
      <c r="U63" s="199">
        <f t="shared" si="8"/>
        <v>0</v>
      </c>
      <c r="V63" s="199">
        <f t="shared" si="9"/>
        <v>0</v>
      </c>
      <c r="W63" s="199"/>
      <c r="X63" s="199"/>
      <c r="Y63" s="199"/>
      <c r="Z63" s="198"/>
      <c r="AA63" s="198" t="s">
        <v>1138</v>
      </c>
      <c r="AB63" s="198">
        <v>810000</v>
      </c>
      <c r="AC63" s="191"/>
      <c r="AD63" s="191"/>
      <c r="AE63" s="624"/>
      <c r="AF63" s="627"/>
      <c r="AG63" s="331"/>
      <c r="AH63" s="331"/>
    </row>
    <row r="64" spans="1:39" ht="30" customHeight="1">
      <c r="A64" s="198">
        <f t="shared" si="10"/>
        <v>59</v>
      </c>
      <c r="B64" s="198">
        <v>2017</v>
      </c>
      <c r="C64" s="198" t="s">
        <v>468</v>
      </c>
      <c r="D64" s="199">
        <v>30000000</v>
      </c>
      <c r="E64" s="199">
        <v>2000000</v>
      </c>
      <c r="F64" s="199">
        <f t="shared" si="0"/>
        <v>28000000</v>
      </c>
      <c r="G64" s="199">
        <v>1000000</v>
      </c>
      <c r="H64" s="199">
        <v>414448</v>
      </c>
      <c r="I64" s="199"/>
      <c r="J64" s="199">
        <v>75628.350000000006</v>
      </c>
      <c r="K64" s="199">
        <f t="shared" si="2"/>
        <v>75628.350000000006</v>
      </c>
      <c r="L64" s="199">
        <f t="shared" si="1"/>
        <v>490076.35</v>
      </c>
      <c r="M64" s="199">
        <f t="shared" si="3"/>
        <v>1509923.65</v>
      </c>
      <c r="N64" s="199"/>
      <c r="O64" s="199">
        <f t="shared" si="4"/>
        <v>28000000</v>
      </c>
      <c r="P64" s="199">
        <f t="shared" si="5"/>
        <v>509923.65</v>
      </c>
      <c r="Q64" s="4">
        <v>1000000</v>
      </c>
      <c r="R64" s="199"/>
      <c r="S64" s="4">
        <f t="shared" si="11"/>
        <v>1000000</v>
      </c>
      <c r="T64" s="199">
        <f t="shared" si="7"/>
        <v>0</v>
      </c>
      <c r="U64" s="199">
        <f t="shared" si="8"/>
        <v>0</v>
      </c>
      <c r="V64" s="199">
        <f t="shared" si="9"/>
        <v>0</v>
      </c>
      <c r="W64" s="199"/>
      <c r="X64" s="199"/>
      <c r="Y64" s="199"/>
      <c r="Z64" s="198"/>
      <c r="AA64" s="198" t="s">
        <v>752</v>
      </c>
      <c r="AB64" s="198">
        <v>824000</v>
      </c>
      <c r="AE64" s="624"/>
      <c r="AF64" s="627"/>
      <c r="AI64" s="210"/>
      <c r="AJ64" s="210"/>
      <c r="AK64" s="210"/>
      <c r="AL64" s="210"/>
      <c r="AM64" s="210"/>
    </row>
    <row r="65" spans="1:37" ht="30" customHeight="1">
      <c r="A65" s="198">
        <f t="shared" si="10"/>
        <v>60</v>
      </c>
      <c r="B65" s="198">
        <v>2018</v>
      </c>
      <c r="C65" s="198" t="s">
        <v>469</v>
      </c>
      <c r="D65" s="199">
        <v>10000000</v>
      </c>
      <c r="E65" s="199">
        <v>10000000</v>
      </c>
      <c r="F65" s="199">
        <f t="shared" si="0"/>
        <v>0</v>
      </c>
      <c r="G65" s="199">
        <v>3300000</v>
      </c>
      <c r="H65" s="199">
        <v>238402</v>
      </c>
      <c r="I65" s="199"/>
      <c r="J65" s="199">
        <v>1047120.34</v>
      </c>
      <c r="K65" s="199">
        <f t="shared" si="2"/>
        <v>1047120.34</v>
      </c>
      <c r="L65" s="199">
        <f t="shared" si="1"/>
        <v>1285522.3399999999</v>
      </c>
      <c r="M65" s="199">
        <f t="shared" si="3"/>
        <v>3314477.66</v>
      </c>
      <c r="N65" s="199">
        <f>5400000-3400000</f>
        <v>2000000</v>
      </c>
      <c r="O65" s="199">
        <f t="shared" si="4"/>
        <v>3400000</v>
      </c>
      <c r="P65" s="199">
        <f t="shared" si="5"/>
        <v>2014477.6600000001</v>
      </c>
      <c r="Q65" s="4">
        <v>1300000</v>
      </c>
      <c r="R65" s="199"/>
      <c r="S65" s="4">
        <f t="shared" si="11"/>
        <v>1300000</v>
      </c>
      <c r="T65" s="199">
        <f t="shared" si="7"/>
        <v>0</v>
      </c>
      <c r="U65" s="199">
        <f t="shared" si="8"/>
        <v>2000000</v>
      </c>
      <c r="V65" s="199">
        <f t="shared" si="9"/>
        <v>2000000</v>
      </c>
      <c r="W65" s="199"/>
      <c r="X65" s="199"/>
      <c r="Y65" s="199"/>
      <c r="Z65" s="198"/>
      <c r="AA65" s="347" t="s">
        <v>1318</v>
      </c>
      <c r="AB65" s="198">
        <v>742000</v>
      </c>
      <c r="AE65" s="624"/>
      <c r="AF65" s="627"/>
    </row>
    <row r="66" spans="1:37" ht="30" customHeight="1">
      <c r="A66" s="198">
        <f t="shared" si="10"/>
        <v>61</v>
      </c>
      <c r="B66" s="198">
        <v>2019</v>
      </c>
      <c r="C66" s="198" t="s">
        <v>470</v>
      </c>
      <c r="D66" s="199">
        <v>1200000</v>
      </c>
      <c r="E66" s="199">
        <v>1200000</v>
      </c>
      <c r="F66" s="199">
        <f t="shared" si="0"/>
        <v>0</v>
      </c>
      <c r="G66" s="199">
        <v>1200000</v>
      </c>
      <c r="H66" s="199">
        <v>586398</v>
      </c>
      <c r="I66" s="199"/>
      <c r="J66" s="199">
        <v>613598.77</v>
      </c>
      <c r="K66" s="199">
        <f t="shared" ref="K66:K98" si="12">SUM(I66:J66)</f>
        <v>613598.77</v>
      </c>
      <c r="L66" s="199">
        <f t="shared" si="1"/>
        <v>1199996.77</v>
      </c>
      <c r="M66" s="199">
        <f t="shared" si="3"/>
        <v>3.2299999999813735</v>
      </c>
      <c r="N66" s="199"/>
      <c r="O66" s="199">
        <f t="shared" si="4"/>
        <v>0</v>
      </c>
      <c r="P66" s="199">
        <f t="shared" si="5"/>
        <v>3.2299999999813735</v>
      </c>
      <c r="Q66" s="4"/>
      <c r="R66" s="199"/>
      <c r="S66" s="199">
        <f t="shared" si="6"/>
        <v>0</v>
      </c>
      <c r="T66" s="199">
        <f t="shared" si="7"/>
        <v>0</v>
      </c>
      <c r="U66" s="199">
        <f t="shared" si="8"/>
        <v>0</v>
      </c>
      <c r="V66" s="199">
        <f t="shared" si="9"/>
        <v>0</v>
      </c>
      <c r="W66" s="199"/>
      <c r="X66" s="199"/>
      <c r="Y66" s="199"/>
      <c r="Z66" s="198"/>
      <c r="AA66" s="198" t="s">
        <v>1490</v>
      </c>
      <c r="AB66" s="198">
        <v>742000</v>
      </c>
      <c r="AE66" s="624"/>
      <c r="AF66" s="627"/>
    </row>
    <row r="67" spans="1:37" s="202" customFormat="1" ht="30" customHeight="1">
      <c r="A67" s="198">
        <f t="shared" si="10"/>
        <v>62</v>
      </c>
      <c r="B67" s="198">
        <v>2021</v>
      </c>
      <c r="C67" s="198" t="s">
        <v>360</v>
      </c>
      <c r="D67" s="199">
        <v>8200000</v>
      </c>
      <c r="E67" s="199">
        <v>8200000</v>
      </c>
      <c r="F67" s="199">
        <f t="shared" si="0"/>
        <v>0</v>
      </c>
      <c r="G67" s="199">
        <v>500000</v>
      </c>
      <c r="H67" s="199">
        <v>40865</v>
      </c>
      <c r="I67" s="199"/>
      <c r="J67" s="199">
        <v>109135.4</v>
      </c>
      <c r="K67" s="199">
        <f t="shared" si="12"/>
        <v>109135.4</v>
      </c>
      <c r="L67" s="199">
        <f t="shared" si="1"/>
        <v>150000.4</v>
      </c>
      <c r="M67" s="199">
        <f t="shared" si="3"/>
        <v>349999.6</v>
      </c>
      <c r="N67" s="199"/>
      <c r="O67" s="199">
        <f t="shared" si="4"/>
        <v>7700000</v>
      </c>
      <c r="P67" s="199">
        <f t="shared" si="5"/>
        <v>349999.6</v>
      </c>
      <c r="Q67" s="4">
        <f>2500000-2500000</f>
        <v>0</v>
      </c>
      <c r="R67" s="199"/>
      <c r="S67" s="199">
        <f t="shared" si="6"/>
        <v>0</v>
      </c>
      <c r="T67" s="199">
        <f t="shared" si="7"/>
        <v>0</v>
      </c>
      <c r="U67" s="199">
        <f t="shared" si="8"/>
        <v>0</v>
      </c>
      <c r="V67" s="199">
        <f t="shared" si="9"/>
        <v>0</v>
      </c>
      <c r="W67" s="199"/>
      <c r="X67" s="199"/>
      <c r="Y67" s="199"/>
      <c r="Z67" s="198"/>
      <c r="AA67" s="198" t="s">
        <v>1380</v>
      </c>
      <c r="AB67" s="198">
        <v>850000</v>
      </c>
      <c r="AC67" s="191"/>
      <c r="AD67" s="191"/>
      <c r="AE67" s="624"/>
      <c r="AF67" s="627"/>
      <c r="AG67" s="331"/>
      <c r="AH67" s="331"/>
    </row>
    <row r="68" spans="1:37" s="202" customFormat="1" ht="30" customHeight="1">
      <c r="A68" s="198">
        <f t="shared" si="10"/>
        <v>63</v>
      </c>
      <c r="B68" s="198">
        <v>2022</v>
      </c>
      <c r="C68" s="198" t="s">
        <v>764</v>
      </c>
      <c r="D68" s="199">
        <v>20000000</v>
      </c>
      <c r="E68" s="199">
        <v>20000000</v>
      </c>
      <c r="F68" s="199">
        <f t="shared" si="0"/>
        <v>0</v>
      </c>
      <c r="G68" s="199">
        <v>2000000</v>
      </c>
      <c r="H68" s="199">
        <v>0</v>
      </c>
      <c r="I68" s="199"/>
      <c r="J68" s="199">
        <v>97045.65</v>
      </c>
      <c r="K68" s="199">
        <f t="shared" si="12"/>
        <v>97045.65</v>
      </c>
      <c r="L68" s="199">
        <f t="shared" si="1"/>
        <v>97045.65</v>
      </c>
      <c r="M68" s="199">
        <f t="shared" si="3"/>
        <v>19902954.350000001</v>
      </c>
      <c r="N68" s="199"/>
      <c r="O68" s="199">
        <f t="shared" si="4"/>
        <v>0</v>
      </c>
      <c r="P68" s="199">
        <f t="shared" si="5"/>
        <v>1902954.35</v>
      </c>
      <c r="Q68" s="4">
        <v>18000000</v>
      </c>
      <c r="R68" s="199"/>
      <c r="S68" s="199">
        <f>SUM(Q68:R68)</f>
        <v>18000000</v>
      </c>
      <c r="T68" s="199">
        <f t="shared" si="7"/>
        <v>0</v>
      </c>
      <c r="U68" s="4">
        <f t="shared" si="8"/>
        <v>0</v>
      </c>
      <c r="V68" s="199">
        <f t="shared" si="9"/>
        <v>0</v>
      </c>
      <c r="W68" s="199"/>
      <c r="X68" s="199"/>
      <c r="Y68" s="199"/>
      <c r="Z68" s="198"/>
      <c r="AA68" s="198" t="s">
        <v>1291</v>
      </c>
      <c r="AB68" s="198">
        <v>829000</v>
      </c>
      <c r="AC68" s="191"/>
      <c r="AD68" s="191"/>
      <c r="AE68" s="624"/>
      <c r="AF68" s="627"/>
      <c r="AG68" s="331"/>
      <c r="AH68" s="331"/>
    </row>
    <row r="69" spans="1:37" s="202" customFormat="1" ht="30" customHeight="1">
      <c r="A69" s="198">
        <f t="shared" si="10"/>
        <v>64</v>
      </c>
      <c r="B69" s="198">
        <v>2023</v>
      </c>
      <c r="C69" s="198" t="s">
        <v>471</v>
      </c>
      <c r="D69" s="199">
        <v>7340000</v>
      </c>
      <c r="E69" s="199">
        <v>7340000</v>
      </c>
      <c r="F69" s="199">
        <f t="shared" si="0"/>
        <v>0</v>
      </c>
      <c r="G69" s="199">
        <v>3000000</v>
      </c>
      <c r="H69" s="199">
        <v>123926</v>
      </c>
      <c r="I69" s="199"/>
      <c r="J69" s="199">
        <v>101216.5</v>
      </c>
      <c r="K69" s="199">
        <f t="shared" si="12"/>
        <v>101216.5</v>
      </c>
      <c r="L69" s="199">
        <f t="shared" ref="L69:L98" si="13">K69+H69</f>
        <v>225142.5</v>
      </c>
      <c r="M69" s="199">
        <f>P69+S69-2660000</f>
        <v>114857.5</v>
      </c>
      <c r="N69" s="199"/>
      <c r="O69" s="199">
        <f t="shared" si="4"/>
        <v>7000000</v>
      </c>
      <c r="P69" s="199">
        <f t="shared" si="5"/>
        <v>2774857.5</v>
      </c>
      <c r="Q69" s="4">
        <f>4340000-4340000</f>
        <v>0</v>
      </c>
      <c r="R69" s="199"/>
      <c r="S69" s="199">
        <f>SUM(Q69:R69)</f>
        <v>0</v>
      </c>
      <c r="T69" s="199">
        <f t="shared" si="7"/>
        <v>2660000</v>
      </c>
      <c r="U69" s="199">
        <f t="shared" si="8"/>
        <v>-2660000</v>
      </c>
      <c r="V69" s="199">
        <f t="shared" si="9"/>
        <v>-2660000</v>
      </c>
      <c r="W69" s="199"/>
      <c r="X69" s="199"/>
      <c r="Y69" s="199"/>
      <c r="Z69" s="198"/>
      <c r="AA69" s="198" t="s">
        <v>1381</v>
      </c>
      <c r="AB69" s="198">
        <v>810000</v>
      </c>
      <c r="AC69" s="191"/>
      <c r="AD69" s="191"/>
      <c r="AE69" s="624"/>
      <c r="AF69" s="627"/>
      <c r="AG69" s="331"/>
      <c r="AH69" s="331"/>
    </row>
    <row r="70" spans="1:37" s="202" customFormat="1" ht="30" customHeight="1">
      <c r="A70" s="198">
        <f t="shared" si="10"/>
        <v>65</v>
      </c>
      <c r="B70" s="198">
        <v>2024</v>
      </c>
      <c r="C70" s="198" t="s">
        <v>472</v>
      </c>
      <c r="D70" s="199">
        <v>7340000</v>
      </c>
      <c r="E70" s="199">
        <v>7340000</v>
      </c>
      <c r="F70" s="199">
        <f t="shared" si="0"/>
        <v>0</v>
      </c>
      <c r="G70" s="199">
        <v>700000</v>
      </c>
      <c r="H70" s="199">
        <v>125012</v>
      </c>
      <c r="I70" s="199"/>
      <c r="J70" s="199">
        <v>117459.94</v>
      </c>
      <c r="K70" s="199">
        <f t="shared" si="12"/>
        <v>117459.94</v>
      </c>
      <c r="L70" s="199">
        <f t="shared" si="13"/>
        <v>242471.94</v>
      </c>
      <c r="M70" s="199">
        <f t="shared" ref="M70:M98" si="14">P70+S70</f>
        <v>457528.06</v>
      </c>
      <c r="N70" s="199">
        <v>6640000</v>
      </c>
      <c r="O70" s="199">
        <f t="shared" ref="O70:O105" si="15">D70-L70-M70-N70</f>
        <v>0</v>
      </c>
      <c r="P70" s="199">
        <f t="shared" ref="P70:P98" si="16">G70-L70</f>
        <v>457528.06</v>
      </c>
      <c r="Q70" s="4"/>
      <c r="R70" s="199"/>
      <c r="S70" s="199">
        <f t="shared" ref="S70:S80" si="17">SUM(Q70:R70)</f>
        <v>0</v>
      </c>
      <c r="T70" s="199">
        <f t="shared" ref="T70:T80" si="18">P70-M70+S70</f>
        <v>0</v>
      </c>
      <c r="U70" s="199">
        <f t="shared" ref="U70:U105" si="19">N70-T70</f>
        <v>6640000</v>
      </c>
      <c r="V70" s="199">
        <f t="shared" ref="V70:V85" si="20">U70-Y70-X70-Z70-W70</f>
        <v>6640000</v>
      </c>
      <c r="W70" s="199"/>
      <c r="X70" s="199"/>
      <c r="Y70" s="199"/>
      <c r="Z70" s="198"/>
      <c r="AA70" s="198" t="s">
        <v>1139</v>
      </c>
      <c r="AB70" s="198">
        <v>810000</v>
      </c>
      <c r="AC70" s="191"/>
      <c r="AD70" s="191"/>
      <c r="AE70" s="624"/>
      <c r="AF70" s="627"/>
      <c r="AG70" s="331"/>
      <c r="AH70" s="331"/>
    </row>
    <row r="71" spans="1:37" s="202" customFormat="1" ht="30" customHeight="1">
      <c r="A71" s="198">
        <f t="shared" si="10"/>
        <v>66</v>
      </c>
      <c r="B71" s="198">
        <v>2025</v>
      </c>
      <c r="C71" s="198" t="s">
        <v>473</v>
      </c>
      <c r="D71" s="199">
        <v>2600000</v>
      </c>
      <c r="E71" s="199">
        <v>2600000</v>
      </c>
      <c r="F71" s="199">
        <f t="shared" si="0"/>
        <v>0</v>
      </c>
      <c r="G71" s="199">
        <v>1600000</v>
      </c>
      <c r="H71" s="199">
        <v>102209</v>
      </c>
      <c r="I71" s="199"/>
      <c r="J71" s="199">
        <v>43328.59</v>
      </c>
      <c r="K71" s="199">
        <f t="shared" si="12"/>
        <v>43328.59</v>
      </c>
      <c r="L71" s="199">
        <f t="shared" si="13"/>
        <v>145537.59</v>
      </c>
      <c r="M71" s="199">
        <f t="shared" si="14"/>
        <v>2454462.41</v>
      </c>
      <c r="N71" s="199"/>
      <c r="O71" s="199">
        <f t="shared" si="15"/>
        <v>0</v>
      </c>
      <c r="P71" s="199">
        <f t="shared" si="16"/>
        <v>1454462.41</v>
      </c>
      <c r="Q71" s="4">
        <v>1000000</v>
      </c>
      <c r="R71" s="199"/>
      <c r="S71" s="199">
        <f t="shared" si="17"/>
        <v>1000000</v>
      </c>
      <c r="T71" s="199">
        <f t="shared" si="18"/>
        <v>0</v>
      </c>
      <c r="U71" s="199">
        <f t="shared" si="19"/>
        <v>0</v>
      </c>
      <c r="V71" s="199">
        <f t="shared" si="20"/>
        <v>0</v>
      </c>
      <c r="W71" s="199"/>
      <c r="X71" s="199"/>
      <c r="Y71" s="199"/>
      <c r="Z71" s="198"/>
      <c r="AA71" s="198" t="s">
        <v>603</v>
      </c>
      <c r="AB71" s="198">
        <v>810000</v>
      </c>
      <c r="AC71" s="191"/>
      <c r="AD71" s="191"/>
      <c r="AE71" s="624"/>
      <c r="AF71" s="627"/>
      <c r="AG71" s="331"/>
      <c r="AH71" s="331"/>
    </row>
    <row r="72" spans="1:37" s="202" customFormat="1" ht="30" customHeight="1">
      <c r="A72" s="198">
        <f t="shared" ref="A72:A75" si="21">A71+1</f>
        <v>67</v>
      </c>
      <c r="B72" s="198">
        <v>2026</v>
      </c>
      <c r="C72" s="198" t="s">
        <v>1140</v>
      </c>
      <c r="D72" s="199">
        <v>8200000</v>
      </c>
      <c r="E72" s="199">
        <v>8200000</v>
      </c>
      <c r="F72" s="199">
        <f t="shared" si="0"/>
        <v>0</v>
      </c>
      <c r="G72" s="199">
        <v>4700000</v>
      </c>
      <c r="H72" s="199">
        <v>1894216</v>
      </c>
      <c r="I72" s="199"/>
      <c r="J72" s="199">
        <v>1769986.1</v>
      </c>
      <c r="K72" s="199">
        <f t="shared" si="12"/>
        <v>1769986.1</v>
      </c>
      <c r="L72" s="199">
        <f t="shared" si="13"/>
        <v>3664202.1</v>
      </c>
      <c r="M72" s="199">
        <f t="shared" si="14"/>
        <v>4535797.9000000004</v>
      </c>
      <c r="N72" s="199"/>
      <c r="O72" s="199">
        <f t="shared" si="15"/>
        <v>0</v>
      </c>
      <c r="P72" s="199">
        <f t="shared" si="16"/>
        <v>1035797.8999999999</v>
      </c>
      <c r="Q72" s="4">
        <v>3500000</v>
      </c>
      <c r="R72" s="199"/>
      <c r="S72" s="199">
        <f t="shared" si="17"/>
        <v>3500000</v>
      </c>
      <c r="T72" s="199">
        <f t="shared" si="18"/>
        <v>0</v>
      </c>
      <c r="U72" s="199">
        <f t="shared" si="19"/>
        <v>0</v>
      </c>
      <c r="V72" s="199">
        <f t="shared" si="20"/>
        <v>0</v>
      </c>
      <c r="W72" s="199"/>
      <c r="X72" s="199"/>
      <c r="Y72" s="199"/>
      <c r="Z72" s="198"/>
      <c r="AA72" s="198" t="s">
        <v>604</v>
      </c>
      <c r="AB72" s="198">
        <v>810000</v>
      </c>
      <c r="AC72" s="191"/>
      <c r="AD72" s="191"/>
      <c r="AE72" s="624"/>
      <c r="AF72" s="627"/>
      <c r="AG72" s="331"/>
      <c r="AH72" s="331"/>
    </row>
    <row r="73" spans="1:37" s="5" customFormat="1" ht="30" customHeight="1">
      <c r="A73" s="198">
        <f t="shared" si="21"/>
        <v>68</v>
      </c>
      <c r="B73" s="39">
        <v>2051</v>
      </c>
      <c r="C73" s="3" t="s">
        <v>551</v>
      </c>
      <c r="D73" s="4">
        <v>2600000</v>
      </c>
      <c r="E73" s="4">
        <v>2600000</v>
      </c>
      <c r="F73" s="4">
        <f t="shared" si="0"/>
        <v>0</v>
      </c>
      <c r="G73" s="4">
        <v>400000</v>
      </c>
      <c r="H73" s="4">
        <v>64727.01</v>
      </c>
      <c r="I73" s="4">
        <v>26325</v>
      </c>
      <c r="J73" s="4">
        <v>36365.06</v>
      </c>
      <c r="K73" s="4">
        <f>SUM(I73:J73)</f>
        <v>62690.06</v>
      </c>
      <c r="L73" s="4">
        <f>H73+K73</f>
        <v>127417.07</v>
      </c>
      <c r="M73" s="4">
        <f>P73+S73</f>
        <v>272582.93</v>
      </c>
      <c r="N73" s="4">
        <f>2200000-2200000</f>
        <v>0</v>
      </c>
      <c r="O73" s="4">
        <f>D73-L73-M73-N73</f>
        <v>2200000</v>
      </c>
      <c r="P73" s="4">
        <f>G73-L73</f>
        <v>272582.93</v>
      </c>
      <c r="Q73" s="4"/>
      <c r="R73" s="4"/>
      <c r="S73" s="4">
        <f>SUM(Q73:R73)</f>
        <v>0</v>
      </c>
      <c r="T73" s="4">
        <f>P73-M73+S73</f>
        <v>0</v>
      </c>
      <c r="U73" s="199">
        <f t="shared" si="19"/>
        <v>0</v>
      </c>
      <c r="V73" s="4">
        <f t="shared" ref="V73" si="22">U73-Z73-W73-Y73</f>
        <v>0</v>
      </c>
      <c r="W73" s="4"/>
      <c r="X73" s="4"/>
      <c r="Y73" s="4"/>
      <c r="Z73" s="4"/>
      <c r="AA73" s="3" t="s">
        <v>1382</v>
      </c>
      <c r="AB73" s="3">
        <v>746000</v>
      </c>
      <c r="AC73" s="191"/>
      <c r="AD73" s="191"/>
    </row>
    <row r="74" spans="1:37" ht="30" customHeight="1">
      <c r="A74" s="198">
        <f t="shared" si="21"/>
        <v>69</v>
      </c>
      <c r="B74" s="340">
        <v>2058</v>
      </c>
      <c r="C74" s="198" t="s">
        <v>474</v>
      </c>
      <c r="D74" s="199">
        <v>2330000</v>
      </c>
      <c r="E74" s="199">
        <v>2330000</v>
      </c>
      <c r="F74" s="199">
        <f t="shared" si="0"/>
        <v>0</v>
      </c>
      <c r="G74" s="199">
        <v>130000</v>
      </c>
      <c r="H74" s="199">
        <v>21083</v>
      </c>
      <c r="I74" s="199"/>
      <c r="J74" s="199">
        <v>103715.82</v>
      </c>
      <c r="K74" s="199">
        <f t="shared" si="12"/>
        <v>103715.82</v>
      </c>
      <c r="L74" s="199">
        <f t="shared" si="13"/>
        <v>124798.82</v>
      </c>
      <c r="M74" s="199">
        <f t="shared" si="14"/>
        <v>5201.179999999993</v>
      </c>
      <c r="N74" s="199"/>
      <c r="O74" s="199">
        <f t="shared" si="15"/>
        <v>2200000</v>
      </c>
      <c r="P74" s="199">
        <f t="shared" si="16"/>
        <v>5201.179999999993</v>
      </c>
      <c r="Q74" s="4"/>
      <c r="R74" s="199"/>
      <c r="S74" s="199">
        <f t="shared" si="17"/>
        <v>0</v>
      </c>
      <c r="T74" s="199">
        <f t="shared" si="18"/>
        <v>0</v>
      </c>
      <c r="U74" s="199">
        <f t="shared" si="19"/>
        <v>0</v>
      </c>
      <c r="V74" s="199">
        <f t="shared" si="20"/>
        <v>0</v>
      </c>
      <c r="W74" s="199"/>
      <c r="X74" s="199"/>
      <c r="Y74" s="199"/>
      <c r="Z74" s="198"/>
      <c r="AA74" s="198" t="s">
        <v>1289</v>
      </c>
      <c r="AB74" s="198">
        <v>826000</v>
      </c>
      <c r="AE74" s="624"/>
      <c r="AF74" s="627"/>
    </row>
    <row r="75" spans="1:37" ht="30" customHeight="1">
      <c r="A75" s="198">
        <f t="shared" si="21"/>
        <v>70</v>
      </c>
      <c r="B75" s="340">
        <v>2059</v>
      </c>
      <c r="C75" s="198" t="s">
        <v>438</v>
      </c>
      <c r="D75" s="199">
        <v>2610000</v>
      </c>
      <c r="E75" s="199">
        <v>2610000</v>
      </c>
      <c r="F75" s="199">
        <f t="shared" si="0"/>
        <v>0</v>
      </c>
      <c r="G75" s="199">
        <v>350000</v>
      </c>
      <c r="H75" s="199">
        <v>34343</v>
      </c>
      <c r="I75" s="199"/>
      <c r="J75" s="199">
        <v>312012.25</v>
      </c>
      <c r="K75" s="199">
        <f t="shared" si="12"/>
        <v>312012.25</v>
      </c>
      <c r="L75" s="199">
        <f t="shared" si="13"/>
        <v>346355.25</v>
      </c>
      <c r="M75" s="199">
        <f t="shared" si="14"/>
        <v>3644.75</v>
      </c>
      <c r="N75" s="199">
        <v>500000</v>
      </c>
      <c r="O75" s="199">
        <f t="shared" si="15"/>
        <v>1760000</v>
      </c>
      <c r="P75" s="199">
        <f t="shared" si="16"/>
        <v>3644.75</v>
      </c>
      <c r="Q75" s="4"/>
      <c r="R75" s="199"/>
      <c r="S75" s="199">
        <f t="shared" si="17"/>
        <v>0</v>
      </c>
      <c r="T75" s="199">
        <f t="shared" si="18"/>
        <v>0</v>
      </c>
      <c r="U75" s="199">
        <f t="shared" si="19"/>
        <v>500000</v>
      </c>
      <c r="V75" s="199">
        <f t="shared" si="20"/>
        <v>500000</v>
      </c>
      <c r="W75" s="199"/>
      <c r="X75" s="199"/>
      <c r="Y75" s="199"/>
      <c r="Z75" s="198"/>
      <c r="AA75" s="198" t="s">
        <v>1319</v>
      </c>
      <c r="AB75" s="198">
        <v>826000</v>
      </c>
      <c r="AE75" s="624"/>
      <c r="AF75" s="627"/>
    </row>
    <row r="76" spans="1:37" ht="30" customHeight="1">
      <c r="A76" s="198">
        <f t="shared" ref="A76:A105" si="23">A75+1</f>
        <v>71</v>
      </c>
      <c r="B76" s="340">
        <v>2064</v>
      </c>
      <c r="C76" s="198" t="s">
        <v>353</v>
      </c>
      <c r="D76" s="199">
        <f>6417000-136000</f>
        <v>6281000</v>
      </c>
      <c r="E76" s="199">
        <v>6417000</v>
      </c>
      <c r="F76" s="199">
        <f t="shared" si="0"/>
        <v>-136000</v>
      </c>
      <c r="G76" s="199">
        <v>864000</v>
      </c>
      <c r="H76" s="199">
        <v>804306</v>
      </c>
      <c r="I76" s="199"/>
      <c r="J76" s="199">
        <v>21262.06</v>
      </c>
      <c r="K76" s="199">
        <f t="shared" si="12"/>
        <v>21262.06</v>
      </c>
      <c r="L76" s="199">
        <f t="shared" si="13"/>
        <v>825568.06</v>
      </c>
      <c r="M76" s="199">
        <f t="shared" si="14"/>
        <v>38431.939999999944</v>
      </c>
      <c r="N76" s="199">
        <v>5417000</v>
      </c>
      <c r="O76" s="199">
        <f t="shared" si="15"/>
        <v>0</v>
      </c>
      <c r="P76" s="199">
        <f t="shared" si="16"/>
        <v>38431.939999999944</v>
      </c>
      <c r="Q76" s="199"/>
      <c r="R76" s="199"/>
      <c r="S76" s="199">
        <f t="shared" si="17"/>
        <v>0</v>
      </c>
      <c r="T76" s="199">
        <f t="shared" si="18"/>
        <v>0</v>
      </c>
      <c r="U76" s="199">
        <f t="shared" si="19"/>
        <v>5417000</v>
      </c>
      <c r="V76" s="199">
        <f t="shared" si="20"/>
        <v>5417000</v>
      </c>
      <c r="W76" s="199"/>
      <c r="X76" s="199"/>
      <c r="Y76" s="199"/>
      <c r="Z76" s="198"/>
      <c r="AA76" s="198" t="s">
        <v>755</v>
      </c>
      <c r="AB76" s="198">
        <v>829000</v>
      </c>
      <c r="AE76" s="624"/>
      <c r="AF76" s="627"/>
    </row>
    <row r="77" spans="1:37" ht="30" customHeight="1">
      <c r="A77" s="198">
        <f t="shared" si="23"/>
        <v>72</v>
      </c>
      <c r="B77" s="340">
        <v>2073</v>
      </c>
      <c r="C77" s="198" t="s">
        <v>1141</v>
      </c>
      <c r="D77" s="199">
        <v>11350000</v>
      </c>
      <c r="E77" s="199">
        <v>11350000</v>
      </c>
      <c r="F77" s="199">
        <f t="shared" si="0"/>
        <v>0</v>
      </c>
      <c r="G77" s="199">
        <v>350000</v>
      </c>
      <c r="H77" s="199">
        <v>23564</v>
      </c>
      <c r="I77" s="199"/>
      <c r="J77" s="199">
        <v>93436.2</v>
      </c>
      <c r="K77" s="199">
        <f t="shared" si="12"/>
        <v>93436.2</v>
      </c>
      <c r="L77" s="199">
        <f t="shared" si="13"/>
        <v>117000.2</v>
      </c>
      <c r="M77" s="199">
        <f t="shared" si="14"/>
        <v>732999.8</v>
      </c>
      <c r="N77" s="199">
        <v>10500000</v>
      </c>
      <c r="O77" s="199">
        <f t="shared" si="15"/>
        <v>0</v>
      </c>
      <c r="P77" s="199">
        <f t="shared" si="16"/>
        <v>232999.8</v>
      </c>
      <c r="Q77" s="199">
        <v>500000</v>
      </c>
      <c r="R77" s="199"/>
      <c r="S77" s="199">
        <f t="shared" si="17"/>
        <v>500000</v>
      </c>
      <c r="T77" s="199">
        <f t="shared" si="18"/>
        <v>0</v>
      </c>
      <c r="U77" s="199">
        <f t="shared" si="19"/>
        <v>10500000</v>
      </c>
      <c r="V77" s="199">
        <f t="shared" si="20"/>
        <v>10500000</v>
      </c>
      <c r="W77" s="199"/>
      <c r="X77" s="199"/>
      <c r="Y77" s="199"/>
      <c r="Z77" s="198"/>
      <c r="AA77" s="198" t="s">
        <v>1142</v>
      </c>
      <c r="AB77" s="198">
        <v>829000</v>
      </c>
      <c r="AE77" s="624"/>
      <c r="AF77" s="627"/>
    </row>
    <row r="78" spans="1:37" ht="30" customHeight="1">
      <c r="A78" s="198">
        <f t="shared" si="23"/>
        <v>73</v>
      </c>
      <c r="B78" s="340">
        <v>2076</v>
      </c>
      <c r="C78" s="198" t="s">
        <v>475</v>
      </c>
      <c r="D78" s="199">
        <v>1450000</v>
      </c>
      <c r="E78" s="199">
        <v>1450000</v>
      </c>
      <c r="F78" s="199">
        <f t="shared" si="0"/>
        <v>0</v>
      </c>
      <c r="G78" s="199">
        <v>250000</v>
      </c>
      <c r="H78" s="199">
        <v>10108</v>
      </c>
      <c r="I78" s="199"/>
      <c r="J78" s="199">
        <v>239890.95</v>
      </c>
      <c r="K78" s="199">
        <f t="shared" si="12"/>
        <v>239890.95</v>
      </c>
      <c r="L78" s="199">
        <f t="shared" si="13"/>
        <v>249998.95</v>
      </c>
      <c r="M78" s="199">
        <f t="shared" si="14"/>
        <v>1200001.05</v>
      </c>
      <c r="N78" s="199"/>
      <c r="O78" s="199">
        <f t="shared" si="15"/>
        <v>0</v>
      </c>
      <c r="P78" s="199">
        <f t="shared" si="16"/>
        <v>1.0499999999883585</v>
      </c>
      <c r="Q78" s="199">
        <v>1200000</v>
      </c>
      <c r="R78" s="199"/>
      <c r="S78" s="199">
        <f t="shared" si="17"/>
        <v>1200000</v>
      </c>
      <c r="T78" s="199">
        <f t="shared" si="18"/>
        <v>0</v>
      </c>
      <c r="U78" s="199">
        <f t="shared" si="19"/>
        <v>0</v>
      </c>
      <c r="V78" s="199">
        <f t="shared" si="20"/>
        <v>0</v>
      </c>
      <c r="W78" s="199"/>
      <c r="X78" s="199"/>
      <c r="Y78" s="199"/>
      <c r="Z78" s="198"/>
      <c r="AA78" s="198" t="s">
        <v>606</v>
      </c>
      <c r="AB78" s="198">
        <v>850000</v>
      </c>
      <c r="AE78" s="624"/>
      <c r="AF78" s="627"/>
    </row>
    <row r="79" spans="1:37" s="5" customFormat="1" ht="30" customHeight="1">
      <c r="A79" s="198">
        <f t="shared" si="23"/>
        <v>74</v>
      </c>
      <c r="B79" s="3">
        <v>2078</v>
      </c>
      <c r="C79" s="3" t="s">
        <v>441</v>
      </c>
      <c r="D79" s="4">
        <f>2260000+1940000</f>
        <v>4200000</v>
      </c>
      <c r="E79" s="4">
        <f>2260000+1940000</f>
        <v>4200000</v>
      </c>
      <c r="F79" s="4">
        <f>D79-E79</f>
        <v>0</v>
      </c>
      <c r="G79" s="4">
        <v>150000</v>
      </c>
      <c r="H79" s="4">
        <v>0</v>
      </c>
      <c r="I79" s="4"/>
      <c r="J79" s="4"/>
      <c r="K79" s="199">
        <f t="shared" si="12"/>
        <v>0</v>
      </c>
      <c r="L79" s="199">
        <f t="shared" si="13"/>
        <v>0</v>
      </c>
      <c r="M79" s="199">
        <f t="shared" si="14"/>
        <v>1960000</v>
      </c>
      <c r="N79" s="199"/>
      <c r="O79" s="4">
        <f t="shared" si="15"/>
        <v>2240000</v>
      </c>
      <c r="P79" s="199">
        <f t="shared" si="16"/>
        <v>150000</v>
      </c>
      <c r="Q79" s="4"/>
      <c r="R79" s="4">
        <v>1810000</v>
      </c>
      <c r="S79" s="199">
        <f t="shared" si="17"/>
        <v>1810000</v>
      </c>
      <c r="T79" s="4"/>
      <c r="U79" s="4">
        <f t="shared" si="19"/>
        <v>0</v>
      </c>
      <c r="V79" s="4">
        <f>U79-Z79-W79-Y79</f>
        <v>0</v>
      </c>
      <c r="W79" s="4"/>
      <c r="X79" s="4"/>
      <c r="Y79" s="4"/>
      <c r="Z79" s="3"/>
      <c r="AA79" s="3" t="s">
        <v>740</v>
      </c>
      <c r="AB79" s="3">
        <v>742000</v>
      </c>
      <c r="AC79" s="191"/>
      <c r="AD79" s="191"/>
      <c r="AE79" s="624"/>
      <c r="AF79" s="627"/>
    </row>
    <row r="80" spans="1:37" ht="30" customHeight="1">
      <c r="A80" s="198">
        <f t="shared" si="23"/>
        <v>75</v>
      </c>
      <c r="B80" s="39">
        <v>2079</v>
      </c>
      <c r="C80" s="198" t="s">
        <v>476</v>
      </c>
      <c r="D80" s="199">
        <f>500000+2000000</f>
        <v>2500000</v>
      </c>
      <c r="E80" s="199">
        <v>500000</v>
      </c>
      <c r="F80" s="199">
        <f t="shared" ref="F80:F105" si="24">D80-E80</f>
        <v>2000000</v>
      </c>
      <c r="G80" s="199">
        <v>500000</v>
      </c>
      <c r="H80" s="199">
        <v>27936</v>
      </c>
      <c r="I80" s="199"/>
      <c r="J80" s="199">
        <v>472062.82</v>
      </c>
      <c r="K80" s="199">
        <f t="shared" si="12"/>
        <v>472062.82</v>
      </c>
      <c r="L80" s="199">
        <f t="shared" si="13"/>
        <v>499998.82</v>
      </c>
      <c r="M80" s="199">
        <f t="shared" si="14"/>
        <v>1.1799999999930151</v>
      </c>
      <c r="N80" s="199">
        <f>2000000-1000000</f>
        <v>1000000</v>
      </c>
      <c r="O80" s="199">
        <f t="shared" si="15"/>
        <v>1000000</v>
      </c>
      <c r="P80" s="199">
        <f t="shared" si="16"/>
        <v>1.1799999999930151</v>
      </c>
      <c r="Q80" s="199"/>
      <c r="R80" s="199"/>
      <c r="S80" s="199">
        <f t="shared" si="17"/>
        <v>0</v>
      </c>
      <c r="T80" s="199">
        <f t="shared" si="18"/>
        <v>0</v>
      </c>
      <c r="U80" s="199">
        <f t="shared" si="19"/>
        <v>1000000</v>
      </c>
      <c r="V80" s="199">
        <f t="shared" si="20"/>
        <v>1000000</v>
      </c>
      <c r="W80" s="199"/>
      <c r="X80" s="199"/>
      <c r="Y80" s="199"/>
      <c r="Z80" s="198"/>
      <c r="AA80" s="341" t="s">
        <v>1290</v>
      </c>
      <c r="AB80" s="198">
        <v>840000</v>
      </c>
      <c r="AE80" s="624"/>
      <c r="AF80" s="627"/>
      <c r="AK80" s="205"/>
    </row>
    <row r="81" spans="1:37" ht="30" customHeight="1">
      <c r="A81" s="198">
        <f t="shared" si="23"/>
        <v>76</v>
      </c>
      <c r="B81" s="39">
        <v>2080</v>
      </c>
      <c r="C81" s="198" t="s">
        <v>477</v>
      </c>
      <c r="D81" s="199">
        <f>2050000+350000</f>
        <v>2400000</v>
      </c>
      <c r="E81" s="199">
        <v>2050000</v>
      </c>
      <c r="F81" s="199">
        <f t="shared" si="24"/>
        <v>350000</v>
      </c>
      <c r="G81" s="199">
        <v>2050000</v>
      </c>
      <c r="H81" s="199">
        <v>1430935</v>
      </c>
      <c r="I81" s="199"/>
      <c r="J81" s="199">
        <v>569918.30000000005</v>
      </c>
      <c r="K81" s="199">
        <f t="shared" si="12"/>
        <v>569918.30000000005</v>
      </c>
      <c r="L81" s="199">
        <f t="shared" si="13"/>
        <v>2000853.3</v>
      </c>
      <c r="M81" s="199">
        <f t="shared" si="14"/>
        <v>49146.699999999953</v>
      </c>
      <c r="N81" s="199">
        <v>350000</v>
      </c>
      <c r="O81" s="199">
        <f t="shared" si="15"/>
        <v>0</v>
      </c>
      <c r="P81" s="199">
        <f t="shared" si="16"/>
        <v>49146.699999999953</v>
      </c>
      <c r="Q81" s="199"/>
      <c r="R81" s="199"/>
      <c r="S81" s="199">
        <f t="shared" ref="S81:S86" si="25">SUM(Q81:R81)</f>
        <v>0</v>
      </c>
      <c r="T81" s="199">
        <f>P81-M81+S81</f>
        <v>0</v>
      </c>
      <c r="U81" s="199">
        <f t="shared" si="19"/>
        <v>350000</v>
      </c>
      <c r="V81" s="199">
        <f t="shared" si="20"/>
        <v>350000</v>
      </c>
      <c r="W81" s="199"/>
      <c r="X81" s="199"/>
      <c r="Y81" s="199"/>
      <c r="Z81" s="198"/>
      <c r="AA81" s="198" t="s">
        <v>1143</v>
      </c>
      <c r="AB81" s="198">
        <v>747000</v>
      </c>
      <c r="AE81" s="624"/>
      <c r="AF81" s="627"/>
      <c r="AK81" s="205"/>
    </row>
    <row r="82" spans="1:37" ht="30" customHeight="1">
      <c r="A82" s="198">
        <f t="shared" si="23"/>
        <v>77</v>
      </c>
      <c r="B82" s="39">
        <v>2097</v>
      </c>
      <c r="C82" s="198" t="s">
        <v>478</v>
      </c>
      <c r="D82" s="199">
        <v>79000000</v>
      </c>
      <c r="E82" s="199">
        <v>41000000</v>
      </c>
      <c r="F82" s="199">
        <f t="shared" si="24"/>
        <v>38000000</v>
      </c>
      <c r="G82" s="199">
        <v>400000</v>
      </c>
      <c r="H82" s="199">
        <v>223459</v>
      </c>
      <c r="I82" s="199"/>
      <c r="J82" s="199">
        <v>176539.19</v>
      </c>
      <c r="K82" s="199">
        <f t="shared" si="12"/>
        <v>176539.19</v>
      </c>
      <c r="L82" s="199">
        <f t="shared" si="13"/>
        <v>399998.19</v>
      </c>
      <c r="M82" s="199">
        <f t="shared" si="14"/>
        <v>600001.81000000006</v>
      </c>
      <c r="N82" s="199">
        <f>10000000-5000000</f>
        <v>5000000</v>
      </c>
      <c r="O82" s="199">
        <f t="shared" si="15"/>
        <v>73000000</v>
      </c>
      <c r="P82" s="199">
        <f t="shared" si="16"/>
        <v>1.8099999999976717</v>
      </c>
      <c r="Q82" s="199">
        <v>600000</v>
      </c>
      <c r="R82" s="199"/>
      <c r="S82" s="199">
        <f t="shared" si="25"/>
        <v>600000</v>
      </c>
      <c r="T82" s="199">
        <f>P82-M82+S82</f>
        <v>0</v>
      </c>
      <c r="U82" s="199">
        <f t="shared" si="19"/>
        <v>5000000</v>
      </c>
      <c r="V82" s="199">
        <f t="shared" si="20"/>
        <v>5000000</v>
      </c>
      <c r="W82" s="199"/>
      <c r="X82" s="199"/>
      <c r="Y82" s="199"/>
      <c r="Z82" s="198"/>
      <c r="AA82" s="347" t="s">
        <v>1320</v>
      </c>
      <c r="AB82" s="198">
        <v>810000</v>
      </c>
      <c r="AE82" s="624"/>
      <c r="AF82" s="627"/>
      <c r="AK82" s="205"/>
    </row>
    <row r="83" spans="1:37" ht="30" customHeight="1">
      <c r="A83" s="198">
        <f t="shared" si="23"/>
        <v>78</v>
      </c>
      <c r="B83" s="39">
        <v>2099</v>
      </c>
      <c r="C83" s="198" t="s">
        <v>479</v>
      </c>
      <c r="D83" s="199">
        <v>12000000</v>
      </c>
      <c r="E83" s="199">
        <v>12000000</v>
      </c>
      <c r="F83" s="199">
        <f t="shared" si="24"/>
        <v>0</v>
      </c>
      <c r="G83" s="199">
        <v>500000</v>
      </c>
      <c r="H83" s="199">
        <v>152277</v>
      </c>
      <c r="I83" s="199"/>
      <c r="J83" s="199">
        <v>295121.33</v>
      </c>
      <c r="K83" s="199">
        <f t="shared" si="12"/>
        <v>295121.33</v>
      </c>
      <c r="L83" s="199">
        <f t="shared" si="13"/>
        <v>447398.33</v>
      </c>
      <c r="M83" s="199">
        <f>P83+S83-3000000</f>
        <v>2552601.67</v>
      </c>
      <c r="N83" s="199">
        <v>3000000</v>
      </c>
      <c r="O83" s="199">
        <f t="shared" si="15"/>
        <v>6000000</v>
      </c>
      <c r="P83" s="199">
        <f t="shared" si="16"/>
        <v>52601.669999999984</v>
      </c>
      <c r="Q83" s="199">
        <v>5500000</v>
      </c>
      <c r="R83" s="199"/>
      <c r="S83" s="199">
        <f t="shared" si="25"/>
        <v>5500000</v>
      </c>
      <c r="T83" s="199">
        <f>P83-M83+S83</f>
        <v>3000000</v>
      </c>
      <c r="U83" s="199">
        <f t="shared" si="19"/>
        <v>0</v>
      </c>
      <c r="V83" s="199">
        <f t="shared" si="20"/>
        <v>0</v>
      </c>
      <c r="W83" s="199"/>
      <c r="X83" s="199"/>
      <c r="Y83" s="199"/>
      <c r="Z83" s="198"/>
      <c r="AA83" s="397" t="s">
        <v>847</v>
      </c>
      <c r="AB83" s="198">
        <v>826000</v>
      </c>
      <c r="AE83" s="624"/>
      <c r="AF83" s="627"/>
      <c r="AK83" s="205"/>
    </row>
    <row r="84" spans="1:37" ht="41.4">
      <c r="A84" s="198">
        <f t="shared" si="23"/>
        <v>79</v>
      </c>
      <c r="B84" s="39">
        <v>2101</v>
      </c>
      <c r="C84" s="198" t="s">
        <v>1292</v>
      </c>
      <c r="D84" s="199">
        <v>9850000</v>
      </c>
      <c r="E84" s="199">
        <v>9850000</v>
      </c>
      <c r="F84" s="199">
        <f t="shared" si="24"/>
        <v>0</v>
      </c>
      <c r="G84" s="199">
        <v>0</v>
      </c>
      <c r="H84" s="199">
        <v>0</v>
      </c>
      <c r="I84" s="199"/>
      <c r="J84" s="199"/>
      <c r="K84" s="199">
        <f t="shared" si="12"/>
        <v>0</v>
      </c>
      <c r="L84" s="199">
        <f t="shared" si="13"/>
        <v>0</v>
      </c>
      <c r="M84" s="199">
        <f t="shared" si="14"/>
        <v>0</v>
      </c>
      <c r="N84" s="199">
        <v>1500000</v>
      </c>
      <c r="O84" s="199">
        <f t="shared" si="15"/>
        <v>8350000</v>
      </c>
      <c r="P84" s="199">
        <f t="shared" si="16"/>
        <v>0</v>
      </c>
      <c r="Q84" s="199"/>
      <c r="R84" s="199"/>
      <c r="S84" s="199">
        <f t="shared" si="25"/>
        <v>0</v>
      </c>
      <c r="T84" s="199"/>
      <c r="U84" s="199">
        <f t="shared" si="19"/>
        <v>1500000</v>
      </c>
      <c r="V84" s="199">
        <f t="shared" si="20"/>
        <v>1500000</v>
      </c>
      <c r="W84" s="199"/>
      <c r="X84" s="199"/>
      <c r="Y84" s="199"/>
      <c r="Z84" s="198"/>
      <c r="AA84" s="397" t="s">
        <v>1435</v>
      </c>
      <c r="AB84" s="198">
        <v>840000</v>
      </c>
      <c r="AE84" s="624"/>
      <c r="AF84" s="627"/>
      <c r="AK84" s="205"/>
    </row>
    <row r="85" spans="1:37" ht="30" customHeight="1">
      <c r="A85" s="198">
        <f t="shared" si="23"/>
        <v>80</v>
      </c>
      <c r="B85" s="39">
        <v>2102</v>
      </c>
      <c r="C85" s="198" t="s">
        <v>480</v>
      </c>
      <c r="D85" s="199">
        <v>1750000</v>
      </c>
      <c r="E85" s="199">
        <v>1750000</v>
      </c>
      <c r="F85" s="199">
        <f t="shared" si="24"/>
        <v>0</v>
      </c>
      <c r="G85" s="199">
        <v>150000</v>
      </c>
      <c r="H85" s="199">
        <v>15453</v>
      </c>
      <c r="I85" s="199"/>
      <c r="J85" s="199">
        <v>124222.29</v>
      </c>
      <c r="K85" s="199">
        <f t="shared" si="12"/>
        <v>124222.29</v>
      </c>
      <c r="L85" s="199">
        <f t="shared" si="13"/>
        <v>139675.28999999998</v>
      </c>
      <c r="M85" s="199">
        <f t="shared" si="14"/>
        <v>1610324.71</v>
      </c>
      <c r="N85" s="199"/>
      <c r="O85" s="199">
        <f t="shared" si="15"/>
        <v>0</v>
      </c>
      <c r="P85" s="199">
        <f t="shared" si="16"/>
        <v>10324.710000000021</v>
      </c>
      <c r="Q85" s="199">
        <v>1600000</v>
      </c>
      <c r="R85" s="199"/>
      <c r="S85" s="199">
        <f t="shared" si="25"/>
        <v>1600000</v>
      </c>
      <c r="T85" s="199"/>
      <c r="U85" s="199">
        <f t="shared" si="19"/>
        <v>0</v>
      </c>
      <c r="V85" s="199">
        <f t="shared" si="20"/>
        <v>0</v>
      </c>
      <c r="W85" s="199"/>
      <c r="X85" s="199"/>
      <c r="Y85" s="199"/>
      <c r="Z85" s="198"/>
      <c r="AA85" s="347" t="s">
        <v>850</v>
      </c>
      <c r="AB85" s="198">
        <v>820000</v>
      </c>
      <c r="AE85" s="624"/>
      <c r="AF85" s="627"/>
      <c r="AK85" s="205"/>
    </row>
    <row r="86" spans="1:37" ht="30" customHeight="1">
      <c r="A86" s="198">
        <f t="shared" si="23"/>
        <v>81</v>
      </c>
      <c r="B86" s="39">
        <v>2103</v>
      </c>
      <c r="C86" s="198" t="s">
        <v>589</v>
      </c>
      <c r="D86" s="199">
        <v>2500000</v>
      </c>
      <c r="E86" s="199">
        <v>2500000</v>
      </c>
      <c r="F86" s="199">
        <f t="shared" si="24"/>
        <v>0</v>
      </c>
      <c r="G86" s="199">
        <v>350000</v>
      </c>
      <c r="H86" s="199">
        <v>0</v>
      </c>
      <c r="I86" s="199"/>
      <c r="J86" s="199"/>
      <c r="K86" s="199">
        <f t="shared" si="12"/>
        <v>0</v>
      </c>
      <c r="L86" s="199">
        <f t="shared" si="13"/>
        <v>0</v>
      </c>
      <c r="M86" s="199">
        <f t="shared" si="14"/>
        <v>1000000</v>
      </c>
      <c r="N86" s="199">
        <f>1850000-350000-1000000</f>
        <v>500000</v>
      </c>
      <c r="O86" s="199">
        <f t="shared" si="15"/>
        <v>1000000</v>
      </c>
      <c r="P86" s="199">
        <f t="shared" si="16"/>
        <v>350000</v>
      </c>
      <c r="Q86" s="199">
        <f>2150000-1500000</f>
        <v>650000</v>
      </c>
      <c r="R86" s="199"/>
      <c r="S86" s="199">
        <f t="shared" si="25"/>
        <v>650000</v>
      </c>
      <c r="T86" s="199"/>
      <c r="U86" s="199">
        <f t="shared" si="19"/>
        <v>500000</v>
      </c>
      <c r="V86" s="199"/>
      <c r="W86" s="199">
        <f>U86-V86</f>
        <v>500000</v>
      </c>
      <c r="X86" s="199"/>
      <c r="Y86" s="199"/>
      <c r="Z86" s="198"/>
      <c r="AA86" s="347" t="s">
        <v>852</v>
      </c>
      <c r="AB86" s="198">
        <v>848000</v>
      </c>
      <c r="AE86" s="624"/>
      <c r="AF86" s="627"/>
      <c r="AK86" s="205"/>
    </row>
    <row r="87" spans="1:37" s="5" customFormat="1" ht="30" customHeight="1">
      <c r="A87" s="198">
        <f t="shared" si="23"/>
        <v>82</v>
      </c>
      <c r="B87" s="39">
        <v>2104</v>
      </c>
      <c r="C87" s="3" t="s">
        <v>442</v>
      </c>
      <c r="D87" s="4">
        <v>3500000</v>
      </c>
      <c r="E87" s="4">
        <v>18500000</v>
      </c>
      <c r="F87" s="4">
        <f t="shared" si="24"/>
        <v>-15000000</v>
      </c>
      <c r="G87" s="4">
        <v>0</v>
      </c>
      <c r="H87" s="4">
        <v>0</v>
      </c>
      <c r="I87" s="4"/>
      <c r="J87" s="4"/>
      <c r="K87" s="199">
        <f t="shared" si="12"/>
        <v>0</v>
      </c>
      <c r="L87" s="199">
        <f t="shared" si="13"/>
        <v>0</v>
      </c>
      <c r="M87" s="199">
        <f t="shared" si="14"/>
        <v>0</v>
      </c>
      <c r="N87" s="4">
        <f>3500000-1000000</f>
        <v>2500000</v>
      </c>
      <c r="O87" s="4">
        <f t="shared" si="15"/>
        <v>1000000</v>
      </c>
      <c r="P87" s="199">
        <f t="shared" si="16"/>
        <v>0</v>
      </c>
      <c r="Q87" s="4"/>
      <c r="R87" s="4"/>
      <c r="S87" s="4">
        <f t="shared" ref="S87:S98" si="26">SUM(Q87:R87)</f>
        <v>0</v>
      </c>
      <c r="T87" s="4">
        <f t="shared" ref="T87:T98" si="27">P87-M87+S87</f>
        <v>0</v>
      </c>
      <c r="U87" s="4">
        <f t="shared" si="19"/>
        <v>2500000</v>
      </c>
      <c r="V87" s="4">
        <f t="shared" ref="V87:V105" si="28">U87-Z87-W87-Y87</f>
        <v>2500000</v>
      </c>
      <c r="W87" s="4"/>
      <c r="X87" s="4"/>
      <c r="Y87" s="4"/>
      <c r="Z87" s="3"/>
      <c r="AA87" s="3" t="s">
        <v>873</v>
      </c>
      <c r="AB87" s="3">
        <v>742000</v>
      </c>
      <c r="AC87" s="191"/>
      <c r="AD87" s="191"/>
      <c r="AE87" s="624"/>
      <c r="AF87" s="627"/>
    </row>
    <row r="88" spans="1:37" s="6" customFormat="1" ht="30" customHeight="1">
      <c r="A88" s="198">
        <f t="shared" si="23"/>
        <v>83</v>
      </c>
      <c r="B88" s="39">
        <v>2106</v>
      </c>
      <c r="C88" s="3" t="s">
        <v>868</v>
      </c>
      <c r="D88" s="4">
        <v>15000000</v>
      </c>
      <c r="E88" s="4">
        <v>15000000</v>
      </c>
      <c r="F88" s="4">
        <f t="shared" si="24"/>
        <v>0</v>
      </c>
      <c r="G88" s="4">
        <v>0</v>
      </c>
      <c r="H88" s="4">
        <v>0</v>
      </c>
      <c r="I88" s="4"/>
      <c r="J88" s="4"/>
      <c r="K88" s="199">
        <f t="shared" si="12"/>
        <v>0</v>
      </c>
      <c r="L88" s="199">
        <f t="shared" si="13"/>
        <v>0</v>
      </c>
      <c r="M88" s="199">
        <f t="shared" si="14"/>
        <v>0</v>
      </c>
      <c r="N88" s="4">
        <f>7500000-7500000</f>
        <v>0</v>
      </c>
      <c r="O88" s="4">
        <f t="shared" si="15"/>
        <v>15000000</v>
      </c>
      <c r="P88" s="199">
        <f t="shared" si="16"/>
        <v>0</v>
      </c>
      <c r="Q88" s="4"/>
      <c r="R88" s="4"/>
      <c r="S88" s="4">
        <f t="shared" si="26"/>
        <v>0</v>
      </c>
      <c r="T88" s="4">
        <f t="shared" si="27"/>
        <v>0</v>
      </c>
      <c r="U88" s="4">
        <f t="shared" si="19"/>
        <v>0</v>
      </c>
      <c r="V88" s="4">
        <f t="shared" si="28"/>
        <v>0</v>
      </c>
      <c r="W88" s="4"/>
      <c r="X88" s="4"/>
      <c r="Y88" s="4"/>
      <c r="Z88" s="3"/>
      <c r="AA88" s="3" t="s">
        <v>1327</v>
      </c>
      <c r="AB88" s="3">
        <v>742000</v>
      </c>
      <c r="AC88" s="191"/>
      <c r="AD88" s="191"/>
      <c r="AE88" s="624"/>
      <c r="AF88" s="627"/>
    </row>
    <row r="89" spans="1:37" s="6" customFormat="1" ht="30" customHeight="1">
      <c r="A89" s="198">
        <f t="shared" si="23"/>
        <v>84</v>
      </c>
      <c r="B89" s="39">
        <v>2108</v>
      </c>
      <c r="C89" s="3" t="s">
        <v>444</v>
      </c>
      <c r="D89" s="4">
        <v>14100000</v>
      </c>
      <c r="E89" s="4">
        <v>14100000</v>
      </c>
      <c r="F89" s="4">
        <f t="shared" si="24"/>
        <v>0</v>
      </c>
      <c r="G89" s="4">
        <v>0</v>
      </c>
      <c r="H89" s="4">
        <v>0</v>
      </c>
      <c r="I89" s="4"/>
      <c r="J89" s="4"/>
      <c r="K89" s="4">
        <v>0</v>
      </c>
      <c r="L89" s="4">
        <f t="shared" ref="L89" si="29">H89+K89</f>
        <v>0</v>
      </c>
      <c r="M89" s="4">
        <f t="shared" si="14"/>
        <v>0</v>
      </c>
      <c r="N89" s="4">
        <v>1200000</v>
      </c>
      <c r="O89" s="4">
        <f t="shared" si="15"/>
        <v>12900000</v>
      </c>
      <c r="P89" s="4">
        <f t="shared" si="16"/>
        <v>0</v>
      </c>
      <c r="Q89" s="4"/>
      <c r="R89" s="4"/>
      <c r="S89" s="4">
        <f t="shared" ref="S89" si="30">SUM(Q89:R89)</f>
        <v>0</v>
      </c>
      <c r="T89" s="4">
        <f t="shared" si="27"/>
        <v>0</v>
      </c>
      <c r="U89" s="4">
        <v>1200000</v>
      </c>
      <c r="V89" s="4">
        <f t="shared" si="28"/>
        <v>1200000</v>
      </c>
      <c r="W89" s="4"/>
      <c r="X89" s="4"/>
      <c r="Y89" s="4"/>
      <c r="Z89" s="3"/>
      <c r="AA89" s="325" t="s">
        <v>1321</v>
      </c>
      <c r="AB89" s="3">
        <v>746000</v>
      </c>
      <c r="AC89" s="619"/>
      <c r="AD89" s="52"/>
      <c r="AE89" s="5"/>
      <c r="AF89" s="5"/>
    </row>
    <row r="90" spans="1:37" s="5" customFormat="1" ht="30" customHeight="1">
      <c r="A90" s="198">
        <f t="shared" si="23"/>
        <v>85</v>
      </c>
      <c r="B90" s="39">
        <v>2109</v>
      </c>
      <c r="C90" s="3" t="s">
        <v>445</v>
      </c>
      <c r="D90" s="4">
        <v>2000000</v>
      </c>
      <c r="E90" s="4">
        <v>2000000</v>
      </c>
      <c r="F90" s="4">
        <f t="shared" si="24"/>
        <v>0</v>
      </c>
      <c r="G90" s="4">
        <v>0</v>
      </c>
      <c r="H90" s="4">
        <v>0</v>
      </c>
      <c r="I90" s="4"/>
      <c r="J90" s="4"/>
      <c r="K90" s="4">
        <v>0</v>
      </c>
      <c r="L90" s="4">
        <f t="shared" ref="L90" si="31">H90+K90</f>
        <v>0</v>
      </c>
      <c r="M90" s="4">
        <f t="shared" si="14"/>
        <v>0</v>
      </c>
      <c r="N90" s="4"/>
      <c r="O90" s="4">
        <f t="shared" si="15"/>
        <v>2000000</v>
      </c>
      <c r="P90" s="4">
        <f t="shared" si="16"/>
        <v>0</v>
      </c>
      <c r="Q90" s="4"/>
      <c r="R90" s="4"/>
      <c r="S90" s="4">
        <f t="shared" ref="S90" si="32">SUM(Q90:R90)</f>
        <v>0</v>
      </c>
      <c r="T90" s="4">
        <f t="shared" si="27"/>
        <v>0</v>
      </c>
      <c r="U90" s="4">
        <f t="shared" si="19"/>
        <v>0</v>
      </c>
      <c r="V90" s="4">
        <f t="shared" si="28"/>
        <v>0</v>
      </c>
      <c r="W90" s="4"/>
      <c r="X90" s="4"/>
      <c r="Y90" s="4"/>
      <c r="Z90" s="3"/>
      <c r="AA90" s="3" t="s">
        <v>1322</v>
      </c>
      <c r="AB90" s="3">
        <v>742000</v>
      </c>
      <c r="AC90" s="619"/>
      <c r="AD90" s="52"/>
    </row>
    <row r="91" spans="1:37" s="5" customFormat="1" ht="30" customHeight="1">
      <c r="A91" s="198">
        <f t="shared" si="23"/>
        <v>86</v>
      </c>
      <c r="B91" s="39">
        <v>2110</v>
      </c>
      <c r="C91" s="3" t="s">
        <v>446</v>
      </c>
      <c r="D91" s="4">
        <v>16000000</v>
      </c>
      <c r="E91" s="4">
        <v>16000000</v>
      </c>
      <c r="F91" s="4">
        <f t="shared" si="24"/>
        <v>0</v>
      </c>
      <c r="G91" s="4">
        <v>0</v>
      </c>
      <c r="H91" s="4">
        <v>0</v>
      </c>
      <c r="I91" s="4"/>
      <c r="J91" s="4"/>
      <c r="K91" s="199">
        <f t="shared" si="12"/>
        <v>0</v>
      </c>
      <c r="L91" s="199">
        <f t="shared" si="13"/>
        <v>0</v>
      </c>
      <c r="M91" s="199">
        <f t="shared" si="14"/>
        <v>0</v>
      </c>
      <c r="N91" s="4"/>
      <c r="O91" s="4">
        <f t="shared" si="15"/>
        <v>16000000</v>
      </c>
      <c r="P91" s="199">
        <f t="shared" si="16"/>
        <v>0</v>
      </c>
      <c r="Q91" s="4"/>
      <c r="R91" s="4"/>
      <c r="S91" s="4">
        <f t="shared" si="26"/>
        <v>0</v>
      </c>
      <c r="T91" s="4">
        <f t="shared" si="27"/>
        <v>0</v>
      </c>
      <c r="U91" s="4">
        <f t="shared" si="19"/>
        <v>0</v>
      </c>
      <c r="V91" s="4">
        <f t="shared" si="28"/>
        <v>0</v>
      </c>
      <c r="W91" s="4"/>
      <c r="X91" s="4"/>
      <c r="Y91" s="4"/>
      <c r="Z91" s="3"/>
      <c r="AA91" s="3" t="s">
        <v>882</v>
      </c>
      <c r="AB91" s="3">
        <v>742000</v>
      </c>
      <c r="AC91" s="191"/>
      <c r="AD91" s="191"/>
      <c r="AE91" s="624"/>
      <c r="AF91" s="627"/>
    </row>
    <row r="92" spans="1:37" s="5" customFormat="1" ht="30" customHeight="1">
      <c r="A92" s="198">
        <f t="shared" si="23"/>
        <v>87</v>
      </c>
      <c r="B92" s="39">
        <v>2111</v>
      </c>
      <c r="C92" s="3" t="s">
        <v>447</v>
      </c>
      <c r="D92" s="4">
        <v>10240000</v>
      </c>
      <c r="E92" s="4">
        <v>10240000</v>
      </c>
      <c r="F92" s="4">
        <f t="shared" si="24"/>
        <v>0</v>
      </c>
      <c r="G92" s="4">
        <v>0</v>
      </c>
      <c r="H92" s="4">
        <v>0</v>
      </c>
      <c r="I92" s="4"/>
      <c r="J92" s="4"/>
      <c r="K92" s="4">
        <v>0</v>
      </c>
      <c r="L92" s="4">
        <f t="shared" ref="L92" si="33">H92+K92</f>
        <v>0</v>
      </c>
      <c r="M92" s="4">
        <f t="shared" si="14"/>
        <v>0</v>
      </c>
      <c r="N92" s="4"/>
      <c r="O92" s="4">
        <f t="shared" si="15"/>
        <v>10240000</v>
      </c>
      <c r="P92" s="4">
        <f t="shared" si="16"/>
        <v>0</v>
      </c>
      <c r="Q92" s="4"/>
      <c r="R92" s="4"/>
      <c r="S92" s="4">
        <f t="shared" ref="S92" si="34">SUM(Q92:R92)</f>
        <v>0</v>
      </c>
      <c r="T92" s="4">
        <f t="shared" si="27"/>
        <v>0</v>
      </c>
      <c r="U92" s="4">
        <f t="shared" si="19"/>
        <v>0</v>
      </c>
      <c r="V92" s="4">
        <f t="shared" si="28"/>
        <v>0</v>
      </c>
      <c r="W92" s="4"/>
      <c r="X92" s="4"/>
      <c r="Y92" s="4"/>
      <c r="Z92" s="3"/>
      <c r="AA92" s="325" t="s">
        <v>1323</v>
      </c>
      <c r="AB92" s="3">
        <v>742000</v>
      </c>
      <c r="AC92" s="619"/>
      <c r="AD92" s="52"/>
    </row>
    <row r="93" spans="1:37" s="6" customFormat="1" ht="30" customHeight="1">
      <c r="A93" s="198">
        <f t="shared" si="23"/>
        <v>88</v>
      </c>
      <c r="B93" s="39">
        <v>2115</v>
      </c>
      <c r="C93" s="3" t="s">
        <v>449</v>
      </c>
      <c r="D93" s="4">
        <v>3100000</v>
      </c>
      <c r="E93" s="4">
        <v>3100000</v>
      </c>
      <c r="F93" s="4">
        <f>D93-E93</f>
        <v>0</v>
      </c>
      <c r="G93" s="4">
        <v>500000</v>
      </c>
      <c r="H93" s="4">
        <v>0</v>
      </c>
      <c r="I93" s="4"/>
      <c r="J93" s="4"/>
      <c r="K93" s="199">
        <f>SUM(I93:J93)</f>
        <v>0</v>
      </c>
      <c r="L93" s="199">
        <f>K93+H93</f>
        <v>0</v>
      </c>
      <c r="M93" s="199">
        <f>P93+S93</f>
        <v>500000</v>
      </c>
      <c r="N93" s="4">
        <f>2600000-1100000</f>
        <v>1500000</v>
      </c>
      <c r="O93" s="4">
        <f>D93-L93-M93-N93</f>
        <v>1100000</v>
      </c>
      <c r="P93" s="199">
        <f t="shared" si="16"/>
        <v>500000</v>
      </c>
      <c r="Q93" s="4"/>
      <c r="R93" s="4"/>
      <c r="S93" s="4">
        <f>SUM(Q93:R93)</f>
        <v>0</v>
      </c>
      <c r="T93" s="4">
        <f>P93-M93+S93</f>
        <v>0</v>
      </c>
      <c r="U93" s="4">
        <f>N93-T93</f>
        <v>1500000</v>
      </c>
      <c r="V93" s="4">
        <f>U93-Z93-W93-Y93</f>
        <v>1500000</v>
      </c>
      <c r="W93" s="4"/>
      <c r="X93" s="4"/>
      <c r="Y93" s="4"/>
      <c r="Z93" s="3"/>
      <c r="AA93" s="3" t="s">
        <v>742</v>
      </c>
      <c r="AB93" s="3">
        <v>732000</v>
      </c>
      <c r="AC93" s="191"/>
      <c r="AD93" s="191"/>
      <c r="AE93" s="624"/>
      <c r="AF93" s="627"/>
    </row>
    <row r="94" spans="1:37" s="6" customFormat="1" ht="30" customHeight="1">
      <c r="A94" s="198">
        <f t="shared" si="23"/>
        <v>89</v>
      </c>
      <c r="B94" s="39">
        <v>2118</v>
      </c>
      <c r="C94" s="3" t="s">
        <v>454</v>
      </c>
      <c r="D94" s="4">
        <v>1800000</v>
      </c>
      <c r="E94" s="4">
        <v>1800000</v>
      </c>
      <c r="F94" s="4">
        <f t="shared" ref="F94:F96" si="35">D94-E94</f>
        <v>0</v>
      </c>
      <c r="G94" s="4">
        <v>100000</v>
      </c>
      <c r="H94" s="4">
        <v>0</v>
      </c>
      <c r="I94" s="4"/>
      <c r="J94" s="4"/>
      <c r="K94" s="4">
        <f>SUM(I94:J94)</f>
        <v>0</v>
      </c>
      <c r="L94" s="4">
        <f>H94+K94</f>
        <v>0</v>
      </c>
      <c r="M94" s="4">
        <f>P94+S94</f>
        <v>100000</v>
      </c>
      <c r="N94" s="4">
        <v>1700000</v>
      </c>
      <c r="O94" s="4">
        <f>D94-L94-M94-N94</f>
        <v>0</v>
      </c>
      <c r="P94" s="4">
        <f>G94-L94</f>
        <v>100000</v>
      </c>
      <c r="Q94" s="4"/>
      <c r="R94" s="4"/>
      <c r="S94" s="4">
        <f>SUM(Q94:R94)</f>
        <v>0</v>
      </c>
      <c r="T94" s="4">
        <f>P94-M94+S94</f>
        <v>0</v>
      </c>
      <c r="U94" s="199">
        <f t="shared" ref="U94:U96" si="36">N94-T94</f>
        <v>1700000</v>
      </c>
      <c r="V94" s="4">
        <f t="shared" ref="V94:V96" si="37">U94-Z94-W94-Y94</f>
        <v>1700000</v>
      </c>
      <c r="W94" s="9"/>
      <c r="X94" s="9"/>
      <c r="Y94" s="9"/>
      <c r="Z94" s="9"/>
      <c r="AA94" s="326" t="s">
        <v>1324</v>
      </c>
      <c r="AB94" s="3">
        <v>746000</v>
      </c>
      <c r="AC94" s="191"/>
      <c r="AD94" s="191"/>
    </row>
    <row r="95" spans="1:37" s="5" customFormat="1" ht="30" customHeight="1">
      <c r="A95" s="198">
        <f t="shared" si="23"/>
        <v>90</v>
      </c>
      <c r="B95" s="39">
        <v>2122</v>
      </c>
      <c r="C95" s="3" t="s">
        <v>869</v>
      </c>
      <c r="D95" s="4">
        <v>300000</v>
      </c>
      <c r="E95" s="4">
        <v>300000</v>
      </c>
      <c r="F95" s="4">
        <f t="shared" si="35"/>
        <v>0</v>
      </c>
      <c r="G95" s="4">
        <v>300000</v>
      </c>
      <c r="H95" s="4">
        <v>0</v>
      </c>
      <c r="I95" s="4"/>
      <c r="J95" s="4"/>
      <c r="K95" s="4">
        <f>SUM(I95:J95)</f>
        <v>0</v>
      </c>
      <c r="L95" s="4">
        <f>H95+K95</f>
        <v>0</v>
      </c>
      <c r="M95" s="4">
        <f>P95+S95</f>
        <v>300000</v>
      </c>
      <c r="N95" s="4"/>
      <c r="O95" s="4">
        <f>D95-L95-M95-N95</f>
        <v>0</v>
      </c>
      <c r="P95" s="4">
        <f>G95-L95</f>
        <v>300000</v>
      </c>
      <c r="Q95" s="4"/>
      <c r="R95" s="4"/>
      <c r="S95" s="4"/>
      <c r="T95" s="4"/>
      <c r="U95" s="199">
        <f t="shared" si="36"/>
        <v>0</v>
      </c>
      <c r="V95" s="4">
        <f t="shared" si="37"/>
        <v>0</v>
      </c>
      <c r="W95" s="4"/>
      <c r="X95" s="4"/>
      <c r="Y95" s="4"/>
      <c r="Z95" s="4"/>
      <c r="AA95" s="3" t="s">
        <v>1156</v>
      </c>
      <c r="AB95" s="3">
        <v>742000</v>
      </c>
      <c r="AC95" s="191"/>
      <c r="AD95" s="191"/>
    </row>
    <row r="96" spans="1:37" s="5" customFormat="1" ht="30" customHeight="1">
      <c r="A96" s="198">
        <f t="shared" si="23"/>
        <v>91</v>
      </c>
      <c r="B96" s="39">
        <v>2126</v>
      </c>
      <c r="C96" s="3" t="s">
        <v>1030</v>
      </c>
      <c r="D96" s="4">
        <v>1375000</v>
      </c>
      <c r="E96" s="4">
        <v>1375000</v>
      </c>
      <c r="F96" s="4">
        <f t="shared" si="35"/>
        <v>0</v>
      </c>
      <c r="G96" s="4">
        <v>0</v>
      </c>
      <c r="H96" s="4">
        <v>0</v>
      </c>
      <c r="I96" s="4"/>
      <c r="J96" s="4"/>
      <c r="K96" s="4">
        <f>SUM(I96:J96)</f>
        <v>0</v>
      </c>
      <c r="L96" s="4">
        <f>H96+K96</f>
        <v>0</v>
      </c>
      <c r="M96" s="4">
        <f>P96+S96</f>
        <v>0</v>
      </c>
      <c r="N96" s="4">
        <v>1375000</v>
      </c>
      <c r="O96" s="4">
        <f>D96-L96-M96-N96</f>
        <v>0</v>
      </c>
      <c r="P96" s="4">
        <f>G96-L96</f>
        <v>0</v>
      </c>
      <c r="Q96" s="4"/>
      <c r="R96" s="4"/>
      <c r="S96" s="4">
        <f>SUM(Q96:R96)</f>
        <v>0</v>
      </c>
      <c r="T96" s="4">
        <f>P96-M96+S96</f>
        <v>0</v>
      </c>
      <c r="U96" s="199">
        <f t="shared" si="36"/>
        <v>1375000</v>
      </c>
      <c r="V96" s="4">
        <f t="shared" si="37"/>
        <v>473755</v>
      </c>
      <c r="W96" s="4"/>
      <c r="X96" s="4"/>
      <c r="Y96" s="4"/>
      <c r="Z96" s="4">
        <v>901245</v>
      </c>
      <c r="AA96" s="3" t="s">
        <v>1155</v>
      </c>
      <c r="AB96" s="3">
        <v>742000</v>
      </c>
      <c r="AC96" s="191"/>
      <c r="AD96" s="191"/>
    </row>
    <row r="97" spans="1:37" s="6" customFormat="1" ht="30" customHeight="1">
      <c r="A97" s="198">
        <f t="shared" si="23"/>
        <v>92</v>
      </c>
      <c r="B97" s="39">
        <v>2127</v>
      </c>
      <c r="C97" s="3" t="s">
        <v>1042</v>
      </c>
      <c r="D97" s="4">
        <v>1000000</v>
      </c>
      <c r="E97" s="4">
        <v>1000000</v>
      </c>
      <c r="F97" s="4">
        <f>D97-E97</f>
        <v>0</v>
      </c>
      <c r="G97" s="4">
        <v>250000</v>
      </c>
      <c r="H97" s="4">
        <v>0</v>
      </c>
      <c r="I97" s="4"/>
      <c r="J97" s="4"/>
      <c r="K97" s="199">
        <f>SUM(I97:J97)</f>
        <v>0</v>
      </c>
      <c r="L97" s="199">
        <f>K97+H97</f>
        <v>0</v>
      </c>
      <c r="M97" s="199">
        <f>P97+S97</f>
        <v>1000000</v>
      </c>
      <c r="N97" s="4"/>
      <c r="O97" s="4">
        <f>D97-L97-M97-N97</f>
        <v>0</v>
      </c>
      <c r="P97" s="199">
        <f t="shared" si="16"/>
        <v>250000</v>
      </c>
      <c r="Q97" s="4"/>
      <c r="R97" s="4">
        <v>750000</v>
      </c>
      <c r="S97" s="4">
        <f>SUM(Q97:R97)</f>
        <v>750000</v>
      </c>
      <c r="T97" s="4">
        <f>P97-M97+S97</f>
        <v>0</v>
      </c>
      <c r="U97" s="4">
        <f>N97-T97</f>
        <v>0</v>
      </c>
      <c r="V97" s="4">
        <f>U97-Z97-W97-Y97</f>
        <v>0</v>
      </c>
      <c r="W97" s="4"/>
      <c r="X97" s="4"/>
      <c r="Y97" s="4"/>
      <c r="Z97" s="3"/>
      <c r="AA97" s="3" t="s">
        <v>1462</v>
      </c>
      <c r="AB97" s="3">
        <v>732000</v>
      </c>
      <c r="AC97" s="191"/>
      <c r="AD97" s="191"/>
      <c r="AE97" s="624"/>
      <c r="AF97" s="627"/>
    </row>
    <row r="98" spans="1:37" s="6" customFormat="1" ht="30" customHeight="1">
      <c r="A98" s="198">
        <f t="shared" si="23"/>
        <v>93</v>
      </c>
      <c r="B98" s="39">
        <v>2130</v>
      </c>
      <c r="C98" s="3" t="s">
        <v>1144</v>
      </c>
      <c r="D98" s="4">
        <v>500000</v>
      </c>
      <c r="E98" s="4">
        <v>500000</v>
      </c>
      <c r="F98" s="4">
        <f t="shared" si="24"/>
        <v>0</v>
      </c>
      <c r="G98" s="4">
        <v>0</v>
      </c>
      <c r="H98" s="4">
        <v>0</v>
      </c>
      <c r="I98" s="4"/>
      <c r="J98" s="4"/>
      <c r="K98" s="199">
        <f t="shared" si="12"/>
        <v>0</v>
      </c>
      <c r="L98" s="199">
        <f t="shared" si="13"/>
        <v>0</v>
      </c>
      <c r="M98" s="199">
        <f t="shared" si="14"/>
        <v>500000</v>
      </c>
      <c r="N98" s="4"/>
      <c r="O98" s="4">
        <f t="shared" si="15"/>
        <v>0</v>
      </c>
      <c r="P98" s="199">
        <f t="shared" si="16"/>
        <v>0</v>
      </c>
      <c r="Q98" s="4"/>
      <c r="R98" s="4">
        <v>500000</v>
      </c>
      <c r="S98" s="4">
        <f t="shared" si="26"/>
        <v>500000</v>
      </c>
      <c r="T98" s="4">
        <f t="shared" si="27"/>
        <v>0</v>
      </c>
      <c r="U98" s="4">
        <f t="shared" si="19"/>
        <v>0</v>
      </c>
      <c r="V98" s="4">
        <f t="shared" si="28"/>
        <v>0</v>
      </c>
      <c r="W98" s="4"/>
      <c r="X98" s="4"/>
      <c r="Y98" s="4"/>
      <c r="Z98" s="3"/>
      <c r="AA98" s="3" t="s">
        <v>1438</v>
      </c>
      <c r="AB98" s="3">
        <v>732000</v>
      </c>
      <c r="AC98" s="191"/>
      <c r="AD98" s="191"/>
      <c r="AE98" s="624"/>
      <c r="AF98" s="627"/>
    </row>
    <row r="99" spans="1:37" s="5" customFormat="1" ht="30" customHeight="1">
      <c r="A99" s="198">
        <f t="shared" si="23"/>
        <v>94</v>
      </c>
      <c r="B99" s="39">
        <v>2147</v>
      </c>
      <c r="C99" s="3" t="s">
        <v>1149</v>
      </c>
      <c r="D99" s="4">
        <v>5030000</v>
      </c>
      <c r="E99" s="4"/>
      <c r="F99" s="4">
        <f t="shared" si="24"/>
        <v>5030000</v>
      </c>
      <c r="G99" s="4"/>
      <c r="H99" s="4"/>
      <c r="I99" s="4"/>
      <c r="J99" s="4"/>
      <c r="K99" s="4"/>
      <c r="L99" s="4"/>
      <c r="M99" s="4"/>
      <c r="N99" s="4">
        <f>5030000-1000000</f>
        <v>4030000</v>
      </c>
      <c r="O99" s="4">
        <f t="shared" si="15"/>
        <v>1000000</v>
      </c>
      <c r="P99" s="4"/>
      <c r="Q99" s="4"/>
      <c r="R99" s="4"/>
      <c r="S99" s="4"/>
      <c r="T99" s="4"/>
      <c r="U99" s="199">
        <f t="shared" si="19"/>
        <v>4030000</v>
      </c>
      <c r="V99" s="4">
        <f t="shared" si="28"/>
        <v>4030000</v>
      </c>
      <c r="W99" s="4"/>
      <c r="X99" s="4"/>
      <c r="Y99" s="4"/>
      <c r="Z99" s="4"/>
      <c r="AA99" s="3" t="s">
        <v>1297</v>
      </c>
      <c r="AB99" s="3">
        <v>810000</v>
      </c>
      <c r="AC99" s="191"/>
      <c r="AD99" s="191"/>
    </row>
    <row r="100" spans="1:37" s="5" customFormat="1" ht="30" customHeight="1">
      <c r="A100" s="198">
        <f t="shared" si="23"/>
        <v>95</v>
      </c>
      <c r="B100" s="39">
        <v>2148</v>
      </c>
      <c r="C100" s="3" t="s">
        <v>1150</v>
      </c>
      <c r="D100" s="4">
        <v>1200000</v>
      </c>
      <c r="E100" s="4"/>
      <c r="F100" s="4">
        <f t="shared" si="24"/>
        <v>1200000</v>
      </c>
      <c r="G100" s="4"/>
      <c r="H100" s="4"/>
      <c r="I100" s="4"/>
      <c r="J100" s="4"/>
      <c r="K100" s="4"/>
      <c r="L100" s="4"/>
      <c r="M100" s="4"/>
      <c r="N100" s="4">
        <v>1200000</v>
      </c>
      <c r="O100" s="4">
        <f t="shared" si="15"/>
        <v>0</v>
      </c>
      <c r="P100" s="4"/>
      <c r="Q100" s="4"/>
      <c r="R100" s="4"/>
      <c r="S100" s="4"/>
      <c r="T100" s="4"/>
      <c r="U100" s="199">
        <f t="shared" si="19"/>
        <v>1200000</v>
      </c>
      <c r="V100" s="4">
        <f t="shared" si="28"/>
        <v>1200000</v>
      </c>
      <c r="W100" s="4"/>
      <c r="X100" s="4"/>
      <c r="Y100" s="4"/>
      <c r="Z100" s="4"/>
      <c r="AA100" s="3" t="s">
        <v>1436</v>
      </c>
      <c r="AB100" s="3">
        <v>742000</v>
      </c>
      <c r="AC100" s="191"/>
      <c r="AD100" s="191"/>
    </row>
    <row r="101" spans="1:37" s="5" customFormat="1" ht="30" customHeight="1">
      <c r="A101" s="198">
        <f t="shared" si="23"/>
        <v>96</v>
      </c>
      <c r="B101" s="39">
        <v>2149</v>
      </c>
      <c r="C101" s="3" t="s">
        <v>1151</v>
      </c>
      <c r="D101" s="4">
        <v>30000000</v>
      </c>
      <c r="E101" s="4"/>
      <c r="F101" s="4">
        <f t="shared" si="24"/>
        <v>30000000</v>
      </c>
      <c r="G101" s="4"/>
      <c r="H101" s="4"/>
      <c r="I101" s="4"/>
      <c r="J101" s="4"/>
      <c r="K101" s="4"/>
      <c r="L101" s="4"/>
      <c r="M101" s="4"/>
      <c r="N101" s="4">
        <v>2000000</v>
      </c>
      <c r="O101" s="4">
        <f t="shared" si="15"/>
        <v>28000000</v>
      </c>
      <c r="P101" s="4"/>
      <c r="Q101" s="4"/>
      <c r="R101" s="4"/>
      <c r="S101" s="4"/>
      <c r="T101" s="4"/>
      <c r="U101" s="199">
        <f t="shared" si="19"/>
        <v>2000000</v>
      </c>
      <c r="V101" s="4">
        <f t="shared" si="28"/>
        <v>2000000</v>
      </c>
      <c r="W101" s="4"/>
      <c r="X101" s="4"/>
      <c r="Y101" s="4"/>
      <c r="Z101" s="4"/>
      <c r="AA101" s="3" t="s">
        <v>1491</v>
      </c>
      <c r="AB101" s="3">
        <v>810000</v>
      </c>
      <c r="AC101" s="191"/>
      <c r="AD101" s="191"/>
    </row>
    <row r="102" spans="1:37" s="5" customFormat="1" ht="30" customHeight="1">
      <c r="A102" s="198">
        <f t="shared" si="23"/>
        <v>97</v>
      </c>
      <c r="B102" s="39">
        <v>2150</v>
      </c>
      <c r="C102" s="3" t="s">
        <v>1152</v>
      </c>
      <c r="D102" s="4">
        <v>3500000</v>
      </c>
      <c r="E102" s="4"/>
      <c r="F102" s="4">
        <f t="shared" si="24"/>
        <v>3500000</v>
      </c>
      <c r="G102" s="4"/>
      <c r="H102" s="4"/>
      <c r="I102" s="4"/>
      <c r="J102" s="4"/>
      <c r="K102" s="4"/>
      <c r="L102" s="4"/>
      <c r="M102" s="4"/>
      <c r="N102" s="4">
        <v>3500000</v>
      </c>
      <c r="O102" s="4">
        <f t="shared" si="15"/>
        <v>0</v>
      </c>
      <c r="P102" s="4"/>
      <c r="Q102" s="4"/>
      <c r="R102" s="4"/>
      <c r="S102" s="4"/>
      <c r="T102" s="4"/>
      <c r="U102" s="199">
        <f t="shared" si="19"/>
        <v>3500000</v>
      </c>
      <c r="V102" s="4">
        <f t="shared" si="28"/>
        <v>3500000</v>
      </c>
      <c r="W102" s="4"/>
      <c r="X102" s="4"/>
      <c r="Y102" s="4"/>
      <c r="Z102" s="4"/>
      <c r="AA102" s="41" t="s">
        <v>1463</v>
      </c>
      <c r="AB102" s="3">
        <v>746000</v>
      </c>
      <c r="AC102" s="191"/>
      <c r="AD102" s="191"/>
    </row>
    <row r="103" spans="1:37" s="5" customFormat="1" ht="30" customHeight="1">
      <c r="A103" s="198">
        <f t="shared" si="23"/>
        <v>98</v>
      </c>
      <c r="B103" s="39">
        <v>2151</v>
      </c>
      <c r="C103" s="3" t="s">
        <v>1153</v>
      </c>
      <c r="D103" s="4">
        <v>2000000</v>
      </c>
      <c r="E103" s="4"/>
      <c r="F103" s="4">
        <f t="shared" si="24"/>
        <v>2000000</v>
      </c>
      <c r="G103" s="4"/>
      <c r="H103" s="4"/>
      <c r="I103" s="4"/>
      <c r="J103" s="4"/>
      <c r="K103" s="4"/>
      <c r="L103" s="4"/>
      <c r="M103" s="4"/>
      <c r="N103" s="4">
        <v>2000000</v>
      </c>
      <c r="O103" s="4">
        <f t="shared" si="15"/>
        <v>0</v>
      </c>
      <c r="P103" s="4"/>
      <c r="Q103" s="4"/>
      <c r="R103" s="4"/>
      <c r="S103" s="4"/>
      <c r="T103" s="4"/>
      <c r="U103" s="199">
        <f t="shared" si="19"/>
        <v>2000000</v>
      </c>
      <c r="V103" s="4">
        <f t="shared" si="28"/>
        <v>2000000</v>
      </c>
      <c r="W103" s="4"/>
      <c r="X103" s="4"/>
      <c r="Y103" s="4"/>
      <c r="Z103" s="4"/>
      <c r="AA103" s="39" t="s">
        <v>1437</v>
      </c>
      <c r="AB103" s="3">
        <v>742000</v>
      </c>
      <c r="AC103" s="191"/>
      <c r="AD103" s="191"/>
    </row>
    <row r="104" spans="1:37" s="5" customFormat="1" ht="30" customHeight="1">
      <c r="A104" s="198">
        <f t="shared" si="23"/>
        <v>99</v>
      </c>
      <c r="B104" s="39">
        <v>2152</v>
      </c>
      <c r="C104" s="3" t="s">
        <v>1154</v>
      </c>
      <c r="D104" s="4">
        <v>500000</v>
      </c>
      <c r="E104" s="4"/>
      <c r="F104" s="4">
        <f t="shared" si="24"/>
        <v>500000</v>
      </c>
      <c r="G104" s="4"/>
      <c r="H104" s="4"/>
      <c r="I104" s="4"/>
      <c r="J104" s="4"/>
      <c r="K104" s="4"/>
      <c r="L104" s="4"/>
      <c r="M104" s="4"/>
      <c r="N104" s="4">
        <v>500000</v>
      </c>
      <c r="O104" s="4">
        <f t="shared" si="15"/>
        <v>0</v>
      </c>
      <c r="P104" s="4"/>
      <c r="Q104" s="4"/>
      <c r="R104" s="4"/>
      <c r="S104" s="4"/>
      <c r="T104" s="4"/>
      <c r="U104" s="199">
        <f t="shared" si="19"/>
        <v>500000</v>
      </c>
      <c r="V104" s="4">
        <f t="shared" si="28"/>
        <v>500000</v>
      </c>
      <c r="W104" s="4"/>
      <c r="X104" s="4"/>
      <c r="Y104" s="4"/>
      <c r="Z104" s="4"/>
      <c r="AA104" s="39" t="s">
        <v>1425</v>
      </c>
      <c r="AB104" s="3">
        <v>810000</v>
      </c>
      <c r="AC104" s="191"/>
      <c r="AD104" s="191"/>
    </row>
    <row r="105" spans="1:37" s="5" customFormat="1" ht="30" customHeight="1">
      <c r="A105" s="198">
        <f t="shared" si="23"/>
        <v>100</v>
      </c>
      <c r="B105" s="39">
        <v>2153</v>
      </c>
      <c r="C105" s="3" t="s">
        <v>1298</v>
      </c>
      <c r="D105" s="4">
        <f>500000+500000</f>
        <v>1000000</v>
      </c>
      <c r="E105" s="4"/>
      <c r="F105" s="4">
        <f t="shared" si="24"/>
        <v>1000000</v>
      </c>
      <c r="G105" s="4"/>
      <c r="H105" s="4"/>
      <c r="I105" s="4"/>
      <c r="J105" s="4"/>
      <c r="K105" s="4"/>
      <c r="L105" s="4"/>
      <c r="M105" s="4"/>
      <c r="N105" s="4">
        <f>500000+500000</f>
        <v>1000000</v>
      </c>
      <c r="O105" s="4">
        <f t="shared" si="15"/>
        <v>0</v>
      </c>
      <c r="P105" s="4"/>
      <c r="Q105" s="4"/>
      <c r="R105" s="4"/>
      <c r="S105" s="4"/>
      <c r="T105" s="4"/>
      <c r="U105" s="199">
        <f t="shared" si="19"/>
        <v>1000000</v>
      </c>
      <c r="V105" s="4">
        <f t="shared" si="28"/>
        <v>1000000</v>
      </c>
      <c r="W105" s="4"/>
      <c r="X105" s="4"/>
      <c r="Y105" s="4"/>
      <c r="Z105" s="4"/>
      <c r="AA105" s="39" t="s">
        <v>1492</v>
      </c>
      <c r="AB105" s="3">
        <v>829000</v>
      </c>
      <c r="AC105" s="191"/>
      <c r="AD105" s="191"/>
    </row>
    <row r="106" spans="1:37" s="346" customFormat="1" ht="30" customHeight="1">
      <c r="A106" s="204"/>
      <c r="B106" s="344"/>
      <c r="C106" s="204" t="s">
        <v>279</v>
      </c>
      <c r="D106" s="206">
        <f>SUM(D6:D105)</f>
        <v>1723264125</v>
      </c>
      <c r="E106" s="206">
        <f t="shared" ref="E106:Z106" si="38">SUM(E6:E105)</f>
        <v>1592330125</v>
      </c>
      <c r="F106" s="206">
        <f t="shared" si="38"/>
        <v>130934000</v>
      </c>
      <c r="G106" s="206">
        <f t="shared" si="38"/>
        <v>865322790</v>
      </c>
      <c r="H106" s="206">
        <f t="shared" si="38"/>
        <v>691460832.39999986</v>
      </c>
      <c r="I106" s="206">
        <f t="shared" si="38"/>
        <v>1022340.9400000001</v>
      </c>
      <c r="J106" s="206">
        <f t="shared" si="38"/>
        <v>46002635.810000002</v>
      </c>
      <c r="K106" s="206">
        <f t="shared" si="38"/>
        <v>47024976.750000007</v>
      </c>
      <c r="L106" s="206">
        <f t="shared" si="38"/>
        <v>738485809.15000045</v>
      </c>
      <c r="M106" s="206">
        <f t="shared" si="38"/>
        <v>236677980.84999996</v>
      </c>
      <c r="N106" s="206">
        <f t="shared" si="38"/>
        <v>186332000</v>
      </c>
      <c r="O106" s="206">
        <f t="shared" si="38"/>
        <v>561768335</v>
      </c>
      <c r="P106" s="206">
        <f t="shared" si="38"/>
        <v>126836980.85000004</v>
      </c>
      <c r="Q106" s="206">
        <f t="shared" si="38"/>
        <v>154391000</v>
      </c>
      <c r="R106" s="206">
        <f t="shared" si="38"/>
        <v>3060000</v>
      </c>
      <c r="S106" s="206">
        <f t="shared" si="38"/>
        <v>157451000</v>
      </c>
      <c r="T106" s="206">
        <f t="shared" si="38"/>
        <v>47610000</v>
      </c>
      <c r="U106" s="206">
        <f t="shared" si="38"/>
        <v>138722000</v>
      </c>
      <c r="V106" s="206">
        <f t="shared" si="38"/>
        <v>132490880</v>
      </c>
      <c r="W106" s="206">
        <f t="shared" si="38"/>
        <v>500000</v>
      </c>
      <c r="X106" s="206">
        <f t="shared" si="38"/>
        <v>0</v>
      </c>
      <c r="Y106" s="206">
        <f t="shared" si="38"/>
        <v>0</v>
      </c>
      <c r="Z106" s="206">
        <f t="shared" si="38"/>
        <v>5731120</v>
      </c>
      <c r="AA106" s="206">
        <f>SUM(AA6:AA78)</f>
        <v>0</v>
      </c>
      <c r="AB106" s="206"/>
      <c r="AC106" s="191"/>
      <c r="AD106" s="191"/>
      <c r="AE106" s="624"/>
      <c r="AF106" s="624"/>
      <c r="AG106" s="331"/>
      <c r="AH106" s="331"/>
      <c r="AK106" s="205"/>
    </row>
    <row r="107" spans="1:37" s="346" customFormat="1" ht="30" customHeight="1">
      <c r="A107" s="204"/>
      <c r="B107" s="344"/>
      <c r="C107" s="204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191"/>
      <c r="AD107" s="191"/>
      <c r="AE107" s="345"/>
      <c r="AF107" s="331"/>
      <c r="AG107" s="331"/>
      <c r="AH107" s="331"/>
      <c r="AK107" s="205"/>
    </row>
    <row r="108" spans="1:37" s="346" customFormat="1" ht="30" customHeight="1">
      <c r="A108" s="204"/>
      <c r="B108" s="344"/>
      <c r="C108" s="204" t="s">
        <v>211</v>
      </c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194"/>
      <c r="AB108" s="204"/>
      <c r="AC108" s="191"/>
      <c r="AD108" s="191"/>
      <c r="AE108" s="345"/>
      <c r="AF108" s="331"/>
      <c r="AG108" s="331"/>
      <c r="AH108" s="331"/>
      <c r="AK108" s="205"/>
    </row>
    <row r="109" spans="1:37" s="202" customFormat="1" ht="30" customHeight="1">
      <c r="A109" s="198">
        <f>A105+1</f>
        <v>101</v>
      </c>
      <c r="B109" s="198">
        <v>1547</v>
      </c>
      <c r="C109" s="198" t="s">
        <v>1145</v>
      </c>
      <c r="D109" s="199">
        <v>144000000</v>
      </c>
      <c r="E109" s="199">
        <v>144000000</v>
      </c>
      <c r="F109" s="199">
        <f t="shared" ref="F109:F123" si="39">D109-E109</f>
        <v>0</v>
      </c>
      <c r="G109" s="199">
        <v>102500000</v>
      </c>
      <c r="H109" s="199">
        <v>89461541.560000002</v>
      </c>
      <c r="I109" s="199">
        <v>1052805.8700000001</v>
      </c>
      <c r="J109" s="199">
        <v>1495912.66</v>
      </c>
      <c r="K109" s="199">
        <f>SUM(I109:J109)</f>
        <v>2548718.5300000003</v>
      </c>
      <c r="L109" s="199">
        <f>K109+H109</f>
        <v>92010260.090000004</v>
      </c>
      <c r="M109" s="199">
        <f>P109+S109</f>
        <v>39489739.909999996</v>
      </c>
      <c r="N109" s="199">
        <v>12500000</v>
      </c>
      <c r="O109" s="199">
        <f>D109-L109-M109-N109</f>
        <v>0</v>
      </c>
      <c r="P109" s="199">
        <f>G109-L109</f>
        <v>10489739.909999996</v>
      </c>
      <c r="Q109" s="199">
        <v>29000000</v>
      </c>
      <c r="R109" s="199"/>
      <c r="S109" s="199">
        <f t="shared" ref="S109:S123" si="40">SUM(Q109:R109)</f>
        <v>29000000</v>
      </c>
      <c r="T109" s="199">
        <f>P109-M109+S109</f>
        <v>0</v>
      </c>
      <c r="U109" s="199">
        <f>N109-T109</f>
        <v>12500000</v>
      </c>
      <c r="V109" s="199"/>
      <c r="W109" s="199"/>
      <c r="X109" s="199"/>
      <c r="Y109" s="199">
        <f t="shared" ref="Y109:Y123" si="41">U109-Z109</f>
        <v>2527483</v>
      </c>
      <c r="Z109" s="626">
        <f>38972517-29000000</f>
        <v>9972517</v>
      </c>
      <c r="AA109" s="198" t="s">
        <v>756</v>
      </c>
      <c r="AB109" s="198">
        <v>742000</v>
      </c>
      <c r="AC109" s="191"/>
      <c r="AD109" s="191"/>
      <c r="AF109" s="331"/>
      <c r="AG109" s="331"/>
      <c r="AH109" s="331"/>
      <c r="AK109" s="205"/>
    </row>
    <row r="110" spans="1:37" ht="30" customHeight="1">
      <c r="A110" s="198">
        <f t="shared" ref="A110:A123" si="42">1+A109</f>
        <v>102</v>
      </c>
      <c r="B110" s="340">
        <v>1827</v>
      </c>
      <c r="C110" s="198" t="s">
        <v>1146</v>
      </c>
      <c r="D110" s="199">
        <v>100000000</v>
      </c>
      <c r="E110" s="199">
        <v>100000000</v>
      </c>
      <c r="F110" s="199">
        <f t="shared" si="39"/>
        <v>0</v>
      </c>
      <c r="G110" s="199">
        <v>55268638</v>
      </c>
      <c r="H110" s="199">
        <v>50987035</v>
      </c>
      <c r="I110" s="199"/>
      <c r="J110" s="199">
        <v>984074.35</v>
      </c>
      <c r="K110" s="199">
        <f t="shared" ref="K110:K123" si="43">SUM(I110:J110)</f>
        <v>984074.35</v>
      </c>
      <c r="L110" s="199">
        <f t="shared" ref="L110:L123" si="44">K110+H110</f>
        <v>51971109.350000001</v>
      </c>
      <c r="M110" s="199">
        <f t="shared" ref="M110:M123" si="45">P110+S110</f>
        <v>11297528.649999999</v>
      </c>
      <c r="N110" s="199">
        <v>36731362</v>
      </c>
      <c r="O110" s="199">
        <f t="shared" ref="O110:O123" si="46">D110-L110-M110-N110</f>
        <v>0</v>
      </c>
      <c r="P110" s="199">
        <f t="shared" ref="P110:P123" si="47">G110-L110</f>
        <v>3297528.6499999985</v>
      </c>
      <c r="Q110" s="199">
        <v>8000000</v>
      </c>
      <c r="R110" s="199"/>
      <c r="S110" s="199">
        <f t="shared" si="40"/>
        <v>8000000</v>
      </c>
      <c r="T110" s="199">
        <f t="shared" ref="T110:T123" si="48">P110-M110+S110</f>
        <v>0</v>
      </c>
      <c r="U110" s="199">
        <f t="shared" ref="U110:U123" si="49">N110-T110</f>
        <v>36731362</v>
      </c>
      <c r="V110" s="199"/>
      <c r="W110" s="199"/>
      <c r="X110" s="199"/>
      <c r="Y110" s="199">
        <f t="shared" si="41"/>
        <v>0</v>
      </c>
      <c r="Z110" s="199">
        <f>70000000-33268638</f>
        <v>36731362</v>
      </c>
      <c r="AA110" s="198" t="s">
        <v>756</v>
      </c>
      <c r="AB110" s="198">
        <v>746000</v>
      </c>
      <c r="AE110" s="210"/>
      <c r="AK110" s="205"/>
    </row>
    <row r="111" spans="1:37" s="202" customFormat="1" ht="30" customHeight="1">
      <c r="A111" s="198">
        <f t="shared" si="42"/>
        <v>103</v>
      </c>
      <c r="B111" s="198">
        <v>1905</v>
      </c>
      <c r="C111" s="198" t="s">
        <v>155</v>
      </c>
      <c r="D111" s="199">
        <v>3366000</v>
      </c>
      <c r="E111" s="199">
        <v>3366000</v>
      </c>
      <c r="F111" s="199">
        <f t="shared" si="39"/>
        <v>0</v>
      </c>
      <c r="G111" s="199">
        <v>3366000</v>
      </c>
      <c r="H111" s="199">
        <v>0</v>
      </c>
      <c r="I111" s="199"/>
      <c r="J111" s="199"/>
      <c r="K111" s="199">
        <f t="shared" si="43"/>
        <v>0</v>
      </c>
      <c r="L111" s="199">
        <f t="shared" si="44"/>
        <v>0</v>
      </c>
      <c r="M111" s="199">
        <f t="shared" si="45"/>
        <v>3366000</v>
      </c>
      <c r="N111" s="199"/>
      <c r="O111" s="199">
        <f t="shared" si="46"/>
        <v>0</v>
      </c>
      <c r="P111" s="199">
        <f t="shared" si="47"/>
        <v>3366000</v>
      </c>
      <c r="Q111" s="199"/>
      <c r="R111" s="199"/>
      <c r="S111" s="199">
        <f t="shared" si="40"/>
        <v>0</v>
      </c>
      <c r="T111" s="199">
        <f t="shared" si="48"/>
        <v>0</v>
      </c>
      <c r="U111" s="199">
        <f t="shared" si="49"/>
        <v>0</v>
      </c>
      <c r="V111" s="199"/>
      <c r="W111" s="199"/>
      <c r="X111" s="199"/>
      <c r="Y111" s="199">
        <f t="shared" si="41"/>
        <v>0</v>
      </c>
      <c r="Z111" s="199"/>
      <c r="AA111" s="198" t="s">
        <v>765</v>
      </c>
      <c r="AB111" s="198">
        <v>746000</v>
      </c>
      <c r="AC111" s="191"/>
      <c r="AD111" s="191"/>
      <c r="AF111" s="331"/>
      <c r="AG111" s="331"/>
      <c r="AH111" s="331"/>
    </row>
    <row r="112" spans="1:37" s="202" customFormat="1" ht="30" customHeight="1">
      <c r="A112" s="198">
        <f t="shared" si="42"/>
        <v>104</v>
      </c>
      <c r="B112" s="198">
        <v>1906</v>
      </c>
      <c r="C112" s="198" t="s">
        <v>336</v>
      </c>
      <c r="D112" s="199">
        <f>10000000-291156</f>
        <v>9708844</v>
      </c>
      <c r="E112" s="199">
        <v>10000000</v>
      </c>
      <c r="F112" s="199">
        <f t="shared" si="39"/>
        <v>-291156</v>
      </c>
      <c r="G112" s="199">
        <v>9708844</v>
      </c>
      <c r="H112" s="199">
        <v>9224905.7799999993</v>
      </c>
      <c r="I112" s="199"/>
      <c r="J112" s="199">
        <v>422602.59</v>
      </c>
      <c r="K112" s="199">
        <f t="shared" si="43"/>
        <v>422602.59</v>
      </c>
      <c r="L112" s="199">
        <f t="shared" si="44"/>
        <v>9647508.3699999992</v>
      </c>
      <c r="M112" s="199">
        <f t="shared" si="45"/>
        <v>61335.63000000082</v>
      </c>
      <c r="N112" s="199"/>
      <c r="O112" s="199">
        <f t="shared" si="46"/>
        <v>0</v>
      </c>
      <c r="P112" s="199">
        <f t="shared" si="47"/>
        <v>61335.63000000082</v>
      </c>
      <c r="Q112" s="199"/>
      <c r="R112" s="199"/>
      <c r="S112" s="199">
        <f t="shared" si="40"/>
        <v>0</v>
      </c>
      <c r="T112" s="199">
        <f t="shared" si="48"/>
        <v>0</v>
      </c>
      <c r="U112" s="199">
        <f t="shared" si="49"/>
        <v>0</v>
      </c>
      <c r="V112" s="199"/>
      <c r="W112" s="199"/>
      <c r="X112" s="199"/>
      <c r="Y112" s="199">
        <f t="shared" si="41"/>
        <v>0</v>
      </c>
      <c r="Z112" s="198"/>
      <c r="AA112" s="198"/>
      <c r="AB112" s="198">
        <v>810000</v>
      </c>
      <c r="AC112" s="191"/>
      <c r="AD112" s="191"/>
      <c r="AF112" s="331"/>
      <c r="AG112" s="331"/>
      <c r="AH112" s="331"/>
    </row>
    <row r="113" spans="1:37" s="202" customFormat="1" ht="30" customHeight="1">
      <c r="A113" s="198">
        <f t="shared" si="42"/>
        <v>105</v>
      </c>
      <c r="B113" s="198">
        <v>1907</v>
      </c>
      <c r="C113" s="198" t="s">
        <v>154</v>
      </c>
      <c r="D113" s="199">
        <f>10000000-291156</f>
        <v>9708844</v>
      </c>
      <c r="E113" s="199">
        <v>10000000</v>
      </c>
      <c r="F113" s="199">
        <f t="shared" si="39"/>
        <v>-291156</v>
      </c>
      <c r="G113" s="199">
        <v>9708844</v>
      </c>
      <c r="H113" s="199">
        <v>8237288.5</v>
      </c>
      <c r="I113" s="199"/>
      <c r="J113" s="199">
        <v>1303229.23</v>
      </c>
      <c r="K113" s="199">
        <f t="shared" si="43"/>
        <v>1303229.23</v>
      </c>
      <c r="L113" s="199">
        <f t="shared" si="44"/>
        <v>9540517.7300000004</v>
      </c>
      <c r="M113" s="199">
        <f t="shared" si="45"/>
        <v>168326.26999999955</v>
      </c>
      <c r="N113" s="199"/>
      <c r="O113" s="199">
        <f t="shared" si="46"/>
        <v>0</v>
      </c>
      <c r="P113" s="199">
        <f t="shared" si="47"/>
        <v>168326.26999999955</v>
      </c>
      <c r="Q113" s="199"/>
      <c r="R113" s="199"/>
      <c r="S113" s="199">
        <f t="shared" si="40"/>
        <v>0</v>
      </c>
      <c r="T113" s="199">
        <f t="shared" si="48"/>
        <v>0</v>
      </c>
      <c r="U113" s="199">
        <f t="shared" si="49"/>
        <v>0</v>
      </c>
      <c r="V113" s="199"/>
      <c r="W113" s="199"/>
      <c r="X113" s="199"/>
      <c r="Y113" s="199">
        <f t="shared" si="41"/>
        <v>0</v>
      </c>
      <c r="Z113" s="198"/>
      <c r="AA113" s="198"/>
      <c r="AB113" s="198">
        <v>810000</v>
      </c>
      <c r="AC113" s="191"/>
      <c r="AD113" s="191"/>
      <c r="AF113" s="331"/>
      <c r="AG113" s="331"/>
      <c r="AH113" s="331"/>
    </row>
    <row r="114" spans="1:37" s="202" customFormat="1" ht="30" customHeight="1">
      <c r="A114" s="198">
        <f t="shared" si="42"/>
        <v>106</v>
      </c>
      <c r="B114" s="198">
        <v>1908</v>
      </c>
      <c r="C114" s="198" t="s">
        <v>185</v>
      </c>
      <c r="D114" s="199">
        <v>19080000</v>
      </c>
      <c r="E114" s="199">
        <v>16900000</v>
      </c>
      <c r="F114" s="199">
        <f t="shared" si="39"/>
        <v>2180000</v>
      </c>
      <c r="G114" s="199">
        <v>10943329</v>
      </c>
      <c r="H114" s="199">
        <v>307961</v>
      </c>
      <c r="I114" s="199"/>
      <c r="J114" s="199">
        <v>95657.37</v>
      </c>
      <c r="K114" s="199">
        <f t="shared" si="43"/>
        <v>95657.37</v>
      </c>
      <c r="L114" s="199">
        <f t="shared" si="44"/>
        <v>403618.37</v>
      </c>
      <c r="M114" s="199">
        <f t="shared" si="45"/>
        <v>10539710.630000001</v>
      </c>
      <c r="N114" s="199">
        <v>8136671</v>
      </c>
      <c r="O114" s="199">
        <f t="shared" si="46"/>
        <v>0</v>
      </c>
      <c r="P114" s="199">
        <f t="shared" si="47"/>
        <v>10539710.630000001</v>
      </c>
      <c r="Q114" s="199"/>
      <c r="R114" s="199"/>
      <c r="S114" s="199">
        <f t="shared" si="40"/>
        <v>0</v>
      </c>
      <c r="T114" s="199">
        <f t="shared" si="48"/>
        <v>0</v>
      </c>
      <c r="U114" s="199">
        <f t="shared" si="49"/>
        <v>8136671</v>
      </c>
      <c r="V114" s="199"/>
      <c r="W114" s="199"/>
      <c r="X114" s="199"/>
      <c r="Y114" s="199">
        <f t="shared" si="41"/>
        <v>6736671</v>
      </c>
      <c r="Z114" s="199">
        <f>(128*4750+92000)*2</f>
        <v>1400000</v>
      </c>
      <c r="AA114" s="339" t="s">
        <v>1464</v>
      </c>
      <c r="AB114" s="198">
        <v>810000</v>
      </c>
      <c r="AC114" s="191"/>
      <c r="AD114" s="191"/>
      <c r="AF114" s="331"/>
      <c r="AG114" s="331"/>
      <c r="AH114" s="331"/>
    </row>
    <row r="115" spans="1:37" ht="30" customHeight="1">
      <c r="A115" s="198">
        <f t="shared" si="42"/>
        <v>107</v>
      </c>
      <c r="B115" s="340">
        <v>1909</v>
      </c>
      <c r="C115" s="198" t="s">
        <v>1325</v>
      </c>
      <c r="D115" s="199">
        <v>184500000</v>
      </c>
      <c r="E115" s="199">
        <v>147000000</v>
      </c>
      <c r="F115" s="199">
        <f t="shared" si="39"/>
        <v>37500000</v>
      </c>
      <c r="G115" s="199">
        <v>1650000</v>
      </c>
      <c r="H115" s="199">
        <v>1083363</v>
      </c>
      <c r="I115" s="199"/>
      <c r="J115" s="199">
        <v>566633.36</v>
      </c>
      <c r="K115" s="199">
        <f t="shared" si="43"/>
        <v>566633.36</v>
      </c>
      <c r="L115" s="199">
        <f t="shared" si="44"/>
        <v>1649996.3599999999</v>
      </c>
      <c r="M115" s="199">
        <f>P115+S115</f>
        <v>3.6400000001303852</v>
      </c>
      <c r="N115" s="199">
        <f>90000000-32000000-2500000</f>
        <v>55500000</v>
      </c>
      <c r="O115" s="199">
        <f t="shared" si="46"/>
        <v>127350000</v>
      </c>
      <c r="P115" s="199">
        <f t="shared" si="47"/>
        <v>3.6400000001303852</v>
      </c>
      <c r="Q115" s="199"/>
      <c r="R115" s="199"/>
      <c r="S115" s="199">
        <f t="shared" si="40"/>
        <v>0</v>
      </c>
      <c r="T115" s="199">
        <f t="shared" si="48"/>
        <v>0</v>
      </c>
      <c r="U115" s="199">
        <f t="shared" si="49"/>
        <v>55500000</v>
      </c>
      <c r="V115" s="199"/>
      <c r="W115" s="199"/>
      <c r="X115" s="199"/>
      <c r="Y115" s="199">
        <f t="shared" si="41"/>
        <v>40000000</v>
      </c>
      <c r="Z115" s="199">
        <f>12000000+5*700000</f>
        <v>15500000</v>
      </c>
      <c r="AA115" s="341" t="s">
        <v>1233</v>
      </c>
      <c r="AB115" s="198">
        <v>810000</v>
      </c>
      <c r="AE115" s="210"/>
    </row>
    <row r="116" spans="1:37" ht="30" customHeight="1">
      <c r="A116" s="198">
        <f t="shared" si="42"/>
        <v>108</v>
      </c>
      <c r="B116" s="340">
        <v>1911</v>
      </c>
      <c r="C116" s="198" t="s">
        <v>482</v>
      </c>
      <c r="D116" s="199">
        <f>29050000</f>
        <v>29050000</v>
      </c>
      <c r="E116" s="199">
        <v>27500000</v>
      </c>
      <c r="F116" s="199">
        <f t="shared" si="39"/>
        <v>1550000</v>
      </c>
      <c r="G116" s="199">
        <v>9182067</v>
      </c>
      <c r="H116" s="199">
        <v>319718</v>
      </c>
      <c r="I116" s="199"/>
      <c r="J116" s="199">
        <v>819544.96</v>
      </c>
      <c r="K116" s="199">
        <f t="shared" si="43"/>
        <v>819544.96</v>
      </c>
      <c r="L116" s="199">
        <f t="shared" si="44"/>
        <v>1139262.96</v>
      </c>
      <c r="M116" s="199">
        <f>P116+S116</f>
        <v>8042804.04</v>
      </c>
      <c r="N116" s="199"/>
      <c r="O116" s="199">
        <f t="shared" si="46"/>
        <v>19867933</v>
      </c>
      <c r="P116" s="199">
        <f t="shared" si="47"/>
        <v>8042804.04</v>
      </c>
      <c r="Q116" s="199"/>
      <c r="R116" s="199"/>
      <c r="S116" s="199">
        <f t="shared" si="40"/>
        <v>0</v>
      </c>
      <c r="T116" s="199">
        <f t="shared" si="48"/>
        <v>0</v>
      </c>
      <c r="U116" s="199">
        <f t="shared" si="49"/>
        <v>0</v>
      </c>
      <c r="V116" s="199">
        <f t="shared" ref="V116:V123" si="50">U116-Y116-X116-Z116</f>
        <v>0</v>
      </c>
      <c r="W116" s="199"/>
      <c r="X116" s="199"/>
      <c r="Y116" s="199">
        <f t="shared" si="41"/>
        <v>0</v>
      </c>
      <c r="Z116" s="198"/>
      <c r="AA116" s="341" t="s">
        <v>1147</v>
      </c>
      <c r="AB116" s="198">
        <v>810000</v>
      </c>
      <c r="AE116" s="210"/>
      <c r="AK116" s="205"/>
    </row>
    <row r="117" spans="1:37" ht="30" customHeight="1">
      <c r="A117" s="198">
        <f t="shared" si="42"/>
        <v>109</v>
      </c>
      <c r="B117" s="340">
        <v>1912</v>
      </c>
      <c r="C117" s="198" t="s">
        <v>1148</v>
      </c>
      <c r="D117" s="199">
        <v>310000000</v>
      </c>
      <c r="E117" s="199">
        <v>310000000</v>
      </c>
      <c r="F117" s="199">
        <f t="shared" si="39"/>
        <v>0</v>
      </c>
      <c r="G117" s="199">
        <v>5000000</v>
      </c>
      <c r="H117" s="199">
        <v>1698890</v>
      </c>
      <c r="I117" s="199"/>
      <c r="J117" s="199">
        <v>749796.72</v>
      </c>
      <c r="K117" s="199">
        <f t="shared" si="43"/>
        <v>749796.72</v>
      </c>
      <c r="L117" s="199">
        <f t="shared" si="44"/>
        <v>2448686.7199999997</v>
      </c>
      <c r="M117" s="199">
        <f t="shared" si="45"/>
        <v>2551313.2800000003</v>
      </c>
      <c r="N117" s="199">
        <f>85000000-32000000-2500000</f>
        <v>50500000</v>
      </c>
      <c r="O117" s="199">
        <f t="shared" si="46"/>
        <v>254500000</v>
      </c>
      <c r="P117" s="199">
        <f t="shared" si="47"/>
        <v>2551313.2800000003</v>
      </c>
      <c r="Q117" s="199"/>
      <c r="R117" s="199"/>
      <c r="S117" s="199">
        <f t="shared" si="40"/>
        <v>0</v>
      </c>
      <c r="T117" s="199">
        <f t="shared" si="48"/>
        <v>0</v>
      </c>
      <c r="U117" s="199">
        <f t="shared" si="49"/>
        <v>50500000</v>
      </c>
      <c r="V117" s="199">
        <f t="shared" si="50"/>
        <v>0</v>
      </c>
      <c r="W117" s="199"/>
      <c r="X117" s="199"/>
      <c r="Y117" s="199">
        <f t="shared" si="41"/>
        <v>38500000</v>
      </c>
      <c r="Z117" s="199">
        <v>12000000</v>
      </c>
      <c r="AA117" s="341" t="s">
        <v>1232</v>
      </c>
      <c r="AB117" s="198">
        <v>810000</v>
      </c>
      <c r="AE117" s="210"/>
      <c r="AK117" s="205"/>
    </row>
    <row r="118" spans="1:37" ht="30" customHeight="1">
      <c r="A118" s="198">
        <f t="shared" si="42"/>
        <v>110</v>
      </c>
      <c r="B118" s="340">
        <v>1914</v>
      </c>
      <c r="C118" s="198" t="s">
        <v>184</v>
      </c>
      <c r="D118" s="199">
        <v>8100000</v>
      </c>
      <c r="E118" s="199">
        <v>7700000</v>
      </c>
      <c r="F118" s="199">
        <f t="shared" si="39"/>
        <v>400000</v>
      </c>
      <c r="G118" s="199">
        <v>1300000</v>
      </c>
      <c r="H118" s="199">
        <v>164878</v>
      </c>
      <c r="I118" s="199"/>
      <c r="J118" s="199">
        <v>33558.85</v>
      </c>
      <c r="K118" s="199">
        <f t="shared" si="43"/>
        <v>33558.85</v>
      </c>
      <c r="L118" s="199">
        <f t="shared" si="44"/>
        <v>198436.85</v>
      </c>
      <c r="M118" s="199">
        <f>P118+S118</f>
        <v>1101563.1499999999</v>
      </c>
      <c r="N118" s="199">
        <v>6800000</v>
      </c>
      <c r="O118" s="199">
        <f t="shared" si="46"/>
        <v>0</v>
      </c>
      <c r="P118" s="199">
        <f t="shared" si="47"/>
        <v>1101563.1499999999</v>
      </c>
      <c r="Q118" s="199"/>
      <c r="R118" s="199"/>
      <c r="S118" s="199">
        <f t="shared" si="40"/>
        <v>0</v>
      </c>
      <c r="T118" s="199">
        <f t="shared" si="48"/>
        <v>0</v>
      </c>
      <c r="U118" s="199">
        <f t="shared" si="49"/>
        <v>6800000</v>
      </c>
      <c r="V118" s="199">
        <f t="shared" si="50"/>
        <v>0</v>
      </c>
      <c r="W118" s="199"/>
      <c r="X118" s="199"/>
      <c r="Y118" s="199">
        <f t="shared" si="41"/>
        <v>6800000</v>
      </c>
      <c r="Z118" s="198"/>
      <c r="AA118" s="703" t="s">
        <v>1465</v>
      </c>
      <c r="AB118" s="198">
        <v>810000</v>
      </c>
      <c r="AE118" s="210"/>
    </row>
    <row r="119" spans="1:37" ht="30" customHeight="1">
      <c r="A119" s="198">
        <f t="shared" si="42"/>
        <v>111</v>
      </c>
      <c r="B119" s="340">
        <v>1919</v>
      </c>
      <c r="C119" s="198" t="s">
        <v>161</v>
      </c>
      <c r="D119" s="199">
        <v>135100000</v>
      </c>
      <c r="E119" s="199">
        <v>135100000</v>
      </c>
      <c r="F119" s="199">
        <f t="shared" si="39"/>
        <v>0</v>
      </c>
      <c r="G119" s="199">
        <v>40098527</v>
      </c>
      <c r="H119" s="199">
        <v>29982470.539999999</v>
      </c>
      <c r="I119" s="199"/>
      <c r="J119" s="199">
        <v>1356715.84</v>
      </c>
      <c r="K119" s="199">
        <f t="shared" si="43"/>
        <v>1356715.84</v>
      </c>
      <c r="L119" s="199">
        <f t="shared" si="44"/>
        <v>31339186.379999999</v>
      </c>
      <c r="M119" s="199">
        <f t="shared" si="45"/>
        <v>9265591.620000001</v>
      </c>
      <c r="N119" s="199"/>
      <c r="O119" s="199">
        <f t="shared" si="46"/>
        <v>94495222</v>
      </c>
      <c r="P119" s="199">
        <f t="shared" si="47"/>
        <v>8759340.620000001</v>
      </c>
      <c r="Q119" s="199">
        <v>506251</v>
      </c>
      <c r="R119" s="199"/>
      <c r="S119" s="199">
        <f t="shared" si="40"/>
        <v>506251</v>
      </c>
      <c r="T119" s="199">
        <f t="shared" si="48"/>
        <v>0</v>
      </c>
      <c r="U119" s="199">
        <f t="shared" si="49"/>
        <v>0</v>
      </c>
      <c r="V119" s="199">
        <f t="shared" si="50"/>
        <v>0</v>
      </c>
      <c r="W119" s="199"/>
      <c r="X119" s="199"/>
      <c r="Y119" s="199">
        <f t="shared" si="41"/>
        <v>-1170797</v>
      </c>
      <c r="Z119" s="199">
        <v>1170797</v>
      </c>
      <c r="AA119" s="198" t="s">
        <v>1284</v>
      </c>
      <c r="AB119" s="198">
        <v>742000</v>
      </c>
      <c r="AE119" s="210"/>
      <c r="AK119" s="192"/>
    </row>
    <row r="120" spans="1:37" ht="30" customHeight="1">
      <c r="A120" s="198">
        <f t="shared" si="42"/>
        <v>112</v>
      </c>
      <c r="B120" s="340">
        <v>1960</v>
      </c>
      <c r="C120" s="198" t="s">
        <v>485</v>
      </c>
      <c r="D120" s="199">
        <f>7890000+16820000</f>
        <v>24710000</v>
      </c>
      <c r="E120" s="199">
        <v>22300000</v>
      </c>
      <c r="F120" s="199">
        <f t="shared" si="39"/>
        <v>2410000</v>
      </c>
      <c r="G120" s="199">
        <v>750000</v>
      </c>
      <c r="H120" s="199">
        <v>230552</v>
      </c>
      <c r="I120" s="199"/>
      <c r="J120" s="199">
        <v>60315.839999999997</v>
      </c>
      <c r="K120" s="199">
        <f t="shared" si="43"/>
        <v>60315.839999999997</v>
      </c>
      <c r="L120" s="199">
        <f t="shared" si="44"/>
        <v>290867.83999999997</v>
      </c>
      <c r="M120" s="199">
        <f t="shared" si="45"/>
        <v>459132.16000000003</v>
      </c>
      <c r="N120" s="199">
        <v>23960000</v>
      </c>
      <c r="O120" s="199">
        <f t="shared" si="46"/>
        <v>0</v>
      </c>
      <c r="P120" s="199">
        <f t="shared" si="47"/>
        <v>459132.16000000003</v>
      </c>
      <c r="Q120" s="199"/>
      <c r="R120" s="199"/>
      <c r="S120" s="199">
        <f t="shared" si="40"/>
        <v>0</v>
      </c>
      <c r="T120" s="199">
        <f t="shared" si="48"/>
        <v>0</v>
      </c>
      <c r="U120" s="199">
        <f t="shared" si="49"/>
        <v>23960000</v>
      </c>
      <c r="V120" s="199">
        <f t="shared" si="50"/>
        <v>0</v>
      </c>
      <c r="W120" s="199"/>
      <c r="X120" s="199"/>
      <c r="Y120" s="199">
        <f t="shared" si="41"/>
        <v>5040000</v>
      </c>
      <c r="Z120" s="199">
        <f>16820000+700000*3</f>
        <v>18920000</v>
      </c>
      <c r="AA120" s="341" t="s">
        <v>1493</v>
      </c>
      <c r="AB120" s="198">
        <v>810000</v>
      </c>
      <c r="AE120" s="210"/>
      <c r="AK120" s="205"/>
    </row>
    <row r="121" spans="1:37" ht="30" customHeight="1">
      <c r="A121" s="198">
        <f t="shared" si="42"/>
        <v>113</v>
      </c>
      <c r="B121" s="340">
        <v>1961</v>
      </c>
      <c r="C121" s="198" t="s">
        <v>206</v>
      </c>
      <c r="D121" s="199">
        <v>128000000</v>
      </c>
      <c r="E121" s="199">
        <v>3000000</v>
      </c>
      <c r="F121" s="199">
        <f t="shared" si="39"/>
        <v>125000000</v>
      </c>
      <c r="G121" s="199">
        <v>1500000</v>
      </c>
      <c r="H121" s="199">
        <v>0</v>
      </c>
      <c r="I121" s="199"/>
      <c r="J121" s="199"/>
      <c r="K121" s="199">
        <f t="shared" si="43"/>
        <v>0</v>
      </c>
      <c r="L121" s="199">
        <f t="shared" si="44"/>
        <v>0</v>
      </c>
      <c r="M121" s="199">
        <f>P121+S121-1500000</f>
        <v>0</v>
      </c>
      <c r="N121" s="199">
        <f>12000000-7500000</f>
        <v>4500000</v>
      </c>
      <c r="O121" s="199">
        <f t="shared" si="46"/>
        <v>123500000</v>
      </c>
      <c r="P121" s="199">
        <f t="shared" si="47"/>
        <v>1500000</v>
      </c>
      <c r="Q121" s="199"/>
      <c r="R121" s="199"/>
      <c r="S121" s="199">
        <f t="shared" si="40"/>
        <v>0</v>
      </c>
      <c r="T121" s="199">
        <f t="shared" si="48"/>
        <v>1500000</v>
      </c>
      <c r="U121" s="199">
        <f t="shared" si="49"/>
        <v>3000000</v>
      </c>
      <c r="V121" s="199">
        <v>3000000</v>
      </c>
      <c r="W121" s="199"/>
      <c r="X121" s="199"/>
      <c r="Y121" s="199">
        <f>U121-Z121-V121</f>
        <v>0</v>
      </c>
      <c r="Z121" s="198"/>
      <c r="AA121" s="441" t="s">
        <v>1466</v>
      </c>
      <c r="AB121" s="198">
        <v>742000</v>
      </c>
      <c r="AE121" s="210"/>
      <c r="AK121" s="205"/>
    </row>
    <row r="122" spans="1:37" ht="30" customHeight="1">
      <c r="A122" s="198">
        <f t="shared" si="42"/>
        <v>114</v>
      </c>
      <c r="B122" s="340">
        <v>1962</v>
      </c>
      <c r="C122" s="198" t="s">
        <v>207</v>
      </c>
      <c r="D122" s="199">
        <v>20000000</v>
      </c>
      <c r="E122" s="199">
        <v>20000000</v>
      </c>
      <c r="F122" s="199">
        <f t="shared" si="39"/>
        <v>0</v>
      </c>
      <c r="G122" s="199">
        <v>1000000</v>
      </c>
      <c r="H122" s="199">
        <v>0</v>
      </c>
      <c r="I122" s="199"/>
      <c r="J122" s="199"/>
      <c r="K122" s="199">
        <f t="shared" si="43"/>
        <v>0</v>
      </c>
      <c r="L122" s="199">
        <f t="shared" si="44"/>
        <v>0</v>
      </c>
      <c r="M122" s="199">
        <f t="shared" si="45"/>
        <v>1000000</v>
      </c>
      <c r="N122" s="199">
        <v>1000000</v>
      </c>
      <c r="O122" s="199">
        <f t="shared" si="46"/>
        <v>18000000</v>
      </c>
      <c r="P122" s="199">
        <f t="shared" si="47"/>
        <v>1000000</v>
      </c>
      <c r="Q122" s="199"/>
      <c r="R122" s="199"/>
      <c r="S122" s="199">
        <f t="shared" si="40"/>
        <v>0</v>
      </c>
      <c r="T122" s="199">
        <f t="shared" si="48"/>
        <v>0</v>
      </c>
      <c r="U122" s="199">
        <f t="shared" si="49"/>
        <v>1000000</v>
      </c>
      <c r="V122" s="199">
        <f t="shared" si="50"/>
        <v>0</v>
      </c>
      <c r="W122" s="199"/>
      <c r="X122" s="199"/>
      <c r="Y122" s="199">
        <f t="shared" si="41"/>
        <v>1000000</v>
      </c>
      <c r="Z122" s="198"/>
      <c r="AA122" s="341"/>
      <c r="AB122" s="198">
        <v>742000</v>
      </c>
      <c r="AE122" s="210"/>
      <c r="AK122" s="192"/>
    </row>
    <row r="123" spans="1:37" ht="30" customHeight="1">
      <c r="A123" s="198">
        <f t="shared" si="42"/>
        <v>115</v>
      </c>
      <c r="B123" s="198">
        <v>1965</v>
      </c>
      <c r="C123" s="198" t="s">
        <v>486</v>
      </c>
      <c r="D123" s="199">
        <v>35000000</v>
      </c>
      <c r="E123" s="199">
        <v>35000000</v>
      </c>
      <c r="F123" s="199">
        <f t="shared" si="39"/>
        <v>0</v>
      </c>
      <c r="G123" s="199">
        <v>100000</v>
      </c>
      <c r="H123" s="199">
        <v>4961</v>
      </c>
      <c r="I123" s="199"/>
      <c r="J123" s="199">
        <v>95037.93</v>
      </c>
      <c r="K123" s="199">
        <f t="shared" si="43"/>
        <v>95037.93</v>
      </c>
      <c r="L123" s="199">
        <f t="shared" si="44"/>
        <v>99998.93</v>
      </c>
      <c r="M123" s="199">
        <f t="shared" si="45"/>
        <v>1.0700000000069849</v>
      </c>
      <c r="N123" s="199">
        <v>1000000</v>
      </c>
      <c r="O123" s="199">
        <f t="shared" si="46"/>
        <v>33900000</v>
      </c>
      <c r="P123" s="199">
        <f t="shared" si="47"/>
        <v>1.0700000000069849</v>
      </c>
      <c r="Q123" s="199"/>
      <c r="R123" s="199"/>
      <c r="S123" s="199">
        <f t="shared" si="40"/>
        <v>0</v>
      </c>
      <c r="T123" s="199">
        <f t="shared" si="48"/>
        <v>0</v>
      </c>
      <c r="U123" s="199">
        <f t="shared" si="49"/>
        <v>1000000</v>
      </c>
      <c r="V123" s="199">
        <f t="shared" si="50"/>
        <v>0</v>
      </c>
      <c r="W123" s="199"/>
      <c r="X123" s="199"/>
      <c r="Y123" s="199">
        <f t="shared" si="41"/>
        <v>1000000</v>
      </c>
      <c r="Z123" s="198"/>
      <c r="AA123" s="703" t="s">
        <v>1326</v>
      </c>
      <c r="AB123" s="198">
        <v>810000</v>
      </c>
      <c r="AE123" s="210"/>
      <c r="AK123" s="192"/>
    </row>
    <row r="124" spans="1:37" s="346" customFormat="1" ht="30" customHeight="1">
      <c r="A124" s="204"/>
      <c r="B124" s="344"/>
      <c r="C124" s="204" t="s">
        <v>487</v>
      </c>
      <c r="D124" s="206">
        <f t="shared" ref="D124:Z124" si="51">SUM(D109:D123)</f>
        <v>1160323688</v>
      </c>
      <c r="E124" s="206">
        <f t="shared" si="51"/>
        <v>991866000</v>
      </c>
      <c r="F124" s="206">
        <f t="shared" si="51"/>
        <v>168457688</v>
      </c>
      <c r="G124" s="206">
        <f t="shared" si="51"/>
        <v>252076249</v>
      </c>
      <c r="H124" s="206">
        <f t="shared" si="51"/>
        <v>191703564.38</v>
      </c>
      <c r="I124" s="206">
        <f t="shared" si="51"/>
        <v>1052805.8700000001</v>
      </c>
      <c r="J124" s="206">
        <f t="shared" si="51"/>
        <v>7983079.6999999993</v>
      </c>
      <c r="K124" s="206">
        <f t="shared" si="51"/>
        <v>9035885.5700000003</v>
      </c>
      <c r="L124" s="206">
        <f t="shared" si="51"/>
        <v>200739449.95000002</v>
      </c>
      <c r="M124" s="206">
        <f t="shared" si="51"/>
        <v>87343050.049999997</v>
      </c>
      <c r="N124" s="206">
        <f t="shared" si="51"/>
        <v>200628033</v>
      </c>
      <c r="O124" s="206">
        <f t="shared" si="51"/>
        <v>671613155</v>
      </c>
      <c r="P124" s="206">
        <f t="shared" si="51"/>
        <v>51336799.04999999</v>
      </c>
      <c r="Q124" s="206">
        <f t="shared" si="51"/>
        <v>37506251</v>
      </c>
      <c r="R124" s="206">
        <f t="shared" si="51"/>
        <v>0</v>
      </c>
      <c r="S124" s="206">
        <f t="shared" si="51"/>
        <v>37506251</v>
      </c>
      <c r="T124" s="206">
        <f t="shared" si="51"/>
        <v>1500000</v>
      </c>
      <c r="U124" s="206">
        <f t="shared" si="51"/>
        <v>199128033</v>
      </c>
      <c r="V124" s="206">
        <f t="shared" si="51"/>
        <v>3000000</v>
      </c>
      <c r="W124" s="206">
        <f t="shared" si="51"/>
        <v>0</v>
      </c>
      <c r="X124" s="206">
        <f t="shared" si="51"/>
        <v>0</v>
      </c>
      <c r="Y124" s="206">
        <f t="shared" si="51"/>
        <v>100433357</v>
      </c>
      <c r="Z124" s="206">
        <f t="shared" si="51"/>
        <v>95694676</v>
      </c>
      <c r="AA124" s="194"/>
      <c r="AB124" s="204"/>
      <c r="AC124" s="191"/>
      <c r="AD124" s="191"/>
      <c r="AE124" s="345"/>
      <c r="AF124" s="331"/>
      <c r="AG124" s="331"/>
      <c r="AH124" s="331"/>
    </row>
    <row r="125" spans="1:37" s="346" customFormat="1" ht="30" customHeight="1">
      <c r="A125" s="204"/>
      <c r="B125" s="344"/>
      <c r="C125" s="204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194"/>
      <c r="AB125" s="204"/>
      <c r="AC125" s="191"/>
      <c r="AD125" s="191"/>
      <c r="AE125" s="345"/>
      <c r="AF125" s="331"/>
      <c r="AG125" s="331"/>
      <c r="AH125" s="331"/>
    </row>
    <row r="126" spans="1:37" s="346" customFormat="1" ht="30" customHeight="1">
      <c r="A126" s="206">
        <f>A123</f>
        <v>115</v>
      </c>
      <c r="B126" s="344"/>
      <c r="C126" s="204" t="s">
        <v>102</v>
      </c>
      <c r="D126" s="206">
        <f t="shared" ref="D126:Z126" si="52">D124+D106</f>
        <v>2883587813</v>
      </c>
      <c r="E126" s="206">
        <f t="shared" si="52"/>
        <v>2584196125</v>
      </c>
      <c r="F126" s="206">
        <f t="shared" si="52"/>
        <v>299391688</v>
      </c>
      <c r="G126" s="206">
        <f t="shared" si="52"/>
        <v>1117399039</v>
      </c>
      <c r="H126" s="206">
        <f t="shared" si="52"/>
        <v>883164396.77999985</v>
      </c>
      <c r="I126" s="206">
        <f t="shared" si="52"/>
        <v>2075146.81</v>
      </c>
      <c r="J126" s="206">
        <f t="shared" si="52"/>
        <v>53985715.510000005</v>
      </c>
      <c r="K126" s="206">
        <f t="shared" si="52"/>
        <v>56060862.320000008</v>
      </c>
      <c r="L126" s="206">
        <f t="shared" si="52"/>
        <v>939225259.1000005</v>
      </c>
      <c r="M126" s="206">
        <f t="shared" si="52"/>
        <v>324021030.89999998</v>
      </c>
      <c r="N126" s="206">
        <f t="shared" si="52"/>
        <v>386960033</v>
      </c>
      <c r="O126" s="206">
        <f t="shared" si="52"/>
        <v>1233381490</v>
      </c>
      <c r="P126" s="206">
        <f t="shared" si="52"/>
        <v>178173779.90000004</v>
      </c>
      <c r="Q126" s="206">
        <f t="shared" si="52"/>
        <v>191897251</v>
      </c>
      <c r="R126" s="206">
        <f t="shared" si="52"/>
        <v>3060000</v>
      </c>
      <c r="S126" s="206">
        <f t="shared" si="52"/>
        <v>194957251</v>
      </c>
      <c r="T126" s="206">
        <f t="shared" si="52"/>
        <v>49110000</v>
      </c>
      <c r="U126" s="206">
        <f t="shared" si="52"/>
        <v>337850033</v>
      </c>
      <c r="V126" s="206">
        <f t="shared" si="52"/>
        <v>135490880</v>
      </c>
      <c r="W126" s="206">
        <f t="shared" si="52"/>
        <v>500000</v>
      </c>
      <c r="X126" s="206">
        <f t="shared" si="52"/>
        <v>0</v>
      </c>
      <c r="Y126" s="206">
        <f t="shared" si="52"/>
        <v>100433357</v>
      </c>
      <c r="Z126" s="206">
        <f t="shared" si="52"/>
        <v>101425796</v>
      </c>
      <c r="AA126" s="194"/>
      <c r="AB126" s="204"/>
      <c r="AC126" s="191"/>
      <c r="AD126" s="191"/>
      <c r="AE126" s="345"/>
      <c r="AF126" s="331"/>
      <c r="AG126" s="331"/>
      <c r="AH126" s="331"/>
    </row>
    <row r="127" spans="1:37" hidden="1">
      <c r="B127" s="202"/>
      <c r="D127" s="213"/>
      <c r="E127" s="213"/>
      <c r="F127" s="213"/>
      <c r="G127" s="213"/>
      <c r="H127" s="213"/>
      <c r="I127" s="213"/>
      <c r="J127" s="213"/>
      <c r="K127" s="213"/>
      <c r="L127" s="22">
        <f>H126+K126</f>
        <v>939225259.0999999</v>
      </c>
      <c r="M127" s="22">
        <f>P126+S126-T126</f>
        <v>324021030.90000004</v>
      </c>
      <c r="N127" s="213"/>
      <c r="O127" s="213"/>
      <c r="P127" s="22">
        <f>G126-L126</f>
        <v>178173779.8999995</v>
      </c>
      <c r="Q127" s="213"/>
      <c r="R127" s="213"/>
      <c r="S127" s="213"/>
      <c r="U127" s="22">
        <f>N126-T126</f>
        <v>337850033</v>
      </c>
      <c r="V127" s="216"/>
      <c r="W127" s="216"/>
      <c r="X127" s="216"/>
      <c r="AA127" s="398"/>
      <c r="AB127" s="210"/>
    </row>
    <row r="128" spans="1:37">
      <c r="C128" s="401"/>
      <c r="D128" s="349"/>
      <c r="E128" s="349"/>
      <c r="F128" s="349"/>
      <c r="G128" s="349"/>
      <c r="H128" s="349"/>
      <c r="I128" s="349"/>
      <c r="J128" s="349"/>
      <c r="K128" s="349"/>
      <c r="L128" s="349"/>
      <c r="M128" s="349"/>
      <c r="N128" s="348"/>
      <c r="O128" s="348"/>
      <c r="P128" s="349"/>
      <c r="Q128" s="349"/>
      <c r="R128" s="349"/>
      <c r="S128" s="349"/>
      <c r="W128" s="192"/>
      <c r="X128" s="192"/>
    </row>
    <row r="129" spans="6:20"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8"/>
      <c r="S129" s="349"/>
      <c r="T129" s="349"/>
    </row>
    <row r="130" spans="6:20"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8"/>
      <c r="S130" s="349"/>
      <c r="T130" s="349"/>
    </row>
    <row r="131" spans="6:20">
      <c r="F131" s="349"/>
      <c r="G131" s="349"/>
      <c r="H131" s="349"/>
      <c r="I131" s="349"/>
      <c r="J131" s="349"/>
      <c r="K131" s="349"/>
      <c r="L131" s="349"/>
      <c r="M131" s="349"/>
      <c r="N131" s="349"/>
      <c r="O131" s="349"/>
      <c r="P131" s="349"/>
      <c r="Q131" s="349"/>
      <c r="R131" s="348"/>
      <c r="S131" s="349"/>
      <c r="T131" s="349"/>
    </row>
    <row r="132" spans="6:20">
      <c r="F132" s="349"/>
      <c r="G132" s="349"/>
      <c r="H132" s="349"/>
      <c r="I132" s="349"/>
      <c r="J132" s="349"/>
      <c r="K132" s="349"/>
      <c r="L132" s="349"/>
      <c r="M132" s="349"/>
      <c r="N132" s="349"/>
      <c r="O132" s="349"/>
      <c r="P132" s="349"/>
      <c r="Q132" s="349"/>
      <c r="R132" s="349"/>
      <c r="S132" s="349"/>
      <c r="T132" s="349"/>
    </row>
    <row r="133" spans="6:20"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49"/>
      <c r="Q133" s="349"/>
      <c r="R133" s="350"/>
      <c r="S133" s="349"/>
      <c r="T133" s="349"/>
    </row>
    <row r="134" spans="6:20">
      <c r="F134" s="349"/>
      <c r="G134" s="349"/>
      <c r="H134" s="349"/>
      <c r="I134" s="349"/>
      <c r="J134" s="349"/>
      <c r="K134" s="349"/>
      <c r="L134" s="349"/>
      <c r="M134" s="349"/>
      <c r="N134" s="349"/>
      <c r="O134" s="349"/>
      <c r="P134" s="349"/>
      <c r="Q134" s="349"/>
      <c r="R134" s="349"/>
      <c r="S134" s="349"/>
      <c r="T134" s="349"/>
    </row>
    <row r="135" spans="6:20">
      <c r="F135" s="349"/>
      <c r="G135" s="349"/>
      <c r="H135" s="349"/>
      <c r="I135" s="349"/>
      <c r="J135" s="349"/>
      <c r="K135" s="349"/>
      <c r="L135" s="349"/>
      <c r="M135" s="349"/>
      <c r="N135" s="349"/>
      <c r="O135" s="349"/>
      <c r="P135" s="349"/>
      <c r="Q135" s="349"/>
      <c r="R135" s="349"/>
      <c r="S135" s="349"/>
      <c r="T135" s="349"/>
    </row>
    <row r="136" spans="6:20">
      <c r="F136" s="349"/>
      <c r="G136" s="349"/>
      <c r="H136" s="349"/>
      <c r="I136" s="349"/>
      <c r="J136" s="349"/>
      <c r="K136" s="349"/>
      <c r="L136" s="349"/>
      <c r="M136" s="349"/>
      <c r="N136" s="349"/>
      <c r="O136" s="349"/>
      <c r="P136" s="349"/>
      <c r="Q136" s="349"/>
      <c r="R136" s="349"/>
      <c r="S136" s="349"/>
      <c r="T136" s="349"/>
    </row>
    <row r="137" spans="6:20">
      <c r="F137" s="349"/>
      <c r="G137" s="349"/>
      <c r="H137" s="349"/>
      <c r="I137" s="349"/>
      <c r="J137" s="349"/>
      <c r="K137" s="349"/>
      <c r="L137" s="349"/>
      <c r="M137" s="349"/>
      <c r="N137" s="349"/>
      <c r="O137" s="349"/>
      <c r="P137" s="349"/>
      <c r="Q137" s="205"/>
      <c r="R137" s="349"/>
      <c r="S137" s="349"/>
      <c r="T137" s="349"/>
    </row>
    <row r="138" spans="6:20">
      <c r="F138" s="349"/>
      <c r="G138" s="349"/>
      <c r="H138" s="349"/>
      <c r="I138" s="349"/>
      <c r="J138" s="349"/>
      <c r="K138" s="349"/>
      <c r="L138" s="349"/>
      <c r="M138" s="349"/>
      <c r="N138" s="349"/>
      <c r="O138" s="349"/>
      <c r="P138" s="349"/>
      <c r="Q138" s="349"/>
      <c r="R138" s="349"/>
      <c r="S138" s="349"/>
      <c r="T138" s="349"/>
    </row>
    <row r="139" spans="6:20">
      <c r="F139" s="349"/>
      <c r="G139" s="349"/>
      <c r="H139" s="349"/>
      <c r="I139" s="349"/>
      <c r="J139" s="349"/>
      <c r="K139" s="349"/>
      <c r="L139" s="349"/>
      <c r="M139" s="349"/>
      <c r="N139" s="349"/>
      <c r="O139" s="349"/>
      <c r="P139" s="349"/>
      <c r="Q139" s="349"/>
      <c r="R139" s="349"/>
      <c r="S139" s="349"/>
      <c r="T139" s="349"/>
    </row>
    <row r="140" spans="6:20">
      <c r="F140" s="349"/>
      <c r="G140" s="349"/>
      <c r="H140" s="349"/>
      <c r="I140" s="349"/>
      <c r="J140" s="349"/>
      <c r="K140" s="349"/>
      <c r="L140" s="349"/>
      <c r="M140" s="349"/>
      <c r="N140" s="349"/>
      <c r="O140" s="349"/>
      <c r="P140" s="349"/>
      <c r="Q140" s="349"/>
      <c r="R140" s="349"/>
      <c r="S140" s="349"/>
      <c r="T140" s="349"/>
    </row>
    <row r="141" spans="6:20">
      <c r="F141" s="349"/>
      <c r="G141" s="349"/>
      <c r="H141" s="349"/>
      <c r="I141" s="349"/>
      <c r="J141" s="349"/>
      <c r="K141" s="349"/>
      <c r="L141" s="349"/>
      <c r="M141" s="349"/>
      <c r="N141" s="349"/>
      <c r="O141" s="349"/>
      <c r="P141" s="349"/>
      <c r="Q141" s="349"/>
      <c r="R141" s="205"/>
      <c r="S141" s="349"/>
      <c r="T141" s="349"/>
    </row>
    <row r="142" spans="6:20">
      <c r="F142" s="349"/>
      <c r="G142" s="349"/>
      <c r="H142" s="349"/>
      <c r="I142" s="349"/>
      <c r="J142" s="349"/>
      <c r="K142" s="349"/>
      <c r="L142" s="349"/>
      <c r="M142" s="349"/>
      <c r="N142" s="349"/>
      <c r="O142" s="349"/>
      <c r="P142" s="349"/>
      <c r="Q142" s="349"/>
      <c r="R142" s="349"/>
      <c r="S142" s="349"/>
      <c r="T142" s="349"/>
    </row>
    <row r="143" spans="6:20">
      <c r="F143" s="349"/>
      <c r="G143" s="349"/>
      <c r="H143" s="349"/>
      <c r="I143" s="349"/>
      <c r="J143" s="349"/>
      <c r="K143" s="349"/>
      <c r="L143" s="349"/>
      <c r="M143" s="349"/>
      <c r="N143" s="349"/>
      <c r="O143" s="349"/>
      <c r="P143" s="349"/>
      <c r="Q143" s="349"/>
      <c r="R143" s="349"/>
      <c r="S143" s="349"/>
      <c r="T143" s="349"/>
    </row>
    <row r="144" spans="6:20">
      <c r="F144" s="349"/>
      <c r="G144" s="349"/>
      <c r="H144" s="349"/>
      <c r="I144" s="349"/>
      <c r="J144" s="349"/>
      <c r="K144" s="349"/>
      <c r="L144" s="349"/>
      <c r="M144" s="349"/>
      <c r="N144" s="349"/>
      <c r="O144" s="349"/>
      <c r="P144" s="349"/>
      <c r="Q144" s="349"/>
      <c r="R144" s="349"/>
      <c r="S144" s="349"/>
      <c r="T144" s="349"/>
    </row>
    <row r="145" spans="6:20">
      <c r="F145" s="349"/>
      <c r="G145" s="349"/>
      <c r="H145" s="349"/>
      <c r="I145" s="349"/>
      <c r="J145" s="349"/>
      <c r="K145" s="349"/>
      <c r="L145" s="349"/>
      <c r="M145" s="349"/>
      <c r="N145" s="349"/>
      <c r="O145" s="349"/>
      <c r="P145" s="349"/>
      <c r="Q145" s="349"/>
      <c r="R145" s="349"/>
      <c r="S145" s="349"/>
      <c r="T145" s="349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31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45"/>
  <sheetViews>
    <sheetView showZeros="0" rightToLeft="1" tabSelected="1" zoomScaleNormal="100" workbookViewId="0">
      <pane xSplit="3" ySplit="4" topLeftCell="Y11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4.77734375" style="769" customWidth="1"/>
    <col min="3" max="3" width="23.33203125" style="396" customWidth="1"/>
    <col min="4" max="4" width="11.77734375" style="192" customWidth="1"/>
    <col min="5" max="5" width="12.6640625" style="192" hidden="1" customWidth="1"/>
    <col min="6" max="6" width="11" style="192" hidden="1" customWidth="1"/>
    <col min="7" max="10" width="12.6640625" style="192" hidden="1" customWidth="1"/>
    <col min="11" max="11" width="11.33203125" style="192" hidden="1" customWidth="1"/>
    <col min="12" max="14" width="10.109375" style="192" customWidth="1"/>
    <col min="15" max="15" width="11.77734375" style="192" customWidth="1"/>
    <col min="16" max="19" width="10.33203125" style="192" hidden="1" customWidth="1"/>
    <col min="20" max="20" width="10.109375" style="192" customWidth="1"/>
    <col min="21" max="23" width="10.109375" style="191" customWidth="1"/>
    <col min="24" max="24" width="10.33203125" style="191" hidden="1" customWidth="1"/>
    <col min="25" max="26" width="10.109375" style="191" customWidth="1"/>
    <col min="27" max="27" width="26.21875" style="396" customWidth="1"/>
    <col min="28" max="28" width="10.77734375" style="191" hidden="1" customWidth="1"/>
    <col min="29" max="29" width="10.77734375" style="191" customWidth="1"/>
    <col min="30" max="30" width="30.33203125" style="191" customWidth="1"/>
    <col min="31" max="31" width="11.21875" style="191" customWidth="1"/>
    <col min="32" max="32" width="8.88671875" style="331" customWidth="1"/>
    <col min="33" max="33" width="10.5546875" style="331" customWidth="1"/>
    <col min="34" max="34" width="11.44140625" style="331" customWidth="1"/>
    <col min="35" max="35" width="9.109375" style="191" customWidth="1"/>
    <col min="36" max="36" width="9.109375" style="191"/>
    <col min="37" max="37" width="10.109375" style="191" bestFit="1" customWidth="1"/>
    <col min="38" max="16384" width="9.109375" style="191"/>
  </cols>
  <sheetData>
    <row r="1" spans="1:34" s="331" customFormat="1">
      <c r="A1" s="329"/>
      <c r="B1" s="766"/>
      <c r="C1" s="767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3"/>
      <c r="AC1" s="191"/>
      <c r="AD1" s="191"/>
    </row>
    <row r="2" spans="1:34">
      <c r="A2" s="329" t="s">
        <v>286</v>
      </c>
      <c r="B2" s="766"/>
      <c r="C2" s="767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F2" s="191"/>
      <c r="AG2" s="191"/>
      <c r="AH2" s="191"/>
    </row>
    <row r="3" spans="1:34">
      <c r="U3" s="192"/>
    </row>
    <row r="4" spans="1:34" s="336" customFormat="1" ht="86.25" customHeight="1">
      <c r="A4" s="194" t="s">
        <v>0</v>
      </c>
      <c r="B4" s="770" t="s">
        <v>1</v>
      </c>
      <c r="C4" s="194" t="s">
        <v>2</v>
      </c>
      <c r="D4" s="194" t="s">
        <v>3</v>
      </c>
      <c r="E4" s="194" t="s">
        <v>4</v>
      </c>
      <c r="F4" s="194" t="s">
        <v>5</v>
      </c>
      <c r="G4" s="194" t="s">
        <v>6</v>
      </c>
      <c r="H4" s="194" t="s">
        <v>7</v>
      </c>
      <c r="I4" s="194" t="s">
        <v>9</v>
      </c>
      <c r="J4" s="194" t="s">
        <v>215</v>
      </c>
      <c r="K4" s="194" t="s">
        <v>10</v>
      </c>
      <c r="L4" s="194" t="s">
        <v>11</v>
      </c>
      <c r="M4" s="10" t="s">
        <v>918</v>
      </c>
      <c r="N4" s="194" t="s">
        <v>919</v>
      </c>
      <c r="O4" s="194" t="s">
        <v>920</v>
      </c>
      <c r="P4" s="194" t="s">
        <v>12</v>
      </c>
      <c r="Q4" s="194" t="s">
        <v>1120</v>
      </c>
      <c r="R4" s="194" t="s">
        <v>1121</v>
      </c>
      <c r="S4" s="194" t="s">
        <v>927</v>
      </c>
      <c r="T4" s="194" t="s">
        <v>921</v>
      </c>
      <c r="U4" s="194" t="s">
        <v>922</v>
      </c>
      <c r="V4" s="194" t="s">
        <v>13</v>
      </c>
      <c r="W4" s="18" t="s">
        <v>14</v>
      </c>
      <c r="X4" s="194" t="s">
        <v>15</v>
      </c>
      <c r="Y4" s="194" t="s">
        <v>354</v>
      </c>
      <c r="Z4" s="194" t="s">
        <v>105</v>
      </c>
      <c r="AA4" s="623" t="s">
        <v>410</v>
      </c>
      <c r="AB4" s="194" t="s">
        <v>16</v>
      </c>
      <c r="AC4" s="191"/>
      <c r="AD4" s="191"/>
      <c r="AF4" s="331"/>
      <c r="AG4" s="331"/>
      <c r="AH4" s="331"/>
    </row>
    <row r="5" spans="1:34" s="202" customFormat="1">
      <c r="A5" s="198"/>
      <c r="B5" s="707"/>
      <c r="C5" s="397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397"/>
      <c r="AB5" s="195"/>
      <c r="AC5" s="191"/>
      <c r="AD5" s="191"/>
      <c r="AF5" s="331"/>
      <c r="AG5" s="331"/>
      <c r="AH5" s="331"/>
    </row>
    <row r="6" spans="1:34" s="202" customFormat="1" ht="41.4">
      <c r="A6" s="198">
        <f>A5+1</f>
        <v>1</v>
      </c>
      <c r="B6" s="707">
        <f>'תקציב החברה לפיתוח 2020'!B6</f>
        <v>382</v>
      </c>
      <c r="C6" s="341" t="str">
        <f>'תקציב החברה לפיתוח 2020'!C6</f>
        <v xml:space="preserve">מערכת כבישים   באזור תעשייה מערבי </v>
      </c>
      <c r="D6" s="199">
        <f>'תקציב החברה לפיתוח 2020'!D6</f>
        <v>72881330</v>
      </c>
      <c r="E6" s="199">
        <f>'תקציב החברה לפיתוח 2020'!E6</f>
        <v>72881330</v>
      </c>
      <c r="F6" s="199">
        <f>'תקציב החברה לפיתוח 2020'!F6</f>
        <v>0</v>
      </c>
      <c r="G6" s="199">
        <f>'תקציב החברה לפיתוח 2020'!G6</f>
        <v>49881330</v>
      </c>
      <c r="H6" s="199">
        <f>'תקציב החברה לפיתוח 2020'!H6</f>
        <v>46168828.18</v>
      </c>
      <c r="I6" s="199">
        <f>'תקציב החברה לפיתוח 2020'!I6</f>
        <v>0</v>
      </c>
      <c r="J6" s="199">
        <f>'תקציב החברה לפיתוח 2020'!J6</f>
        <v>2174894.41</v>
      </c>
      <c r="K6" s="199">
        <f>'תקציב החברה לפיתוח 2020'!K6</f>
        <v>2174894.41</v>
      </c>
      <c r="L6" s="199">
        <f>'תקציב החברה לפיתוח 2020'!L6</f>
        <v>48343722.590000004</v>
      </c>
      <c r="M6" s="199">
        <f>'תקציב החברה לפיתוח 2020'!M6</f>
        <v>13037607.409999996</v>
      </c>
      <c r="N6" s="199">
        <f>'תקציב החברה לפיתוח 2020'!N6</f>
        <v>1000000</v>
      </c>
      <c r="O6" s="199">
        <f>'תקציב החברה לפיתוח 2020'!O6</f>
        <v>10500000</v>
      </c>
      <c r="P6" s="199">
        <f>'תקציב החברה לפיתוח 2020'!P6</f>
        <v>1537607.4099999964</v>
      </c>
      <c r="Q6" s="199">
        <f>'תקציב החברה לפיתוח 2020'!Q6</f>
        <v>11500000</v>
      </c>
      <c r="R6" s="199">
        <f>'תקציב החברה לפיתוח 2020'!R6</f>
        <v>0</v>
      </c>
      <c r="S6" s="199">
        <f>'תקציב החברה לפיתוח 2020'!S6</f>
        <v>11500000</v>
      </c>
      <c r="T6" s="199">
        <f>'תקציב החברה לפיתוח 2020'!T6</f>
        <v>0</v>
      </c>
      <c r="U6" s="199">
        <f>'תקציב החברה לפיתוח 2020'!U6</f>
        <v>1000000</v>
      </c>
      <c r="V6" s="199">
        <f>'תקציב החברה לפיתוח 2020'!V6</f>
        <v>1000000</v>
      </c>
      <c r="W6" s="199">
        <f>'תקציב החברה לפיתוח 2020'!W6</f>
        <v>0</v>
      </c>
      <c r="X6" s="199">
        <f>'תקציב החברה לפיתוח 2020'!X6</f>
        <v>0</v>
      </c>
      <c r="Y6" s="199">
        <f>'תקציב החברה לפיתוח 2020'!Y6</f>
        <v>0</v>
      </c>
      <c r="Z6" s="199">
        <f>'תקציב החברה לפיתוח 2020'!Z6</f>
        <v>0</v>
      </c>
      <c r="AA6" s="341" t="str">
        <f>'תקציב החברה לפיתוח 2020'!AA6</f>
        <v xml:space="preserve">השלמת רח' משכית, פיתוח החושלים, השלמת שצ"פים והשלמת תכנון רח' שנקר. </v>
      </c>
      <c r="AB6" s="707">
        <f>'תקציב החברה לפיתוח 2020'!AB6</f>
        <v>742000</v>
      </c>
      <c r="AC6" s="191"/>
      <c r="AD6" s="191"/>
      <c r="AE6" s="624"/>
      <c r="AF6" s="627"/>
      <c r="AG6" s="331"/>
      <c r="AH6" s="331"/>
    </row>
    <row r="7" spans="1:34" s="203" customFormat="1" ht="27.6">
      <c r="A7" s="198">
        <f>A6+1</f>
        <v>2</v>
      </c>
      <c r="B7" s="707">
        <f>'תקציב החברה לפיתוח 2020'!B7</f>
        <v>532</v>
      </c>
      <c r="C7" s="341" t="str">
        <f>'תקציב החברה לפיתוח 2020'!C7</f>
        <v>פיתוח מתחם המסילה ודב הוז</v>
      </c>
      <c r="D7" s="199">
        <f>'תקציב החברה לפיתוח 2020'!D7</f>
        <v>80090000</v>
      </c>
      <c r="E7" s="199">
        <f>'תקציב החברה לפיתוח 2020'!E7</f>
        <v>80090000</v>
      </c>
      <c r="F7" s="199">
        <f>'תקציב החברה לפיתוח 2020'!F7</f>
        <v>0</v>
      </c>
      <c r="G7" s="199">
        <f>'תקציב החברה לפיתוח 2020'!G7</f>
        <v>80090000</v>
      </c>
      <c r="H7" s="199">
        <f>'תקציב החברה לפיתוח 2020'!H7</f>
        <v>73098365.159999996</v>
      </c>
      <c r="I7" s="199">
        <f>'תקציב החברה לפיתוח 2020'!I7</f>
        <v>0</v>
      </c>
      <c r="J7" s="199">
        <f>'תקציב החברה לפיתוח 2020'!J7</f>
        <v>767419.44</v>
      </c>
      <c r="K7" s="199">
        <f>'תקציב החברה לפיתוח 2020'!K7</f>
        <v>767419.44</v>
      </c>
      <c r="L7" s="199">
        <f>'תקציב החברה לפיתוח 2020'!L7</f>
        <v>73865784.599999994</v>
      </c>
      <c r="M7" s="199">
        <f>'תקציב החברה לפיתוח 2020'!M7</f>
        <v>6224215.400000006</v>
      </c>
      <c r="N7" s="199">
        <f>'תקציב החברה לפיתוח 2020'!N7</f>
        <v>0</v>
      </c>
      <c r="O7" s="199">
        <f>'תקציב החברה לפיתוח 2020'!O7</f>
        <v>0</v>
      </c>
      <c r="P7" s="199">
        <f>'תקציב החברה לפיתוח 2020'!P7</f>
        <v>6224215.400000006</v>
      </c>
      <c r="Q7" s="199">
        <f>'תקציב החברה לפיתוח 2020'!Q7</f>
        <v>0</v>
      </c>
      <c r="R7" s="199">
        <f>'תקציב החברה לפיתוח 2020'!R7</f>
        <v>0</v>
      </c>
      <c r="S7" s="199">
        <f>'תקציב החברה לפיתוח 2020'!S7</f>
        <v>0</v>
      </c>
      <c r="T7" s="199">
        <f>'תקציב החברה לפיתוח 2020'!T7</f>
        <v>0</v>
      </c>
      <c r="U7" s="199">
        <f>'תקציב החברה לפיתוח 2020'!U7</f>
        <v>0</v>
      </c>
      <c r="V7" s="199">
        <f>'תקציב החברה לפיתוח 2020'!V7</f>
        <v>0</v>
      </c>
      <c r="W7" s="199">
        <f>'תקציב החברה לפיתוח 2020'!W7</f>
        <v>0</v>
      </c>
      <c r="X7" s="199">
        <f>'תקציב החברה לפיתוח 2020'!X7</f>
        <v>0</v>
      </c>
      <c r="Y7" s="199">
        <f>'תקציב החברה לפיתוח 2020'!Y7</f>
        <v>0</v>
      </c>
      <c r="Z7" s="199">
        <f>'תקציב החברה לפיתוח 2020'!Z7</f>
        <v>0</v>
      </c>
      <c r="AA7" s="341" t="str">
        <f>'תקציב החברה לפיתוח 2020'!AA7</f>
        <v xml:space="preserve">עבודות בביצוע.כולל גינת כלבים והשלמת שצ"פים. </v>
      </c>
      <c r="AB7" s="707">
        <f>'תקציב החברה לפיתוח 2020'!AB7</f>
        <v>742000</v>
      </c>
      <c r="AC7" s="191"/>
      <c r="AD7" s="191"/>
      <c r="AE7" s="624"/>
      <c r="AF7" s="627"/>
      <c r="AG7" s="331"/>
      <c r="AH7" s="331"/>
    </row>
    <row r="8" spans="1:34" s="203" customFormat="1" ht="27.6">
      <c r="A8" s="198">
        <f t="shared" ref="A8:A71" si="0">A7+1</f>
        <v>3</v>
      </c>
      <c r="B8" s="707">
        <f>'תקציב החברה לפיתוח 2020'!B8</f>
        <v>576</v>
      </c>
      <c r="C8" s="341" t="str">
        <f>'תקציב החברה לפיתוח 2020'!C8</f>
        <v>בית העלמין החדש</v>
      </c>
      <c r="D8" s="199">
        <f>'תקציב החברה לפיתוח 2020'!D8</f>
        <v>58113000</v>
      </c>
      <c r="E8" s="199">
        <f>'תקציב החברה לפיתוח 2020'!E8</f>
        <v>55113000</v>
      </c>
      <c r="F8" s="199">
        <f>'תקציב החברה לפיתוח 2020'!F8</f>
        <v>3000000</v>
      </c>
      <c r="G8" s="199">
        <f>'תקציב החברה לפיתוח 2020'!G8</f>
        <v>55113000</v>
      </c>
      <c r="H8" s="199">
        <f>'תקציב החברה לפיתוח 2020'!H8</f>
        <v>47204085.600000001</v>
      </c>
      <c r="I8" s="199">
        <f>'תקציב החברה לפיתוח 2020'!I8</f>
        <v>0</v>
      </c>
      <c r="J8" s="199">
        <f>'תקציב החברה לפיתוח 2020'!J8</f>
        <v>2886324.39</v>
      </c>
      <c r="K8" s="199">
        <f>'תקציב החברה לפיתוח 2020'!K8</f>
        <v>2886324.39</v>
      </c>
      <c r="L8" s="199">
        <f>'תקציב החברה לפיתוח 2020'!L8</f>
        <v>50090409.990000002</v>
      </c>
      <c r="M8" s="199">
        <f>'תקציב החברה לפיתוח 2020'!M8</f>
        <v>5022590.0099999979</v>
      </c>
      <c r="N8" s="199">
        <f>'תקציב החברה לפיתוח 2020'!N8</f>
        <v>3000000</v>
      </c>
      <c r="O8" s="199">
        <f>'תקציב החברה לפיתוח 2020'!O8</f>
        <v>0</v>
      </c>
      <c r="P8" s="199">
        <f>'תקציב החברה לפיתוח 2020'!P8</f>
        <v>5022590.0099999979</v>
      </c>
      <c r="Q8" s="199">
        <f>'תקציב החברה לפיתוח 2020'!Q8</f>
        <v>0</v>
      </c>
      <c r="R8" s="199">
        <f>'תקציב החברה לפיתוח 2020'!R8</f>
        <v>0</v>
      </c>
      <c r="S8" s="199">
        <f>'תקציב החברה לפיתוח 2020'!S8</f>
        <v>0</v>
      </c>
      <c r="T8" s="199">
        <f>'תקציב החברה לפיתוח 2020'!T8</f>
        <v>0</v>
      </c>
      <c r="U8" s="199">
        <f>'תקציב החברה לפיתוח 2020'!U8</f>
        <v>3000000</v>
      </c>
      <c r="V8" s="199">
        <f>'תקציב החברה לפיתוח 2020'!V8</f>
        <v>3000000</v>
      </c>
      <c r="W8" s="199">
        <f>'תקציב החברה לפיתוח 2020'!W8</f>
        <v>0</v>
      </c>
      <c r="X8" s="199">
        <f>'תקציב החברה לפיתוח 2020'!X8</f>
        <v>0</v>
      </c>
      <c r="Y8" s="199">
        <f>'תקציב החברה לפיתוח 2020'!Y8</f>
        <v>0</v>
      </c>
      <c r="Z8" s="199">
        <f>'תקציב החברה לפיתוח 2020'!Z8</f>
        <v>0</v>
      </c>
      <c r="AA8" s="341" t="str">
        <f>'תקציב החברה לפיתוח 2020'!AA8</f>
        <v>עבודות הרחבת והכשרת חלקות נוספות בבית העלמין החדש.</v>
      </c>
      <c r="AB8" s="707">
        <f>'תקציב החברה לפיתוח 2020'!AB8</f>
        <v>760000</v>
      </c>
      <c r="AC8" s="191"/>
      <c r="AD8" s="191"/>
      <c r="AE8" s="624"/>
      <c r="AF8" s="627"/>
      <c r="AG8" s="331"/>
      <c r="AH8" s="331"/>
    </row>
    <row r="9" spans="1:34" s="203" customFormat="1" ht="27.6">
      <c r="A9" s="198">
        <f t="shared" si="0"/>
        <v>4</v>
      </c>
      <c r="B9" s="707">
        <f>'תקציב החברה לפיתוח 2020'!B9</f>
        <v>634</v>
      </c>
      <c r="C9" s="341" t="str">
        <f>'תקציב החברה לפיתוח 2020'!C9</f>
        <v>מתחם המשתלה  תב"ע 1874</v>
      </c>
      <c r="D9" s="199">
        <f>'תקציב החברה לפיתוח 2020'!D9</f>
        <v>56350000</v>
      </c>
      <c r="E9" s="199">
        <f>'תקציב החברה לפיתוח 2020'!E9</f>
        <v>57250000</v>
      </c>
      <c r="F9" s="199">
        <f>'תקציב החברה לפיתוח 2020'!F9</f>
        <v>-900000</v>
      </c>
      <c r="G9" s="199">
        <f>'תקציב החברה לפיתוח 2020'!G9</f>
        <v>56350000</v>
      </c>
      <c r="H9" s="199">
        <f>'תקציב החברה לפיתוח 2020'!H9</f>
        <v>55240943.850000001</v>
      </c>
      <c r="I9" s="199">
        <f>'תקציב החברה לפיתוח 2020'!I9</f>
        <v>0</v>
      </c>
      <c r="J9" s="199">
        <f>'תקציב החברה לפיתוח 2020'!J9</f>
        <v>1109051.78</v>
      </c>
      <c r="K9" s="199">
        <f>'תקציב החברה לפיתוח 2020'!K9</f>
        <v>1109051.78</v>
      </c>
      <c r="L9" s="199">
        <f>'תקציב החברה לפיתוח 2020'!L9</f>
        <v>56349995.630000003</v>
      </c>
      <c r="M9" s="199">
        <f>'תקציב החברה לפיתוח 2020'!M9</f>
        <v>4.369999997317791</v>
      </c>
      <c r="N9" s="199">
        <f>'תקציב החברה לפיתוח 2020'!N9</f>
        <v>0</v>
      </c>
      <c r="O9" s="199">
        <f>'תקציב החברה לפיתוח 2020'!O9</f>
        <v>0</v>
      </c>
      <c r="P9" s="199">
        <f>'תקציב החברה לפיתוח 2020'!P9</f>
        <v>4.369999997317791</v>
      </c>
      <c r="Q9" s="199">
        <f>'תקציב החברה לפיתוח 2020'!Q9</f>
        <v>0</v>
      </c>
      <c r="R9" s="199">
        <f>'תקציב החברה לפיתוח 2020'!R9</f>
        <v>0</v>
      </c>
      <c r="S9" s="199">
        <f>'תקציב החברה לפיתוח 2020'!S9</f>
        <v>0</v>
      </c>
      <c r="T9" s="199">
        <f>'תקציב החברה לפיתוח 2020'!T9</f>
        <v>0</v>
      </c>
      <c r="U9" s="199">
        <f>'תקציב החברה לפיתוח 2020'!U9</f>
        <v>0</v>
      </c>
      <c r="V9" s="199">
        <f>'תקציב החברה לפיתוח 2020'!V9</f>
        <v>0</v>
      </c>
      <c r="W9" s="199">
        <f>'תקציב החברה לפיתוח 2020'!W9</f>
        <v>0</v>
      </c>
      <c r="X9" s="199">
        <f>'תקציב החברה לפיתוח 2020'!X9</f>
        <v>0</v>
      </c>
      <c r="Y9" s="199">
        <f>'תקציב החברה לפיתוח 2020'!Y9</f>
        <v>0</v>
      </c>
      <c r="Z9" s="199">
        <f>'תקציב החברה לפיתוח 2020'!Z9</f>
        <v>0</v>
      </c>
      <c r="AA9" s="341" t="str">
        <f>'תקציב החברה לפיתוח 2020'!AA9</f>
        <v>השלמת עבודות גינון ותיקונים במתחם. לקראת סגירת תב"ר.</v>
      </c>
      <c r="AB9" s="707">
        <f>'תקציב החברה לפיתוח 2020'!AB9</f>
        <v>732000</v>
      </c>
      <c r="AC9" s="191"/>
      <c r="AD9" s="191"/>
      <c r="AE9" s="624"/>
      <c r="AF9" s="627"/>
      <c r="AG9" s="331"/>
      <c r="AH9" s="331"/>
    </row>
    <row r="10" spans="1:34" s="202" customFormat="1" ht="19.95" customHeight="1">
      <c r="A10" s="198">
        <f t="shared" si="0"/>
        <v>5</v>
      </c>
      <c r="B10" s="707">
        <f>'תקציב החברה לפיתוח 2020'!B10</f>
        <v>1067</v>
      </c>
      <c r="C10" s="341" t="str">
        <f>'תקציב החברה לפיתוח 2020'!C10</f>
        <v>עבודות פיתוח קטנות</v>
      </c>
      <c r="D10" s="199">
        <f>'תקציב החברה לפיתוח 2020'!D10</f>
        <v>3975000</v>
      </c>
      <c r="E10" s="199">
        <f>'תקציב החברה לפיתוח 2020'!E10</f>
        <v>3725000</v>
      </c>
      <c r="F10" s="199">
        <f>'תקציב החברה לפיתוח 2020'!F10</f>
        <v>250000</v>
      </c>
      <c r="G10" s="199">
        <f>'תקציב החברה לפיתוח 2020'!G10</f>
        <v>3725000</v>
      </c>
      <c r="H10" s="199">
        <f>'תקציב החברה לפיתוח 2020'!H10</f>
        <v>2800272.44</v>
      </c>
      <c r="I10" s="199">
        <f>'תקציב החברה לפיתוח 2020'!I10</f>
        <v>0</v>
      </c>
      <c r="J10" s="199">
        <f>'תקציב החברה לפיתוח 2020'!J10</f>
        <v>924353.38</v>
      </c>
      <c r="K10" s="199">
        <f>'תקציב החברה לפיתוח 2020'!K10</f>
        <v>924353.38</v>
      </c>
      <c r="L10" s="199">
        <f>'תקציב החברה לפיתוח 2020'!L10</f>
        <v>3724625.82</v>
      </c>
      <c r="M10" s="199">
        <f>'תקציב החברה לפיתוח 2020'!M10</f>
        <v>374.18000000016764</v>
      </c>
      <c r="N10" s="199">
        <f>'תקציב החברה לפיתוח 2020'!N10</f>
        <v>250000</v>
      </c>
      <c r="O10" s="199">
        <f>'תקציב החברה לפיתוח 2020'!O10</f>
        <v>0</v>
      </c>
      <c r="P10" s="199">
        <f>'תקציב החברה לפיתוח 2020'!P10</f>
        <v>374.18000000016764</v>
      </c>
      <c r="Q10" s="199">
        <f>'תקציב החברה לפיתוח 2020'!Q10</f>
        <v>0</v>
      </c>
      <c r="R10" s="199">
        <f>'תקציב החברה לפיתוח 2020'!R10</f>
        <v>0</v>
      </c>
      <c r="S10" s="199">
        <f>'תקציב החברה לפיתוח 2020'!S10</f>
        <v>0</v>
      </c>
      <c r="T10" s="199">
        <f>'תקציב החברה לפיתוח 2020'!T10</f>
        <v>0</v>
      </c>
      <c r="U10" s="199">
        <f>'תקציב החברה לפיתוח 2020'!U10</f>
        <v>250000</v>
      </c>
      <c r="V10" s="199">
        <f>'תקציב החברה לפיתוח 2020'!V10</f>
        <v>250000</v>
      </c>
      <c r="W10" s="199">
        <f>'תקציב החברה לפיתוח 2020'!W10</f>
        <v>0</v>
      </c>
      <c r="X10" s="199">
        <f>'תקציב החברה לפיתוח 2020'!X10</f>
        <v>0</v>
      </c>
      <c r="Y10" s="199">
        <f>'תקציב החברה לפיתוח 2020'!Y10</f>
        <v>0</v>
      </c>
      <c r="Z10" s="199">
        <f>'תקציב החברה לפיתוח 2020'!Z10</f>
        <v>0</v>
      </c>
      <c r="AA10" s="341" t="str">
        <f>'תקציב החברה לפיתוח 2020'!AA10</f>
        <v>סל עבודות קטנות עפ"י דרישה.</v>
      </c>
      <c r="AB10" s="707">
        <f>'תקציב החברה לפיתוח 2020'!AB10</f>
        <v>742000</v>
      </c>
      <c r="AC10" s="191"/>
      <c r="AD10" s="191"/>
      <c r="AE10" s="624"/>
      <c r="AF10" s="627"/>
      <c r="AG10" s="331"/>
      <c r="AH10" s="331"/>
    </row>
    <row r="11" spans="1:34" s="203" customFormat="1" ht="27.6">
      <c r="A11" s="198">
        <f t="shared" si="0"/>
        <v>6</v>
      </c>
      <c r="B11" s="707">
        <f>'תקציב החברה לפיתוח 2020'!B11</f>
        <v>1207</v>
      </c>
      <c r="C11" s="341" t="str">
        <f>'תקציב החברה לפיתוח 2020'!C11</f>
        <v>מתחם זרובבל</v>
      </c>
      <c r="D11" s="199">
        <f>'תקציב החברה לפיתוח 2020'!D11</f>
        <v>50650000</v>
      </c>
      <c r="E11" s="199">
        <f>'תקציב החברה לפיתוח 2020'!E11</f>
        <v>50650000</v>
      </c>
      <c r="F11" s="199">
        <f>'תקציב החברה לפיתוח 2020'!F11</f>
        <v>0</v>
      </c>
      <c r="G11" s="199">
        <f>'תקציב החברה לפיתוח 2020'!G11</f>
        <v>35650000</v>
      </c>
      <c r="H11" s="199">
        <f>'תקציב החברה לפיתוח 2020'!H11</f>
        <v>20936335.899999999</v>
      </c>
      <c r="I11" s="199">
        <f>'תקציב החברה לפיתוח 2020'!I11</f>
        <v>0</v>
      </c>
      <c r="J11" s="199">
        <f>'תקציב החברה לפיתוח 2020'!J11</f>
        <v>713609.87</v>
      </c>
      <c r="K11" s="199">
        <f>'תקציב החברה לפיתוח 2020'!K11</f>
        <v>713609.87</v>
      </c>
      <c r="L11" s="199">
        <f>'תקציב החברה לפיתוח 2020'!L11</f>
        <v>21649945.77</v>
      </c>
      <c r="M11" s="199">
        <f>'תקציב החברה לפיתוח 2020'!M11</f>
        <v>19000054.23</v>
      </c>
      <c r="N11" s="199">
        <f>'תקציב החברה לפיתוח 2020'!N11</f>
        <v>5000000</v>
      </c>
      <c r="O11" s="199">
        <f>'תקציב החברה לפיתוח 2020'!O11</f>
        <v>5000000</v>
      </c>
      <c r="P11" s="199">
        <f>'תקציב החברה לפיתוח 2020'!P11</f>
        <v>14000054.23</v>
      </c>
      <c r="Q11" s="199">
        <f>'תקציב החברה לפיתוח 2020'!Q11</f>
        <v>5000000</v>
      </c>
      <c r="R11" s="199">
        <f>'תקציב החברה לפיתוח 2020'!R11</f>
        <v>0</v>
      </c>
      <c r="S11" s="199">
        <f>'תקציב החברה לפיתוח 2020'!S11</f>
        <v>5000000</v>
      </c>
      <c r="T11" s="199">
        <f>'תקציב החברה לפיתוח 2020'!T11</f>
        <v>0</v>
      </c>
      <c r="U11" s="199">
        <f>'תקציב החברה לפיתוח 2020'!U11</f>
        <v>5000000</v>
      </c>
      <c r="V11" s="199">
        <f>'תקציב החברה לפיתוח 2020'!V11</f>
        <v>5000000</v>
      </c>
      <c r="W11" s="199">
        <f>'תקציב החברה לפיתוח 2020'!W11</f>
        <v>0</v>
      </c>
      <c r="X11" s="199">
        <f>'תקציב החברה לפיתוח 2020'!X11</f>
        <v>0</v>
      </c>
      <c r="Y11" s="199">
        <f>'תקציב החברה לפיתוח 2020'!Y11</f>
        <v>0</v>
      </c>
      <c r="Z11" s="199">
        <f>'תקציב החברה לפיתוח 2020'!Z11</f>
        <v>0</v>
      </c>
      <c r="AA11" s="341" t="str">
        <f>'תקציב החברה לפיתוח 2020'!AA11</f>
        <v>המשך עבודות פיתוח במתחם. פיתוח השצ"פ.</v>
      </c>
      <c r="AB11" s="707">
        <f>'תקציב החברה לפיתוח 2020'!AB11</f>
        <v>742000</v>
      </c>
      <c r="AC11" s="191"/>
      <c r="AD11" s="191"/>
      <c r="AE11" s="624"/>
      <c r="AF11" s="627"/>
      <c r="AG11" s="331"/>
      <c r="AH11" s="331"/>
    </row>
    <row r="12" spans="1:34" s="203" customFormat="1" ht="19.95" customHeight="1">
      <c r="A12" s="198">
        <f t="shared" si="0"/>
        <v>7</v>
      </c>
      <c r="B12" s="707">
        <f>'תקציב החברה לפיתוח 2020'!B12</f>
        <v>1238</v>
      </c>
      <c r="C12" s="341" t="str">
        <f>'תקציב החברה לפיתוח 2020'!C12</f>
        <v>כצלנסון-פיתוח</v>
      </c>
      <c r="D12" s="199">
        <f>'תקציב החברה לפיתוח 2020'!D12</f>
        <v>32940000</v>
      </c>
      <c r="E12" s="199">
        <f>'תקציב החברה לפיתוח 2020'!E12</f>
        <v>32940000</v>
      </c>
      <c r="F12" s="199">
        <f>'תקציב החברה לפיתוח 2020'!F12</f>
        <v>0</v>
      </c>
      <c r="G12" s="199">
        <f>'תקציב החברה לפיתוח 2020'!G12</f>
        <v>26440000</v>
      </c>
      <c r="H12" s="199">
        <f>'תקציב החברה לפיתוח 2020'!H12</f>
        <v>25492352.199999999</v>
      </c>
      <c r="I12" s="199">
        <f>'תקציב החברה לפיתוח 2020'!I12</f>
        <v>0</v>
      </c>
      <c r="J12" s="199">
        <f>'תקציב החברה לפיתוח 2020'!J12</f>
        <v>254641.37</v>
      </c>
      <c r="K12" s="199">
        <f>'תקציב החברה לפיתוח 2020'!K12</f>
        <v>254641.37</v>
      </c>
      <c r="L12" s="199">
        <f>'תקציב החברה לפיתוח 2020'!L12</f>
        <v>25746993.57</v>
      </c>
      <c r="M12" s="199">
        <f>'תקציב החברה לפיתוח 2020'!M12</f>
        <v>693006.4299999997</v>
      </c>
      <c r="N12" s="199">
        <f>'תקציב החברה לפיתוח 2020'!N12</f>
        <v>0</v>
      </c>
      <c r="O12" s="199">
        <f>'תקציב החברה לפיתוח 2020'!O12</f>
        <v>6500000</v>
      </c>
      <c r="P12" s="199">
        <f>'תקציב החברה לפיתוח 2020'!P12</f>
        <v>693006.4299999997</v>
      </c>
      <c r="Q12" s="199">
        <f>'תקציב החברה לפיתוח 2020'!Q12</f>
        <v>0</v>
      </c>
      <c r="R12" s="199">
        <f>'תקציב החברה לפיתוח 2020'!R12</f>
        <v>0</v>
      </c>
      <c r="S12" s="199">
        <f>'תקציב החברה לפיתוח 2020'!S12</f>
        <v>0</v>
      </c>
      <c r="T12" s="199">
        <f>'תקציב החברה לפיתוח 2020'!T12</f>
        <v>0</v>
      </c>
      <c r="U12" s="199">
        <f>'תקציב החברה לפיתוח 2020'!U12</f>
        <v>0</v>
      </c>
      <c r="V12" s="199">
        <f>'תקציב החברה לפיתוח 2020'!V12</f>
        <v>0</v>
      </c>
      <c r="W12" s="199">
        <f>'תקציב החברה לפיתוח 2020'!W12</f>
        <v>0</v>
      </c>
      <c r="X12" s="199">
        <f>'תקציב החברה לפיתוח 2020'!X12</f>
        <v>0</v>
      </c>
      <c r="Y12" s="199">
        <f>'תקציב החברה לפיתוח 2020'!Y12</f>
        <v>0</v>
      </c>
      <c r="Z12" s="199">
        <f>'תקציב החברה לפיתוח 2020'!Z12</f>
        <v>0</v>
      </c>
      <c r="AA12" s="341" t="str">
        <f>'תקציב החברה לפיתוח 2020'!AA12</f>
        <v xml:space="preserve">ביצוע והשלמת תכנון פארק צפון. </v>
      </c>
      <c r="AB12" s="707">
        <f>'תקציב החברה לפיתוח 2020'!AB12</f>
        <v>742000</v>
      </c>
      <c r="AC12" s="191"/>
      <c r="AD12" s="191"/>
      <c r="AE12" s="624"/>
      <c r="AF12" s="627"/>
      <c r="AG12" s="331"/>
      <c r="AH12" s="331"/>
    </row>
    <row r="13" spans="1:34" s="203" customFormat="1" ht="19.95" customHeight="1">
      <c r="A13" s="198">
        <f t="shared" si="0"/>
        <v>8</v>
      </c>
      <c r="B13" s="707">
        <f>'תקציב החברה לפיתוח 2020'!B13</f>
        <v>1298</v>
      </c>
      <c r="C13" s="341" t="str">
        <f>'תקציב החברה לפיתוח 2020'!C13</f>
        <v>תכנונים כלליים</v>
      </c>
      <c r="D13" s="199">
        <f>'תקציב החברה לפיתוח 2020'!D13</f>
        <v>4600000</v>
      </c>
      <c r="E13" s="199">
        <f>'תקציב החברה לפיתוח 2020'!E13</f>
        <v>4600000</v>
      </c>
      <c r="F13" s="199">
        <f>'תקציב החברה לפיתוח 2020'!F13</f>
        <v>0</v>
      </c>
      <c r="G13" s="199">
        <f>'תקציב החברה לפיתוח 2020'!G13</f>
        <v>4100000</v>
      </c>
      <c r="H13" s="199">
        <f>'תקציב החברה לפיתוח 2020'!H13</f>
        <v>3769560.87</v>
      </c>
      <c r="I13" s="199">
        <f>'תקציב החברה לפיתוח 2020'!I13</f>
        <v>0</v>
      </c>
      <c r="J13" s="199">
        <f>'תקציב החברה לפיתוח 2020'!J13</f>
        <v>311421.5</v>
      </c>
      <c r="K13" s="199">
        <f>'תקציב החברה לפיתוח 2020'!K13</f>
        <v>311421.5</v>
      </c>
      <c r="L13" s="199">
        <f>'תקציב החברה לפיתוח 2020'!L13</f>
        <v>4080982.37</v>
      </c>
      <c r="M13" s="199">
        <f>'תקציב החברה לפיתוח 2020'!M13</f>
        <v>519017.62999999989</v>
      </c>
      <c r="N13" s="199">
        <f>'תקציב החברה לפיתוח 2020'!N13</f>
        <v>0</v>
      </c>
      <c r="O13" s="199">
        <f>'תקציב החברה לפיתוח 2020'!O13</f>
        <v>0</v>
      </c>
      <c r="P13" s="199">
        <f>'תקציב החברה לפיתוח 2020'!P13</f>
        <v>19017.629999999888</v>
      </c>
      <c r="Q13" s="199">
        <f>'תקציב החברה לפיתוח 2020'!Q13</f>
        <v>500000</v>
      </c>
      <c r="R13" s="199">
        <f>'תקציב החברה לפיתוח 2020'!R13</f>
        <v>0</v>
      </c>
      <c r="S13" s="199">
        <f>'תקציב החברה לפיתוח 2020'!S13</f>
        <v>500000</v>
      </c>
      <c r="T13" s="199">
        <f>'תקציב החברה לפיתוח 2020'!T13</f>
        <v>0</v>
      </c>
      <c r="U13" s="199">
        <f>'תקציב החברה לפיתוח 2020'!U13</f>
        <v>0</v>
      </c>
      <c r="V13" s="199">
        <f>'תקציב החברה לפיתוח 2020'!V13</f>
        <v>0</v>
      </c>
      <c r="W13" s="199">
        <f>'תקציב החברה לפיתוח 2020'!W13</f>
        <v>0</v>
      </c>
      <c r="X13" s="199">
        <f>'תקציב החברה לפיתוח 2020'!X13</f>
        <v>0</v>
      </c>
      <c r="Y13" s="199">
        <f>'תקציב החברה לפיתוח 2020'!Y13</f>
        <v>0</v>
      </c>
      <c r="Z13" s="199">
        <f>'תקציב החברה לפיתוח 2020'!Z13</f>
        <v>0</v>
      </c>
      <c r="AA13" s="341" t="str">
        <f>'תקציב החברה לפיתוח 2020'!AA13</f>
        <v>סל עבודות תכנון עפ"י דרישה.</v>
      </c>
      <c r="AB13" s="707">
        <f>'תקציב החברה לפיתוח 2020'!AB13</f>
        <v>742000</v>
      </c>
      <c r="AC13" s="191"/>
      <c r="AD13" s="191"/>
      <c r="AE13" s="624"/>
      <c r="AF13" s="627"/>
      <c r="AG13" s="331"/>
      <c r="AH13" s="331"/>
    </row>
    <row r="14" spans="1:34" s="202" customFormat="1" ht="35.1" customHeight="1">
      <c r="A14" s="198">
        <f t="shared" si="0"/>
        <v>9</v>
      </c>
      <c r="B14" s="707">
        <f>'תקציב החברה לפיתוח 2020'!B14</f>
        <v>1312</v>
      </c>
      <c r="C14" s="341" t="str">
        <f>'תקציב החברה לפיתוח 2020'!C14</f>
        <v>השלמת מבנה העיריה החדש</v>
      </c>
      <c r="D14" s="199">
        <f>'תקציב החברה לפיתוח 2020'!D14</f>
        <v>109500000</v>
      </c>
      <c r="E14" s="199">
        <f>'תקציב החברה לפיתוח 2020'!E14</f>
        <v>109500000</v>
      </c>
      <c r="F14" s="199">
        <f>'תקציב החברה לפיתוח 2020'!F14</f>
        <v>0</v>
      </c>
      <c r="G14" s="199">
        <f>'תקציב החברה לפיתוח 2020'!G14</f>
        <v>109500000</v>
      </c>
      <c r="H14" s="199">
        <f>'תקציב החברה לפיתוח 2020'!H14</f>
        <v>103144077.06999999</v>
      </c>
      <c r="I14" s="199">
        <f>'תקציב החברה לפיתוח 2020'!I14</f>
        <v>0</v>
      </c>
      <c r="J14" s="199">
        <f>'תקציב החברה לפיתוח 2020'!J14</f>
        <v>4833910.67</v>
      </c>
      <c r="K14" s="199">
        <f>'תקציב החברה לפיתוח 2020'!K14</f>
        <v>4833910.67</v>
      </c>
      <c r="L14" s="199">
        <f>'תקציב החברה לפיתוח 2020'!L14</f>
        <v>107977987.73999999</v>
      </c>
      <c r="M14" s="199">
        <f>'תקציב החברה לפיתוח 2020'!M14</f>
        <v>1522012.2600000054</v>
      </c>
      <c r="N14" s="199">
        <f>'תקציב החברה לפיתוח 2020'!N14</f>
        <v>0</v>
      </c>
      <c r="O14" s="199">
        <f>'תקציב החברה לפיתוח 2020'!O14</f>
        <v>0</v>
      </c>
      <c r="P14" s="199">
        <f>'תקציב החברה לפיתוח 2020'!P14</f>
        <v>1522012.2600000054</v>
      </c>
      <c r="Q14" s="199">
        <f>'תקציב החברה לפיתוח 2020'!Q14</f>
        <v>0</v>
      </c>
      <c r="R14" s="199">
        <f>'תקציב החברה לפיתוח 2020'!R14</f>
        <v>0</v>
      </c>
      <c r="S14" s="199">
        <f>'תקציב החברה לפיתוח 2020'!S14</f>
        <v>0</v>
      </c>
      <c r="T14" s="199">
        <f>'תקציב החברה לפיתוח 2020'!T14</f>
        <v>0</v>
      </c>
      <c r="U14" s="199">
        <f>'תקציב החברה לפיתוח 2020'!U14</f>
        <v>0</v>
      </c>
      <c r="V14" s="199">
        <f>'תקציב החברה לפיתוח 2020'!V14</f>
        <v>0</v>
      </c>
      <c r="W14" s="199">
        <f>'תקציב החברה לפיתוח 2020'!W14</f>
        <v>0</v>
      </c>
      <c r="X14" s="199">
        <f>'תקציב החברה לפיתוח 2020'!X14</f>
        <v>0</v>
      </c>
      <c r="Y14" s="199">
        <f>'תקציב החברה לפיתוח 2020'!Y14</f>
        <v>0</v>
      </c>
      <c r="Z14" s="199">
        <f>'תקציב החברה לפיתוח 2020'!Z14</f>
        <v>0</v>
      </c>
      <c r="AA14" s="341" t="str">
        <f>'תקציב החברה לפיתוח 2020'!AA14</f>
        <v>יתרת עבודות השלמה שינויים קומה  0 ו - 3. לקראת סיום.</v>
      </c>
      <c r="AB14" s="707">
        <f>'תקציב החברה לפיתוח 2020'!AB14</f>
        <v>930000</v>
      </c>
      <c r="AC14" s="191"/>
      <c r="AD14" s="191"/>
      <c r="AE14" s="624"/>
      <c r="AF14" s="627"/>
      <c r="AG14" s="331"/>
      <c r="AH14" s="331"/>
    </row>
    <row r="15" spans="1:34" s="5" customFormat="1" ht="41.4">
      <c r="A15" s="198">
        <f t="shared" si="0"/>
        <v>10</v>
      </c>
      <c r="B15" s="707">
        <f>'תקציב החברה לפיתוח 2020'!B15</f>
        <v>1314</v>
      </c>
      <c r="C15" s="341" t="str">
        <f>'תקציב החברה לפיתוח 2020'!C15</f>
        <v>רח' גבעת החלומות פיתוח</v>
      </c>
      <c r="D15" s="199">
        <f>'תקציב החברה לפיתוח 2020'!D15</f>
        <v>3200000</v>
      </c>
      <c r="E15" s="199">
        <f>'תקציב החברה לפיתוח 2020'!E15</f>
        <v>3200000</v>
      </c>
      <c r="F15" s="199">
        <f>'תקציב החברה לפיתוח 2020'!F15</f>
        <v>0</v>
      </c>
      <c r="G15" s="199">
        <f>'תקציב החברה לפיתוח 2020'!G15</f>
        <v>400000</v>
      </c>
      <c r="H15" s="199">
        <f>'תקציב החברה לפיתוח 2020'!H15</f>
        <v>359314.49</v>
      </c>
      <c r="I15" s="199">
        <f>'תקציב החברה לפיתוח 2020'!I15</f>
        <v>0</v>
      </c>
      <c r="J15" s="199">
        <f>'תקציב החברה לפיתוח 2020'!J15</f>
        <v>0</v>
      </c>
      <c r="K15" s="199">
        <f>'תקציב החברה לפיתוח 2020'!K15</f>
        <v>0</v>
      </c>
      <c r="L15" s="199">
        <f>'תקציב החברה לפיתוח 2020'!L15</f>
        <v>359314.49</v>
      </c>
      <c r="M15" s="199">
        <f>'תקציב החברה לפיתוח 2020'!M15</f>
        <v>40685.510000000009</v>
      </c>
      <c r="N15" s="199">
        <f>'תקציב החברה לפיתוח 2020'!N15</f>
        <v>2800000</v>
      </c>
      <c r="O15" s="199">
        <f>'תקציב החברה לפיתוח 2020'!O15</f>
        <v>0</v>
      </c>
      <c r="P15" s="199">
        <f>'תקציב החברה לפיתוח 2020'!P15</f>
        <v>40685.510000000009</v>
      </c>
      <c r="Q15" s="199">
        <f>'תקציב החברה לפיתוח 2020'!Q15</f>
        <v>0</v>
      </c>
      <c r="R15" s="199">
        <f>'תקציב החברה לפיתוח 2020'!R15</f>
        <v>0</v>
      </c>
      <c r="S15" s="199">
        <f>'תקציב החברה לפיתוח 2020'!S15</f>
        <v>0</v>
      </c>
      <c r="T15" s="199">
        <f>'תקציב החברה לפיתוח 2020'!T15</f>
        <v>0</v>
      </c>
      <c r="U15" s="199">
        <f>'תקציב החברה לפיתוח 2020'!U15</f>
        <v>2800000</v>
      </c>
      <c r="V15" s="199">
        <f>'תקציב החברה לפיתוח 2020'!V15</f>
        <v>2800000</v>
      </c>
      <c r="W15" s="199">
        <f>'תקציב החברה לפיתוח 2020'!W15</f>
        <v>0</v>
      </c>
      <c r="X15" s="199">
        <f>'תקציב החברה לפיתוח 2020'!X15</f>
        <v>0</v>
      </c>
      <c r="Y15" s="199">
        <f>'תקציב החברה לפיתוח 2020'!Y15</f>
        <v>0</v>
      </c>
      <c r="Z15" s="199">
        <f>'תקציב החברה לפיתוח 2020'!Z15</f>
        <v>0</v>
      </c>
      <c r="AA15" s="341" t="str">
        <f>'תקציב החברה לפיתוח 2020'!AA15</f>
        <v xml:space="preserve">פיתוח רחוב גבעת החלומות לרבות עבודות ניקוז ותאורה. עדכון תכנון וביצוע . </v>
      </c>
      <c r="AB15" s="707">
        <f>'תקציב החברה לפיתוח 2020'!AB15</f>
        <v>742000</v>
      </c>
      <c r="AC15" s="191"/>
      <c r="AD15" s="191"/>
      <c r="AE15" s="624"/>
      <c r="AF15" s="627"/>
    </row>
    <row r="16" spans="1:34" s="5" customFormat="1" ht="41.4">
      <c r="A16" s="198">
        <f t="shared" si="0"/>
        <v>11</v>
      </c>
      <c r="B16" s="707">
        <f>'תקציב החברה לפיתוח 2020'!B16</f>
        <v>1322</v>
      </c>
      <c r="C16" s="341" t="str">
        <f>'תקציב החברה לפיתוח 2020'!C16</f>
        <v>מתחם נוף ים פיתוח</v>
      </c>
      <c r="D16" s="199">
        <f>'תקציב החברה לפיתוח 2020'!D16</f>
        <v>18500000</v>
      </c>
      <c r="E16" s="199">
        <f>'תקציב החברה לפיתוח 2020'!E16</f>
        <v>18500000</v>
      </c>
      <c r="F16" s="199">
        <f>'תקציב החברה לפיתוח 2020'!F16</f>
        <v>0</v>
      </c>
      <c r="G16" s="199">
        <f>'תקציב החברה לפיתוח 2020'!G16</f>
        <v>10850000</v>
      </c>
      <c r="H16" s="199">
        <f>'תקציב החברה לפיתוח 2020'!H16</f>
        <v>9625168.5899999999</v>
      </c>
      <c r="I16" s="199">
        <f>'תקציב החברה לפיתוח 2020'!I16</f>
        <v>92414.99</v>
      </c>
      <c r="J16" s="199">
        <f>'תקציב החברה לפיתוח 2020'!J16</f>
        <v>0</v>
      </c>
      <c r="K16" s="199">
        <f>'תקציב החברה לפיתוח 2020'!K16</f>
        <v>92414.99</v>
      </c>
      <c r="L16" s="199">
        <f>'תקציב החברה לפיתוח 2020'!L16</f>
        <v>9717583.5800000001</v>
      </c>
      <c r="M16" s="199">
        <f>'תקציב החברה לפיתוח 2020'!M16</f>
        <v>1132416.42</v>
      </c>
      <c r="N16" s="199">
        <f>'תקציב החברה לפיתוח 2020'!N16</f>
        <v>2000000</v>
      </c>
      <c r="O16" s="199">
        <f>'תקציב החברה לפיתוח 2020'!O16</f>
        <v>5650000</v>
      </c>
      <c r="P16" s="199">
        <f>'תקציב החברה לפיתוח 2020'!P16</f>
        <v>1132416.42</v>
      </c>
      <c r="Q16" s="199">
        <f>'תקציב החברה לפיתוח 2020'!Q16</f>
        <v>0</v>
      </c>
      <c r="R16" s="199">
        <f>'תקציב החברה לפיתוח 2020'!R16</f>
        <v>0</v>
      </c>
      <c r="S16" s="199">
        <f>'תקציב החברה לפיתוח 2020'!S16</f>
        <v>0</v>
      </c>
      <c r="T16" s="199">
        <f>'תקציב החברה לפיתוח 2020'!T16</f>
        <v>0</v>
      </c>
      <c r="U16" s="199">
        <f>'תקציב החברה לפיתוח 2020'!U16</f>
        <v>2000000</v>
      </c>
      <c r="V16" s="199">
        <f>'תקציב החברה לפיתוח 2020'!V16</f>
        <v>2000000</v>
      </c>
      <c r="W16" s="199">
        <f>'תקציב החברה לפיתוח 2020'!W16</f>
        <v>0</v>
      </c>
      <c r="X16" s="199">
        <f>'תקציב החברה לפיתוח 2020'!X16</f>
        <v>0</v>
      </c>
      <c r="Y16" s="199">
        <f>'תקציב החברה לפיתוח 2020'!Y16</f>
        <v>0</v>
      </c>
      <c r="Z16" s="199">
        <f>'תקציב החברה לפיתוח 2020'!Z16</f>
        <v>0</v>
      </c>
      <c r="AA16" s="341" t="str">
        <f>'תקציב החברה לפיתוח 2020'!AA16</f>
        <v>פיתוח הרחובות משער הים צפונה - תשתיות תאורה וגינון, הנשיא והתאנה.</v>
      </c>
      <c r="AB16" s="707">
        <f>'תקציב החברה לפיתוח 2020'!AB16</f>
        <v>742000</v>
      </c>
      <c r="AC16" s="191"/>
      <c r="AD16" s="191"/>
      <c r="AE16" s="624"/>
      <c r="AF16" s="627"/>
    </row>
    <row r="17" spans="1:39" s="5" customFormat="1" ht="41.4">
      <c r="A17" s="198">
        <f t="shared" si="0"/>
        <v>12</v>
      </c>
      <c r="B17" s="707">
        <f>'תקציב החברה לפיתוח 2020'!B17</f>
        <v>1357</v>
      </c>
      <c r="C17" s="341" t="str">
        <f>'תקציב החברה לפיתוח 2020'!C17</f>
        <v>ספורטק שלב ג'</v>
      </c>
      <c r="D17" s="199">
        <f>'תקציב החברה לפיתוח 2020'!D17</f>
        <v>25000000</v>
      </c>
      <c r="E17" s="199">
        <f>'תקציב החברה לפיתוח 2020'!E17</f>
        <v>25000000</v>
      </c>
      <c r="F17" s="199">
        <f>'תקציב החברה לפיתוח 2020'!F17</f>
        <v>0</v>
      </c>
      <c r="G17" s="199">
        <f>'תקציב החברה לפיתוח 2020'!G17</f>
        <v>12612000</v>
      </c>
      <c r="H17" s="199">
        <f>'תקציב החברה לפיתוח 2020'!H17</f>
        <v>12420746.140000001</v>
      </c>
      <c r="I17" s="199">
        <f>'תקציב החברה לפיתוח 2020'!I17</f>
        <v>0</v>
      </c>
      <c r="J17" s="199">
        <f>'תקציב החברה לפיתוח 2020'!J17</f>
        <v>162998.54999999999</v>
      </c>
      <c r="K17" s="199">
        <f>'תקציב החברה לפיתוח 2020'!K17</f>
        <v>162998.54999999999</v>
      </c>
      <c r="L17" s="199">
        <f>'תקציב החברה לפיתוח 2020'!L17</f>
        <v>12583744.690000001</v>
      </c>
      <c r="M17" s="199">
        <f>'תקציב החברה לפיתוח 2020'!M17</f>
        <v>28255.309999998659</v>
      </c>
      <c r="N17" s="199">
        <f>'תקציב החברה לפיתוח 2020'!N17</f>
        <v>5000000</v>
      </c>
      <c r="O17" s="199">
        <f>'תקציב החברה לפיתוח 2020'!O17</f>
        <v>7388000</v>
      </c>
      <c r="P17" s="199">
        <f>'תקציב החברה לפיתוח 2020'!P17</f>
        <v>28255.309999998659</v>
      </c>
      <c r="Q17" s="199">
        <f>'תקציב החברה לפיתוח 2020'!Q17</f>
        <v>0</v>
      </c>
      <c r="R17" s="199">
        <f>'תקציב החברה לפיתוח 2020'!R17</f>
        <v>0</v>
      </c>
      <c r="S17" s="199">
        <f>'תקציב החברה לפיתוח 2020'!S17</f>
        <v>0</v>
      </c>
      <c r="T17" s="199">
        <f>'תקציב החברה לפיתוח 2020'!T17</f>
        <v>0</v>
      </c>
      <c r="U17" s="199">
        <f>'תקציב החברה לפיתוח 2020'!U17</f>
        <v>5000000</v>
      </c>
      <c r="V17" s="199">
        <f>'תקציב החברה לפיתוח 2020'!V17</f>
        <v>5000000</v>
      </c>
      <c r="W17" s="199">
        <f>'תקציב החברה לפיתוח 2020'!W17</f>
        <v>0</v>
      </c>
      <c r="X17" s="199">
        <f>'תקציב החברה לפיתוח 2020'!X17</f>
        <v>0</v>
      </c>
      <c r="Y17" s="199">
        <f>'תקציב החברה לפיתוח 2020'!Y17</f>
        <v>0</v>
      </c>
      <c r="Z17" s="199">
        <f>'תקציב החברה לפיתוח 2020'!Z17</f>
        <v>0</v>
      </c>
      <c r="AA17" s="341" t="str">
        <f>'תקציב החברה לפיתוח 2020'!AA17</f>
        <v>עבודות מבנה קט רגל והשלמת פיתוח בשטחים "ריקים" הגובלים בפטנק ומגרשי קטרגל.</v>
      </c>
      <c r="AB17" s="707">
        <f>'תקציב החברה לפיתוח 2020'!AB17</f>
        <v>829000</v>
      </c>
      <c r="AC17" s="191"/>
      <c r="AD17" s="191"/>
      <c r="AE17" s="624"/>
      <c r="AF17" s="627"/>
    </row>
    <row r="18" spans="1:39" s="202" customFormat="1" ht="41.4">
      <c r="A18" s="198">
        <f t="shared" si="0"/>
        <v>13</v>
      </c>
      <c r="B18" s="707">
        <f>'תקציב החברה לפיתוח 2020'!B18</f>
        <v>1375</v>
      </c>
      <c r="C18" s="341" t="str">
        <f>'תקציב החברה לפיתוח 2020'!C18</f>
        <v>הקמת בריכה ומרכז לאומנויות לחימה</v>
      </c>
      <c r="D18" s="199">
        <f>'תקציב החברה לפיתוח 2020'!D18</f>
        <v>40150000</v>
      </c>
      <c r="E18" s="199">
        <f>'תקציב החברה לפיתוח 2020'!E18</f>
        <v>40150000</v>
      </c>
      <c r="F18" s="199">
        <f>'תקציב החברה לפיתוח 2020'!F18</f>
        <v>0</v>
      </c>
      <c r="G18" s="199">
        <f>'תקציב החברה לפיתוח 2020'!G18</f>
        <v>29500000</v>
      </c>
      <c r="H18" s="199">
        <f>'תקציב החברה לפיתוח 2020'!H18</f>
        <v>27491253.710000001</v>
      </c>
      <c r="I18" s="199">
        <f>'תקציב החברה לפיתוח 2020'!I18</f>
        <v>0</v>
      </c>
      <c r="J18" s="199">
        <f>'תקציב החברה לפיתוח 2020'!J18</f>
        <v>73394.25</v>
      </c>
      <c r="K18" s="199">
        <f>'תקציב החברה לפיתוח 2020'!K18</f>
        <v>73394.25</v>
      </c>
      <c r="L18" s="199">
        <f>'תקציב החברה לפיתוח 2020'!L18</f>
        <v>27564647.960000001</v>
      </c>
      <c r="M18" s="199">
        <f>'תקציב החברה לפיתוח 2020'!M18</f>
        <v>2585352.0399999991</v>
      </c>
      <c r="N18" s="199">
        <f>'תקציב החברה לפיתוח 2020'!N18</f>
        <v>0</v>
      </c>
      <c r="O18" s="199">
        <f>'תקציב החברה לפיתוח 2020'!O18</f>
        <v>10000000</v>
      </c>
      <c r="P18" s="199">
        <f>'תקציב החברה לפיתוח 2020'!P18</f>
        <v>1935352.0399999991</v>
      </c>
      <c r="Q18" s="199">
        <f>'תקציב החברה לפיתוח 2020'!Q18</f>
        <v>650000</v>
      </c>
      <c r="R18" s="199">
        <f>'תקציב החברה לפיתוח 2020'!R18</f>
        <v>0</v>
      </c>
      <c r="S18" s="199">
        <f>'תקציב החברה לפיתוח 2020'!S18</f>
        <v>650000</v>
      </c>
      <c r="T18" s="199">
        <f>'תקציב החברה לפיתוח 2020'!T18</f>
        <v>0</v>
      </c>
      <c r="U18" s="199">
        <f>'תקציב החברה לפיתוח 2020'!U18</f>
        <v>0</v>
      </c>
      <c r="V18" s="199">
        <f>'תקציב החברה לפיתוח 2020'!V18</f>
        <v>0</v>
      </c>
      <c r="W18" s="199">
        <f>'תקציב החברה לפיתוח 2020'!W18</f>
        <v>0</v>
      </c>
      <c r="X18" s="199">
        <f>'תקציב החברה לפיתוח 2020'!X18</f>
        <v>0</v>
      </c>
      <c r="Y18" s="199">
        <f>'תקציב החברה לפיתוח 2020'!Y18</f>
        <v>0</v>
      </c>
      <c r="Z18" s="199">
        <f>'תקציב החברה לפיתוח 2020'!Z18</f>
        <v>0</v>
      </c>
      <c r="AA18" s="341" t="str">
        <f>'תקציב החברה לפיתוח 2020'!AA18</f>
        <v xml:space="preserve">המשך עבודות הקמת חדרי פעילויות, בית קפה לרבות תוספת שרותים. </v>
      </c>
      <c r="AB18" s="707">
        <f>'תקציב החברה לפיתוח 2020'!AB18</f>
        <v>747000</v>
      </c>
      <c r="AC18" s="191"/>
      <c r="AD18" s="191"/>
      <c r="AE18" s="624"/>
      <c r="AF18" s="627"/>
      <c r="AG18" s="331"/>
      <c r="AH18" s="331"/>
    </row>
    <row r="19" spans="1:39" s="202" customFormat="1" ht="41.4">
      <c r="A19" s="198">
        <f t="shared" si="0"/>
        <v>14</v>
      </c>
      <c r="B19" s="707">
        <f>'תקציב החברה לפיתוח 2020'!B19</f>
        <v>1403</v>
      </c>
      <c r="C19" s="341" t="str">
        <f>'תקציב החברה לפיתוח 2020'!C19</f>
        <v>מרכז פיס לתרבות מוסיקה קהילה</v>
      </c>
      <c r="D19" s="199">
        <f>'תקציב החברה לפיתוח 2020'!D19</f>
        <v>36250000</v>
      </c>
      <c r="E19" s="199">
        <f>'תקציב החברה לפיתוח 2020'!E19</f>
        <v>36250000</v>
      </c>
      <c r="F19" s="199">
        <f>'תקציב החברה לפיתוח 2020'!F19</f>
        <v>0</v>
      </c>
      <c r="G19" s="199">
        <f>'תקציב החברה לפיתוח 2020'!G19</f>
        <v>36250000</v>
      </c>
      <c r="H19" s="199">
        <f>'תקציב החברה לפיתוח 2020'!H19</f>
        <v>35249254.460000001</v>
      </c>
      <c r="I19" s="199">
        <f>'תקציב החברה לפיתוח 2020'!I19</f>
        <v>0</v>
      </c>
      <c r="J19" s="199">
        <f>'תקציב החברה לפיתוח 2020'!J19</f>
        <v>1000738.72</v>
      </c>
      <c r="K19" s="199">
        <f>'תקציב החברה לפיתוח 2020'!K19</f>
        <v>1000738.72</v>
      </c>
      <c r="L19" s="199">
        <f>'תקציב החברה לפיתוח 2020'!L19</f>
        <v>36249993.18</v>
      </c>
      <c r="M19" s="199">
        <f>'תקציב החברה לפיתוח 2020'!M19</f>
        <v>6.8200000002980232</v>
      </c>
      <c r="N19" s="199">
        <f>'תקציב החברה לפיתוח 2020'!N19</f>
        <v>0</v>
      </c>
      <c r="O19" s="199">
        <f>'תקציב החברה לפיתוח 2020'!O19</f>
        <v>0</v>
      </c>
      <c r="P19" s="199">
        <f>'תקציב החברה לפיתוח 2020'!P19</f>
        <v>6.8200000002980232</v>
      </c>
      <c r="Q19" s="199">
        <f>'תקציב החברה לפיתוח 2020'!Q19</f>
        <v>0</v>
      </c>
      <c r="R19" s="199">
        <f>'תקציב החברה לפיתוח 2020'!R19</f>
        <v>0</v>
      </c>
      <c r="S19" s="199">
        <f>'תקציב החברה לפיתוח 2020'!S19</f>
        <v>0</v>
      </c>
      <c r="T19" s="199">
        <f>'תקציב החברה לפיתוח 2020'!T19</f>
        <v>0</v>
      </c>
      <c r="U19" s="199">
        <f>'תקציב החברה לפיתוח 2020'!U19</f>
        <v>0</v>
      </c>
      <c r="V19" s="199">
        <f>'תקציב החברה לפיתוח 2020'!V19</f>
        <v>0</v>
      </c>
      <c r="W19" s="199">
        <f>'תקציב החברה לפיתוח 2020'!W19</f>
        <v>0</v>
      </c>
      <c r="X19" s="199">
        <f>'תקציב החברה לפיתוח 2020'!X19</f>
        <v>0</v>
      </c>
      <c r="Y19" s="199">
        <f>'תקציב החברה לפיתוח 2020'!Y19</f>
        <v>0</v>
      </c>
      <c r="Z19" s="199">
        <f>'תקציב החברה לפיתוח 2020'!Z19</f>
        <v>0</v>
      </c>
      <c r="AA19" s="341" t="str">
        <f>'תקציב החברה לפיתוח 2020'!AA19</f>
        <v>הקמת מבנה תרבות כולל חדרי מחול וקונסבטוריון . מימון מפעל הפייס. לקראת סיום.</v>
      </c>
      <c r="AB19" s="707">
        <f>'תקציב החברה לפיתוח 2020'!AB19</f>
        <v>826000</v>
      </c>
      <c r="AC19" s="191"/>
      <c r="AD19" s="191"/>
      <c r="AE19" s="624"/>
      <c r="AF19" s="627"/>
      <c r="AG19" s="331"/>
      <c r="AH19" s="331"/>
    </row>
    <row r="20" spans="1:39" s="202" customFormat="1">
      <c r="A20" s="198">
        <f t="shared" si="0"/>
        <v>15</v>
      </c>
      <c r="B20" s="707">
        <f>'תקציב החברה לפיתוח 2020'!B20</f>
        <v>1443</v>
      </c>
      <c r="C20" s="341" t="str">
        <f>'תקציב החברה לפיתוח 2020'!C20</f>
        <v>עבודות פינוי ומיחזור הר' 1903</v>
      </c>
      <c r="D20" s="199">
        <f>'תקציב החברה לפיתוח 2020'!D20</f>
        <v>78500000</v>
      </c>
      <c r="E20" s="199">
        <f>'תקציב החברה לפיתוח 2020'!E20</f>
        <v>78500000</v>
      </c>
      <c r="F20" s="199">
        <f>'תקציב החברה לפיתוח 2020'!F20</f>
        <v>0</v>
      </c>
      <c r="G20" s="199">
        <f>'תקציב החברה לפיתוח 2020'!G20</f>
        <v>50840000</v>
      </c>
      <c r="H20" s="199">
        <f>'תקציב החברה לפיתוח 2020'!H20</f>
        <v>50824299</v>
      </c>
      <c r="I20" s="199">
        <f>'תקציב החברה לפיתוח 2020'!I20</f>
        <v>0</v>
      </c>
      <c r="J20" s="199">
        <f>'תקציב החברה לפיתוח 2020'!J20</f>
        <v>0</v>
      </c>
      <c r="K20" s="199">
        <f>'תקציב החברה לפיתוח 2020'!K20</f>
        <v>0</v>
      </c>
      <c r="L20" s="199">
        <f>'תקציב החברה לפיתוח 2020'!L20</f>
        <v>50824299</v>
      </c>
      <c r="M20" s="199">
        <f>'תקציב החברה לפיתוח 2020'!M20</f>
        <v>15701</v>
      </c>
      <c r="N20" s="199">
        <f>'תקציב החברה לפיתוח 2020'!N20</f>
        <v>0</v>
      </c>
      <c r="O20" s="199">
        <f>'תקציב החברה לפיתוח 2020'!O20</f>
        <v>27660000</v>
      </c>
      <c r="P20" s="199">
        <f>'תקציב החברה לפיתוח 2020'!P20</f>
        <v>15701</v>
      </c>
      <c r="Q20" s="199">
        <f>'תקציב החברה לפיתוח 2020'!Q20</f>
        <v>0</v>
      </c>
      <c r="R20" s="199">
        <f>'תקציב החברה לפיתוח 2020'!R20</f>
        <v>0</v>
      </c>
      <c r="S20" s="199">
        <f>'תקציב החברה לפיתוח 2020'!S20</f>
        <v>0</v>
      </c>
      <c r="T20" s="199">
        <f>'תקציב החברה לפיתוח 2020'!T20</f>
        <v>0</v>
      </c>
      <c r="U20" s="199">
        <f>'תקציב החברה לפיתוח 2020'!U20</f>
        <v>0</v>
      </c>
      <c r="V20" s="199">
        <f>'תקציב החברה לפיתוח 2020'!V20</f>
        <v>0</v>
      </c>
      <c r="W20" s="199">
        <f>'תקציב החברה לפיתוח 2020'!W20</f>
        <v>0</v>
      </c>
      <c r="X20" s="199">
        <f>'תקציב החברה לפיתוח 2020'!X20</f>
        <v>0</v>
      </c>
      <c r="Y20" s="199">
        <f>'תקציב החברה לפיתוח 2020'!Y20</f>
        <v>0</v>
      </c>
      <c r="Z20" s="199">
        <f>'תקציב החברה לפיתוח 2020'!Z20</f>
        <v>0</v>
      </c>
      <c r="AA20" s="341">
        <f>'תקציב החברה לפיתוח 2020'!AA20</f>
        <v>0</v>
      </c>
      <c r="AB20" s="707">
        <f>'תקציב החברה לפיתוח 2020'!AB20</f>
        <v>749000</v>
      </c>
      <c r="AC20" s="191"/>
      <c r="AD20" s="191"/>
      <c r="AE20" s="624"/>
      <c r="AF20" s="627"/>
      <c r="AG20" s="331"/>
      <c r="AH20" s="331"/>
    </row>
    <row r="21" spans="1:39" s="202" customFormat="1" ht="41.4">
      <c r="A21" s="198">
        <f t="shared" si="0"/>
        <v>16</v>
      </c>
      <c r="B21" s="707">
        <f>'תקציב החברה לפיתוח 2020'!B21</f>
        <v>1446</v>
      </c>
      <c r="C21" s="341" t="str">
        <f>'תקציב החברה לפיתוח 2020'!C21</f>
        <v xml:space="preserve">מתחם נוריות  </v>
      </c>
      <c r="D21" s="199">
        <f>'תקציב החברה לפיתוח 2020'!D21</f>
        <v>14250000</v>
      </c>
      <c r="E21" s="199">
        <f>'תקציב החברה לפיתוח 2020'!E21</f>
        <v>14250000</v>
      </c>
      <c r="F21" s="199">
        <f>'תקציב החברה לפיתוח 2020'!F21</f>
        <v>0</v>
      </c>
      <c r="G21" s="199">
        <f>'תקציב החברה לפיתוח 2020'!G21</f>
        <v>8000000</v>
      </c>
      <c r="H21" s="199">
        <f>'תקציב החברה לפיתוח 2020'!H21</f>
        <v>3219669.5</v>
      </c>
      <c r="I21" s="199">
        <f>'תקציב החברה לפיתוח 2020'!I21</f>
        <v>0</v>
      </c>
      <c r="J21" s="199">
        <f>'תקציב החברה לפיתוח 2020'!J21</f>
        <v>323514.64</v>
      </c>
      <c r="K21" s="199">
        <f>'תקציב החברה לפיתוח 2020'!K21</f>
        <v>323514.64</v>
      </c>
      <c r="L21" s="199">
        <f>'תקציב החברה לפיתוח 2020'!L21</f>
        <v>3543184.14</v>
      </c>
      <c r="M21" s="199">
        <f>'תקציב החברה לפיתוח 2020'!M21</f>
        <v>10706815.859999999</v>
      </c>
      <c r="N21" s="199">
        <f>'תקציב החברה לפיתוח 2020'!N21</f>
        <v>0</v>
      </c>
      <c r="O21" s="199">
        <f>'תקציב החברה לפיתוח 2020'!O21</f>
        <v>0</v>
      </c>
      <c r="P21" s="199">
        <f>'תקציב החברה לפיתוח 2020'!P21</f>
        <v>4456815.8599999994</v>
      </c>
      <c r="Q21" s="199">
        <f>'תקציב החברה לפיתוח 2020'!Q21</f>
        <v>6250000</v>
      </c>
      <c r="R21" s="199">
        <f>'תקציב החברה לפיתוח 2020'!R21</f>
        <v>0</v>
      </c>
      <c r="S21" s="199">
        <f>'תקציב החברה לפיתוח 2020'!S21</f>
        <v>6250000</v>
      </c>
      <c r="T21" s="199">
        <f>'תקציב החברה לפיתוח 2020'!T21</f>
        <v>0</v>
      </c>
      <c r="U21" s="199">
        <f>'תקציב החברה לפיתוח 2020'!U21</f>
        <v>0</v>
      </c>
      <c r="V21" s="199">
        <f>'תקציב החברה לפיתוח 2020'!V21</f>
        <v>0</v>
      </c>
      <c r="W21" s="199">
        <f>'תקציב החברה לפיתוח 2020'!W21</f>
        <v>0</v>
      </c>
      <c r="X21" s="199">
        <f>'תקציב החברה לפיתוח 2020'!X21</f>
        <v>0</v>
      </c>
      <c r="Y21" s="199">
        <f>'תקציב החברה לפיתוח 2020'!Y21</f>
        <v>0</v>
      </c>
      <c r="Z21" s="199">
        <f>'תקציב החברה לפיתוח 2020'!Z21</f>
        <v>0</v>
      </c>
      <c r="AA21" s="341" t="str">
        <f>'תקציב החברה לפיתוח 2020'!AA21</f>
        <v>המשך עבודות פיתוח במתחם הרחובות הנוריות, אנצו סירני , דב גרונר , שלמה בן יוסף , חביבה רייך.</v>
      </c>
      <c r="AB21" s="707">
        <f>'תקציב החברה לפיתוח 2020'!AB21</f>
        <v>742000</v>
      </c>
      <c r="AC21" s="191"/>
      <c r="AD21" s="191"/>
      <c r="AE21" s="624"/>
      <c r="AF21" s="627"/>
      <c r="AG21" s="331"/>
      <c r="AH21" s="331"/>
    </row>
    <row r="22" spans="1:39" s="202" customFormat="1">
      <c r="A22" s="198">
        <f t="shared" si="0"/>
        <v>17</v>
      </c>
      <c r="B22" s="707">
        <f>'תקציב החברה לפיתוח 2020'!B22</f>
        <v>1455</v>
      </c>
      <c r="C22" s="341" t="str">
        <f>'תקציב החברה לפיתוח 2020'!C22</f>
        <v>רחובות תדהר קורן ואנה פרנק</v>
      </c>
      <c r="D22" s="199">
        <f>'תקציב החברה לפיתוח 2020'!D22</f>
        <v>4500000</v>
      </c>
      <c r="E22" s="199">
        <f>'תקציב החברה לפיתוח 2020'!E22</f>
        <v>4500000</v>
      </c>
      <c r="F22" s="199">
        <f>'תקציב החברה לפיתוח 2020'!F22</f>
        <v>0</v>
      </c>
      <c r="G22" s="199">
        <f>'תקציב החברה לפיתוח 2020'!G22</f>
        <v>4500000</v>
      </c>
      <c r="H22" s="199">
        <f>'תקציב החברה לפיתוח 2020'!H22</f>
        <v>3313902.7</v>
      </c>
      <c r="I22" s="199">
        <f>'תקציב החברה לפיתוח 2020'!I22</f>
        <v>0</v>
      </c>
      <c r="J22" s="199">
        <f>'תקציב החברה לפיתוח 2020'!J22</f>
        <v>414522.88</v>
      </c>
      <c r="K22" s="199">
        <f>'תקציב החברה לפיתוח 2020'!K22</f>
        <v>414522.88</v>
      </c>
      <c r="L22" s="199">
        <f>'תקציב החברה לפיתוח 2020'!L22</f>
        <v>3728425.58</v>
      </c>
      <c r="M22" s="199">
        <f>'תקציב החברה לפיתוח 2020'!M22</f>
        <v>771574.41999999993</v>
      </c>
      <c r="N22" s="199">
        <f>'תקציב החברה לפיתוח 2020'!N22</f>
        <v>0</v>
      </c>
      <c r="O22" s="199">
        <f>'תקציב החברה לפיתוח 2020'!O22</f>
        <v>0</v>
      </c>
      <c r="P22" s="199">
        <f>'תקציב החברה לפיתוח 2020'!P22</f>
        <v>771574.41999999993</v>
      </c>
      <c r="Q22" s="199">
        <f>'תקציב החברה לפיתוח 2020'!Q22</f>
        <v>0</v>
      </c>
      <c r="R22" s="199">
        <f>'תקציב החברה לפיתוח 2020'!R22</f>
        <v>0</v>
      </c>
      <c r="S22" s="199">
        <f>'תקציב החברה לפיתוח 2020'!S22</f>
        <v>0</v>
      </c>
      <c r="T22" s="199">
        <f>'תקציב החברה לפיתוח 2020'!T22</f>
        <v>0</v>
      </c>
      <c r="U22" s="199">
        <f>'תקציב החברה לפיתוח 2020'!U22</f>
        <v>0</v>
      </c>
      <c r="V22" s="199">
        <f>'תקציב החברה לפיתוח 2020'!V22</f>
        <v>0</v>
      </c>
      <c r="W22" s="199">
        <f>'תקציב החברה לפיתוח 2020'!W22</f>
        <v>0</v>
      </c>
      <c r="X22" s="199">
        <f>'תקציב החברה לפיתוח 2020'!X22</f>
        <v>0</v>
      </c>
      <c r="Y22" s="199">
        <f>'תקציב החברה לפיתוח 2020'!Y22</f>
        <v>0</v>
      </c>
      <c r="Z22" s="199">
        <f>'תקציב החברה לפיתוח 2020'!Z22</f>
        <v>0</v>
      </c>
      <c r="AA22" s="341" t="str">
        <f>'תקציב החברה לפיתוח 2020'!AA22</f>
        <v>ממתין לחן סופי.</v>
      </c>
      <c r="AB22" s="707">
        <f>'תקציב החברה לפיתוח 2020'!AB22</f>
        <v>742000</v>
      </c>
      <c r="AC22" s="191"/>
      <c r="AD22" s="191"/>
      <c r="AE22" s="624"/>
      <c r="AF22" s="627"/>
      <c r="AG22" s="331"/>
      <c r="AH22" s="331"/>
    </row>
    <row r="23" spans="1:39" s="202" customFormat="1" ht="27.6">
      <c r="A23" s="198">
        <f t="shared" si="0"/>
        <v>18</v>
      </c>
      <c r="B23" s="707">
        <f>'תקציב החברה לפיתוח 2020'!B23</f>
        <v>1462</v>
      </c>
      <c r="C23" s="341" t="str">
        <f>'תקציב החברה לפיתוח 2020'!C23</f>
        <v>שביל צמרות ישראל (שביל האינטגרציה)</v>
      </c>
      <c r="D23" s="199">
        <f>'תקציב החברה לפיתוח 2020'!D23</f>
        <v>7500000</v>
      </c>
      <c r="E23" s="199">
        <f>'תקציב החברה לפיתוח 2020'!E23</f>
        <v>7500000</v>
      </c>
      <c r="F23" s="199">
        <f>'תקציב החברה לפיתוח 2020'!F23</f>
        <v>0</v>
      </c>
      <c r="G23" s="199">
        <f>'תקציב החברה לפיתוח 2020'!G23</f>
        <v>7500000</v>
      </c>
      <c r="H23" s="199">
        <f>'תקציב החברה לפיתוח 2020'!H23</f>
        <v>3539289.7</v>
      </c>
      <c r="I23" s="199">
        <f>'תקציב החברה לפיתוח 2020'!I23</f>
        <v>0</v>
      </c>
      <c r="J23" s="199">
        <f>'תקציב החברה לפיתוח 2020'!J23</f>
        <v>837250.43</v>
      </c>
      <c r="K23" s="199">
        <f>'תקציב החברה לפיתוח 2020'!K23</f>
        <v>837250.43</v>
      </c>
      <c r="L23" s="199">
        <f>'תקציב החברה לפיתוח 2020'!L23</f>
        <v>4376540.13</v>
      </c>
      <c r="M23" s="199">
        <f>'תקציב החברה לפיתוח 2020'!M23</f>
        <v>3123459.87</v>
      </c>
      <c r="N23" s="199">
        <f>'תקציב החברה לפיתוח 2020'!N23</f>
        <v>0</v>
      </c>
      <c r="O23" s="199">
        <f>'תקציב החברה לפיתוח 2020'!O23</f>
        <v>0</v>
      </c>
      <c r="P23" s="199">
        <f>'תקציב החברה לפיתוח 2020'!P23</f>
        <v>3123459.87</v>
      </c>
      <c r="Q23" s="199">
        <f>'תקציב החברה לפיתוח 2020'!Q23</f>
        <v>0</v>
      </c>
      <c r="R23" s="199">
        <f>'תקציב החברה לפיתוח 2020'!R23</f>
        <v>0</v>
      </c>
      <c r="S23" s="199">
        <f>'תקציב החברה לפיתוח 2020'!S23</f>
        <v>0</v>
      </c>
      <c r="T23" s="199">
        <f>'תקציב החברה לפיתוח 2020'!T23</f>
        <v>0</v>
      </c>
      <c r="U23" s="199">
        <f>'תקציב החברה לפיתוח 2020'!U23</f>
        <v>0</v>
      </c>
      <c r="V23" s="199">
        <f>'תקציב החברה לפיתוח 2020'!V23</f>
        <v>0</v>
      </c>
      <c r="W23" s="199">
        <f>'תקציב החברה לפיתוח 2020'!W23</f>
        <v>0</v>
      </c>
      <c r="X23" s="199">
        <f>'תקציב החברה לפיתוח 2020'!X23</f>
        <v>0</v>
      </c>
      <c r="Y23" s="199">
        <f>'תקציב החברה לפיתוח 2020'!Y23</f>
        <v>0</v>
      </c>
      <c r="Z23" s="199">
        <f>'תקציב החברה לפיתוח 2020'!Z23</f>
        <v>0</v>
      </c>
      <c r="AA23" s="341" t="str">
        <f>'תקציב החברה לפיתוח 2020'!AA23</f>
        <v>פיתוח שביל כניסה והסדרת גישה לבתים. ממתין לחן סופי.</v>
      </c>
      <c r="AB23" s="707">
        <f>'תקציב החברה לפיתוח 2020'!AB23</f>
        <v>742000</v>
      </c>
      <c r="AC23" s="191"/>
      <c r="AD23" s="191"/>
      <c r="AE23" s="624"/>
      <c r="AF23" s="627"/>
      <c r="AG23" s="331"/>
      <c r="AH23" s="331"/>
    </row>
    <row r="24" spans="1:39" s="202" customFormat="1" ht="19.95" customHeight="1">
      <c r="A24" s="198">
        <f t="shared" si="0"/>
        <v>19</v>
      </c>
      <c r="B24" s="707">
        <f>'תקציב החברה לפיתוח 2020'!B24</f>
        <v>1539</v>
      </c>
      <c r="C24" s="341" t="str">
        <f>'תקציב החברה לפיתוח 2020'!C24</f>
        <v>רחוב בר כוכבא</v>
      </c>
      <c r="D24" s="199">
        <f>'תקציב החברה לפיתוח 2020'!D24</f>
        <v>16300000</v>
      </c>
      <c r="E24" s="199">
        <f>'תקציב החברה לפיתוח 2020'!E24</f>
        <v>16300000</v>
      </c>
      <c r="F24" s="199">
        <f>'תקציב החברה לפיתוח 2020'!F24</f>
        <v>0</v>
      </c>
      <c r="G24" s="199">
        <f>'תקציב החברה לפיתוח 2020'!G24</f>
        <v>16300000</v>
      </c>
      <c r="H24" s="199">
        <f>'תקציב החברה לפיתוח 2020'!H24</f>
        <v>13561457.970000001</v>
      </c>
      <c r="I24" s="199">
        <f>'תקציב החברה לפיתוח 2020'!I24</f>
        <v>54264.4</v>
      </c>
      <c r="J24" s="199">
        <f>'תקציב החברה לפיתוח 2020'!J24</f>
        <v>1161823.8700000001</v>
      </c>
      <c r="K24" s="199">
        <f>'תקציב החברה לפיתוח 2020'!K24</f>
        <v>1216088.27</v>
      </c>
      <c r="L24" s="199">
        <f>'תקציב החברה לפיתוח 2020'!L24</f>
        <v>14777546.24</v>
      </c>
      <c r="M24" s="199">
        <f>'תקציב החברה לפיתוח 2020'!M24</f>
        <v>1522453.7599999998</v>
      </c>
      <c r="N24" s="199">
        <f>'תקציב החברה לפיתוח 2020'!N24</f>
        <v>0</v>
      </c>
      <c r="O24" s="199">
        <f>'תקציב החברה לפיתוח 2020'!O24</f>
        <v>0</v>
      </c>
      <c r="P24" s="199">
        <f>'תקציב החברה לפיתוח 2020'!P24</f>
        <v>1522453.7599999998</v>
      </c>
      <c r="Q24" s="199">
        <f>'תקציב החברה לפיתוח 2020'!Q24</f>
        <v>0</v>
      </c>
      <c r="R24" s="199">
        <f>'תקציב החברה לפיתוח 2020'!R24</f>
        <v>0</v>
      </c>
      <c r="S24" s="199">
        <f>'תקציב החברה לפיתוח 2020'!S24</f>
        <v>0</v>
      </c>
      <c r="T24" s="199">
        <f>'תקציב החברה לפיתוח 2020'!T24</f>
        <v>0</v>
      </c>
      <c r="U24" s="199">
        <f>'תקציב החברה לפיתוח 2020'!U24</f>
        <v>0</v>
      </c>
      <c r="V24" s="199">
        <f>'תקציב החברה לפיתוח 2020'!V24</f>
        <v>0</v>
      </c>
      <c r="W24" s="199">
        <f>'תקציב החברה לפיתוח 2020'!W24</f>
        <v>0</v>
      </c>
      <c r="X24" s="199">
        <f>'תקציב החברה לפיתוח 2020'!X24</f>
        <v>0</v>
      </c>
      <c r="Y24" s="199">
        <f>'תקציב החברה לפיתוח 2020'!Y24</f>
        <v>0</v>
      </c>
      <c r="Z24" s="199">
        <f>'תקציב החברה לפיתוח 2020'!Z24</f>
        <v>0</v>
      </c>
      <c r="AA24" s="341" t="str">
        <f>'תקציב החברה לפיתוח 2020'!AA24</f>
        <v>פיתוח תשתיות. בשלבי סיום.</v>
      </c>
      <c r="AB24" s="707">
        <f>'תקציב החברה לפיתוח 2020'!AB24</f>
        <v>742000</v>
      </c>
      <c r="AC24" s="191"/>
      <c r="AD24" s="191"/>
      <c r="AE24" s="624"/>
      <c r="AF24" s="627"/>
      <c r="AG24" s="331"/>
      <c r="AH24" s="331"/>
    </row>
    <row r="25" spans="1:39" s="202" customFormat="1" ht="27.6">
      <c r="A25" s="198">
        <f t="shared" si="0"/>
        <v>20</v>
      </c>
      <c r="B25" s="707">
        <f>'תקציב החברה לפיתוח 2020'!B25</f>
        <v>1588</v>
      </c>
      <c r="C25" s="341" t="str">
        <f>'תקציב החברה לפיתוח 2020'!C25</f>
        <v>פיתוח מתחם אלוני ים הר' 2030</v>
      </c>
      <c r="D25" s="199">
        <f>'תקציב החברה לפיתוח 2020'!D25</f>
        <v>50500000</v>
      </c>
      <c r="E25" s="199">
        <f>'תקציב החברה לפיתוח 2020'!E25</f>
        <v>50500000</v>
      </c>
      <c r="F25" s="199">
        <f>'תקציב החברה לפיתוח 2020'!F25</f>
        <v>0</v>
      </c>
      <c r="G25" s="199">
        <f>'תקציב החברה לפיתוח 2020'!G25</f>
        <v>32500000</v>
      </c>
      <c r="H25" s="199">
        <f>'תקציב החברה לפיתוח 2020'!H25</f>
        <v>27393014.829999998</v>
      </c>
      <c r="I25" s="199">
        <f>'תקציב החברה לפיתוח 2020'!I25</f>
        <v>682147.41</v>
      </c>
      <c r="J25" s="199">
        <f>'תקציב החברה לפיתוח 2020'!J25</f>
        <v>1712018.49</v>
      </c>
      <c r="K25" s="199">
        <f>'תקציב החברה לפיתוח 2020'!K25</f>
        <v>2394165.9</v>
      </c>
      <c r="L25" s="199">
        <f>'תקציב החברה לפיתוח 2020'!L25</f>
        <v>29787180.729999997</v>
      </c>
      <c r="M25" s="199">
        <f>'תקציב החברה לפיתוח 2020'!M25</f>
        <v>15712819.270000003</v>
      </c>
      <c r="N25" s="199">
        <f>'תקציב החברה לפיתוח 2020'!N25</f>
        <v>0</v>
      </c>
      <c r="O25" s="199">
        <f>'תקציב החברה לפיתוח 2020'!O25</f>
        <v>5000000</v>
      </c>
      <c r="P25" s="199">
        <f>'תקציב החברה לפיתוח 2020'!P25</f>
        <v>2712819.2700000033</v>
      </c>
      <c r="Q25" s="199">
        <f>'תקציב החברה לפיתוח 2020'!Q25</f>
        <v>13000000</v>
      </c>
      <c r="R25" s="199">
        <f>'תקציב החברה לפיתוח 2020'!R25</f>
        <v>0</v>
      </c>
      <c r="S25" s="199">
        <f>'תקציב החברה לפיתוח 2020'!S25</f>
        <v>13000000</v>
      </c>
      <c r="T25" s="199">
        <f>'תקציב החברה לפיתוח 2020'!T25</f>
        <v>0</v>
      </c>
      <c r="U25" s="199">
        <f>'תקציב החברה לפיתוח 2020'!U25</f>
        <v>0</v>
      </c>
      <c r="V25" s="199">
        <f>'תקציב החברה לפיתוח 2020'!V25</f>
        <v>0</v>
      </c>
      <c r="W25" s="199">
        <f>'תקציב החברה לפיתוח 2020'!W25</f>
        <v>0</v>
      </c>
      <c r="X25" s="199">
        <f>'תקציב החברה לפיתוח 2020'!X25</f>
        <v>0</v>
      </c>
      <c r="Y25" s="199">
        <f>'תקציב החברה לפיתוח 2020'!Y25</f>
        <v>0</v>
      </c>
      <c r="Z25" s="199">
        <f>'תקציב החברה לפיתוח 2020'!Z25</f>
        <v>0</v>
      </c>
      <c r="AA25" s="341" t="str">
        <f>'תקציב החברה לפיתוח 2020'!AA25</f>
        <v>המשך עבודות פיתוח במתחם אלוני ים הר' 2030.</v>
      </c>
      <c r="AB25" s="707">
        <f>'תקציב החברה לפיתוח 2020'!AB25</f>
        <v>742000</v>
      </c>
      <c r="AC25" s="191"/>
      <c r="AD25" s="191"/>
      <c r="AE25" s="624"/>
      <c r="AF25" s="627"/>
      <c r="AG25" s="331"/>
      <c r="AH25" s="331"/>
    </row>
    <row r="26" spans="1:39" s="202" customFormat="1" ht="27.6">
      <c r="A26" s="198">
        <f t="shared" si="0"/>
        <v>21</v>
      </c>
      <c r="B26" s="707">
        <f>'תקציב החברה לפיתוח 2020'!B26</f>
        <v>1614</v>
      </c>
      <c r="C26" s="341" t="str">
        <f>'תקציב החברה לפיתוח 2020'!C26</f>
        <v>שצ"פ רבי עקיבא דרומה (השביל הירוק)</v>
      </c>
      <c r="D26" s="199">
        <f>'תקציב החברה לפיתוח 2020'!D26</f>
        <v>7200000</v>
      </c>
      <c r="E26" s="199">
        <f>'תקציב החברה לפיתוח 2020'!E26</f>
        <v>7200000</v>
      </c>
      <c r="F26" s="199">
        <f>'תקציב החברה לפיתוח 2020'!F26</f>
        <v>0</v>
      </c>
      <c r="G26" s="199">
        <f>'תקציב החברה לפיתוח 2020'!G26</f>
        <v>7200000</v>
      </c>
      <c r="H26" s="199">
        <f>'תקציב החברה לפיתוח 2020'!H26</f>
        <v>4760817.5</v>
      </c>
      <c r="I26" s="199">
        <f>'תקציב החברה לפיתוח 2020'!I26</f>
        <v>0</v>
      </c>
      <c r="J26" s="199">
        <f>'תקציב החברה לפיתוח 2020'!J26</f>
        <v>915188.54</v>
      </c>
      <c r="K26" s="199">
        <f>'תקציב החברה לפיתוח 2020'!K26</f>
        <v>915188.54</v>
      </c>
      <c r="L26" s="199">
        <f>'תקציב החברה לפיתוח 2020'!L26</f>
        <v>5676006.04</v>
      </c>
      <c r="M26" s="199">
        <f>'תקציב החברה לפיתוח 2020'!M26</f>
        <v>1523993.96</v>
      </c>
      <c r="N26" s="199">
        <f>'תקציב החברה לפיתוח 2020'!N26</f>
        <v>0</v>
      </c>
      <c r="O26" s="199">
        <f>'תקציב החברה לפיתוח 2020'!O26</f>
        <v>0</v>
      </c>
      <c r="P26" s="199">
        <f>'תקציב החברה לפיתוח 2020'!P26</f>
        <v>1523993.96</v>
      </c>
      <c r="Q26" s="199">
        <f>'תקציב החברה לפיתוח 2020'!Q26</f>
        <v>0</v>
      </c>
      <c r="R26" s="199">
        <f>'תקציב החברה לפיתוח 2020'!R26</f>
        <v>0</v>
      </c>
      <c r="S26" s="199">
        <f>'תקציב החברה לפיתוח 2020'!S26</f>
        <v>0</v>
      </c>
      <c r="T26" s="199">
        <f>'תקציב החברה לפיתוח 2020'!T26</f>
        <v>0</v>
      </c>
      <c r="U26" s="199">
        <f>'תקציב החברה לפיתוח 2020'!U26</f>
        <v>0</v>
      </c>
      <c r="V26" s="199">
        <f>'תקציב החברה לפיתוח 2020'!V26</f>
        <v>0</v>
      </c>
      <c r="W26" s="199">
        <f>'תקציב החברה לפיתוח 2020'!W26</f>
        <v>0</v>
      </c>
      <c r="X26" s="199">
        <f>'תקציב החברה לפיתוח 2020'!X26</f>
        <v>0</v>
      </c>
      <c r="Y26" s="199">
        <f>'תקציב החברה לפיתוח 2020'!Y26</f>
        <v>0</v>
      </c>
      <c r="Z26" s="199">
        <f>'תקציב החברה לפיתוח 2020'!Z26</f>
        <v>0</v>
      </c>
      <c r="AA26" s="341" t="str">
        <f>'תקציב החברה לפיתוח 2020'!AA26</f>
        <v>המשך עבודות פיתוח שצ"פ בשכונת צמרות. ממתין לחן סופי.</v>
      </c>
      <c r="AB26" s="707">
        <f>'תקציב החברה לפיתוח 2020'!AB26</f>
        <v>742000</v>
      </c>
      <c r="AC26" s="191"/>
      <c r="AD26" s="191"/>
      <c r="AE26" s="624"/>
      <c r="AF26" s="627"/>
      <c r="AG26" s="331"/>
      <c r="AH26" s="331"/>
    </row>
    <row r="27" spans="1:39" s="202" customFormat="1" ht="41.4">
      <c r="A27" s="198">
        <f t="shared" si="0"/>
        <v>22</v>
      </c>
      <c r="B27" s="707">
        <f>'תקציב החברה לפיתוח 2020'!B27</f>
        <v>1615</v>
      </c>
      <c r="C27" s="341" t="str">
        <f>'תקציב החברה לפיתוח 2020'!C27</f>
        <v>פיתוח מתחם הר' 1903</v>
      </c>
      <c r="D27" s="199">
        <f>'תקציב החברה לפיתוח 2020'!D27</f>
        <v>27700000</v>
      </c>
      <c r="E27" s="199">
        <f>'תקציב החברה לפיתוח 2020'!E27</f>
        <v>27700000</v>
      </c>
      <c r="F27" s="199">
        <f>'תקציב החברה לפיתוח 2020'!F27</f>
        <v>0</v>
      </c>
      <c r="G27" s="199">
        <f>'תקציב החברה לפיתוח 2020'!G27</f>
        <v>20200000</v>
      </c>
      <c r="H27" s="199">
        <f>'תקציב החברה לפיתוח 2020'!H27</f>
        <v>13404493.66</v>
      </c>
      <c r="I27" s="199">
        <f>'תקציב החברה לפיתוח 2020'!I27</f>
        <v>0</v>
      </c>
      <c r="J27" s="199">
        <f>'תקציב החברה לפיתוח 2020'!J27</f>
        <v>1724902.74</v>
      </c>
      <c r="K27" s="199">
        <f>'תקציב החברה לפיתוח 2020'!K27</f>
        <v>1724902.74</v>
      </c>
      <c r="L27" s="199">
        <f>'תקציב החברה לפיתוח 2020'!L27</f>
        <v>15129396.4</v>
      </c>
      <c r="M27" s="199">
        <f>'תקציב החברה לפיתוח 2020'!M27</f>
        <v>5070603.5999999996</v>
      </c>
      <c r="N27" s="199">
        <f>'תקציב החברה לפיתוח 2020'!N27</f>
        <v>4000000</v>
      </c>
      <c r="O27" s="199">
        <f>'תקציב החברה לפיתוח 2020'!O27</f>
        <v>3500000</v>
      </c>
      <c r="P27" s="199">
        <f>'תקציב החברה לפיתוח 2020'!P27</f>
        <v>5070603.5999999996</v>
      </c>
      <c r="Q27" s="199">
        <f>'תקציב החברה לפיתוח 2020'!Q27</f>
        <v>0</v>
      </c>
      <c r="R27" s="199">
        <f>'תקציב החברה לפיתוח 2020'!R27</f>
        <v>0</v>
      </c>
      <c r="S27" s="199">
        <f>'תקציב החברה לפיתוח 2020'!S27</f>
        <v>0</v>
      </c>
      <c r="T27" s="199">
        <f>'תקציב החברה לפיתוח 2020'!T27</f>
        <v>0</v>
      </c>
      <c r="U27" s="199">
        <f>'תקציב החברה לפיתוח 2020'!U27</f>
        <v>4000000</v>
      </c>
      <c r="V27" s="199">
        <f>'תקציב החברה לפיתוח 2020'!V27</f>
        <v>4000000</v>
      </c>
      <c r="W27" s="199">
        <f>'תקציב החברה לפיתוח 2020'!W27</f>
        <v>0</v>
      </c>
      <c r="X27" s="199">
        <f>'תקציב החברה לפיתוח 2020'!X27</f>
        <v>0</v>
      </c>
      <c r="Y27" s="199">
        <f>'תקציב החברה לפיתוח 2020'!Y27</f>
        <v>0</v>
      </c>
      <c r="Z27" s="199">
        <f>'תקציב החברה לפיתוח 2020'!Z27</f>
        <v>0</v>
      </c>
      <c r="AA27" s="341" t="str">
        <f>'תקציב החברה לפיתוח 2020'!AA27</f>
        <v>המשך עבודות פיתוח במתחם הר' 1903 הרצליה הילס. פיתוח שצ"פ מערבי.</v>
      </c>
      <c r="AB27" s="707">
        <f>'תקציב החברה לפיתוח 2020'!AB27</f>
        <v>742000</v>
      </c>
      <c r="AC27" s="191"/>
      <c r="AD27" s="191"/>
      <c r="AE27" s="624"/>
      <c r="AF27" s="627"/>
      <c r="AG27" s="331"/>
      <c r="AH27" s="331"/>
    </row>
    <row r="28" spans="1:39" s="202" customFormat="1" ht="19.95" customHeight="1">
      <c r="A28" s="198">
        <f t="shared" si="0"/>
        <v>23</v>
      </c>
      <c r="B28" s="707">
        <f>'תקציב החברה לפיתוח 2020'!B28</f>
        <v>1656</v>
      </c>
      <c r="C28" s="341" t="str">
        <f>'תקציב החברה לפיתוח 2020'!C28</f>
        <v>פיתוח רח' אבוקה מולדת</v>
      </c>
      <c r="D28" s="199">
        <f>'תקציב החברה לפיתוח 2020'!D28</f>
        <v>9400000</v>
      </c>
      <c r="E28" s="199">
        <f>'תקציב החברה לפיתוח 2020'!E28</f>
        <v>9400000</v>
      </c>
      <c r="F28" s="199">
        <f>'תקציב החברה לפיתוח 2020'!F28</f>
        <v>0</v>
      </c>
      <c r="G28" s="199">
        <f>'תקציב החברה לפיתוח 2020'!G28</f>
        <v>9400000</v>
      </c>
      <c r="H28" s="199">
        <f>'תקציב החברה לפיתוח 2020'!H28</f>
        <v>6217998.0999999996</v>
      </c>
      <c r="I28" s="199">
        <f>'תקציב החברה לפיתוח 2020'!I28</f>
        <v>0</v>
      </c>
      <c r="J28" s="199">
        <f>'תקציב החברה לפיתוח 2020'!J28</f>
        <v>220821.15</v>
      </c>
      <c r="K28" s="199">
        <f>'תקציב החברה לפיתוח 2020'!K28</f>
        <v>220821.15</v>
      </c>
      <c r="L28" s="199">
        <f>'תקציב החברה לפיתוח 2020'!L28</f>
        <v>6438819.25</v>
      </c>
      <c r="M28" s="199">
        <f>'תקציב החברה לפיתוח 2020'!M28</f>
        <v>261180.75</v>
      </c>
      <c r="N28" s="199">
        <f>'תקציב החברה לפיתוח 2020'!N28</f>
        <v>0</v>
      </c>
      <c r="O28" s="199">
        <f>'תקציב החברה לפיתוח 2020'!O28</f>
        <v>2700000</v>
      </c>
      <c r="P28" s="199">
        <f>'תקציב החברה לפיתוח 2020'!P28</f>
        <v>2961180.75</v>
      </c>
      <c r="Q28" s="199">
        <f>'תקציב החברה לפיתוח 2020'!Q28</f>
        <v>0</v>
      </c>
      <c r="R28" s="199">
        <f>'תקציב החברה לפיתוח 2020'!R28</f>
        <v>0</v>
      </c>
      <c r="S28" s="199">
        <f>'תקציב החברה לפיתוח 2020'!S28</f>
        <v>0</v>
      </c>
      <c r="T28" s="199">
        <f>'תקציב החברה לפיתוח 2020'!T28</f>
        <v>2700000</v>
      </c>
      <c r="U28" s="199">
        <f>'תקציב החברה לפיתוח 2020'!U28</f>
        <v>-2700000</v>
      </c>
      <c r="V28" s="199">
        <f>'תקציב החברה לפיתוח 2020'!V28</f>
        <v>-2700000</v>
      </c>
      <c r="W28" s="199">
        <f>'תקציב החברה לפיתוח 2020'!W28</f>
        <v>0</v>
      </c>
      <c r="X28" s="199">
        <f>'תקציב החברה לפיתוח 2020'!X28</f>
        <v>0</v>
      </c>
      <c r="Y28" s="199">
        <f>'תקציב החברה לפיתוח 2020'!Y28</f>
        <v>0</v>
      </c>
      <c r="Z28" s="199">
        <f>'תקציב החברה לפיתוח 2020'!Z28</f>
        <v>0</v>
      </c>
      <c r="AA28" s="341">
        <f>'תקציב החברה לפיתוח 2020'!AA28</f>
        <v>0</v>
      </c>
      <c r="AB28" s="707">
        <f>'תקציב החברה לפיתוח 2020'!AB28</f>
        <v>742000</v>
      </c>
      <c r="AC28" s="191"/>
      <c r="AD28" s="191"/>
      <c r="AE28" s="624"/>
      <c r="AF28" s="627"/>
      <c r="AG28" s="331"/>
      <c r="AH28" s="331"/>
    </row>
    <row r="29" spans="1:39" s="202" customFormat="1" ht="27.6">
      <c r="A29" s="198">
        <f t="shared" si="0"/>
        <v>24</v>
      </c>
      <c r="B29" s="707">
        <f>'תקציב החברה לפיתוח 2020'!B29</f>
        <v>1657</v>
      </c>
      <c r="C29" s="341" t="str">
        <f>'תקציב החברה לפיתוח 2020'!C29</f>
        <v>פיתוח מתחם "מרינה לי"</v>
      </c>
      <c r="D29" s="199">
        <f>'תקציב החברה לפיתוח 2020'!D29</f>
        <v>60000000</v>
      </c>
      <c r="E29" s="199">
        <f>'תקציב החברה לפיתוח 2020'!E29</f>
        <v>60000000</v>
      </c>
      <c r="F29" s="199">
        <f>'תקציב החברה לפיתוח 2020'!F29</f>
        <v>0</v>
      </c>
      <c r="G29" s="199">
        <f>'תקציב החברה לפיתוח 2020'!G29</f>
        <v>13700000</v>
      </c>
      <c r="H29" s="199">
        <f>'תקציב החברה לפיתוח 2020'!H29</f>
        <v>5296985.92</v>
      </c>
      <c r="I29" s="199">
        <f>'תקציב החברה לפיתוח 2020'!I29</f>
        <v>167189.14000000001</v>
      </c>
      <c r="J29" s="199">
        <f>'תקציב החברה לפיתוח 2020'!J29</f>
        <v>360232.04</v>
      </c>
      <c r="K29" s="199">
        <f>'תקציב החברה לפיתוח 2020'!K29</f>
        <v>527421.17999999993</v>
      </c>
      <c r="L29" s="199">
        <f>'תקציב החברה לפיתוח 2020'!L29</f>
        <v>5824407.0999999996</v>
      </c>
      <c r="M29" s="199">
        <f>'תקציב החברה לפיתוח 2020'!M29</f>
        <v>7875592.9000000004</v>
      </c>
      <c r="N29" s="199">
        <f>'תקציב החברה לפיתוח 2020'!N29</f>
        <v>16300000</v>
      </c>
      <c r="O29" s="199">
        <f>'תקציב החברה לפיתוח 2020'!O29</f>
        <v>30000000</v>
      </c>
      <c r="P29" s="199">
        <f>'תקציב החברה לפיתוח 2020'!P29</f>
        <v>7875592.9000000004</v>
      </c>
      <c r="Q29" s="199">
        <f>'תקציב החברה לפיתוח 2020'!Q29</f>
        <v>0</v>
      </c>
      <c r="R29" s="199">
        <f>'תקציב החברה לפיתוח 2020'!R29</f>
        <v>0</v>
      </c>
      <c r="S29" s="199">
        <f>'תקציב החברה לפיתוח 2020'!S29</f>
        <v>0</v>
      </c>
      <c r="T29" s="199">
        <f>'תקציב החברה לפיתוח 2020'!T29</f>
        <v>0</v>
      </c>
      <c r="U29" s="199">
        <f>'תקציב החברה לפיתוח 2020'!U29</f>
        <v>16300000</v>
      </c>
      <c r="V29" s="199">
        <f>'תקציב החברה לפיתוח 2020'!V29</f>
        <v>14588734</v>
      </c>
      <c r="W29" s="199">
        <f>'תקציב החברה לפיתוח 2020'!W29</f>
        <v>0</v>
      </c>
      <c r="X29" s="199">
        <f>'תקציב החברה לפיתוח 2020'!X29</f>
        <v>0</v>
      </c>
      <c r="Y29" s="199">
        <f>'תקציב החברה לפיתוח 2020'!Y29</f>
        <v>0</v>
      </c>
      <c r="Z29" s="199">
        <f>'תקציב החברה לפיתוח 2020'!Z29</f>
        <v>1711266</v>
      </c>
      <c r="AA29" s="341" t="str">
        <f>'תקציב החברה לפיתוח 2020'!AA29</f>
        <v xml:space="preserve">ביצוע פיתוח ותשתית במתחם "מרינה לי". מימון מ. התחבורה. </v>
      </c>
      <c r="AB29" s="707">
        <f>'תקציב החברה לפיתוח 2020'!AB29</f>
        <v>742000</v>
      </c>
      <c r="AC29" s="191"/>
      <c r="AD29" s="191"/>
      <c r="AE29" s="624"/>
      <c r="AF29" s="627"/>
      <c r="AG29" s="331"/>
      <c r="AH29" s="331"/>
    </row>
    <row r="30" spans="1:39" s="202" customFormat="1" ht="55.2">
      <c r="A30" s="198">
        <f t="shared" si="0"/>
        <v>25</v>
      </c>
      <c r="B30" s="707">
        <f>'תקציב החברה לפיתוח 2020'!B30</f>
        <v>1723</v>
      </c>
      <c r="C30" s="341" t="str">
        <f>'תקציב החברה לפיתוח 2020'!C30</f>
        <v>מרכז תחבורה חדש</v>
      </c>
      <c r="D30" s="199">
        <f>'תקציב החברה לפיתוח 2020'!D30</f>
        <v>17500000</v>
      </c>
      <c r="E30" s="199">
        <f>'תקציב החברה לפיתוח 2020'!E30</f>
        <v>17500000</v>
      </c>
      <c r="F30" s="199">
        <f>'תקציב החברה לפיתוח 2020'!F30</f>
        <v>0</v>
      </c>
      <c r="G30" s="199">
        <f>'תקציב החברה לפיתוח 2020'!G30</f>
        <v>12212460</v>
      </c>
      <c r="H30" s="199">
        <f>'תקציב החברה לפיתוח 2020'!H30</f>
        <v>1426802</v>
      </c>
      <c r="I30" s="199">
        <f>'תקציב החברה לפיתוח 2020'!I30</f>
        <v>0</v>
      </c>
      <c r="J30" s="199">
        <f>'תקציב החברה לפיתוח 2020'!J30</f>
        <v>40053.839999999997</v>
      </c>
      <c r="K30" s="199">
        <f>'תקציב החברה לפיתוח 2020'!K30</f>
        <v>40053.839999999997</v>
      </c>
      <c r="L30" s="199">
        <f>'תקציב החברה לפיתוח 2020'!L30</f>
        <v>1466855.84</v>
      </c>
      <c r="M30" s="199">
        <f>'תקציב החברה לפיתוח 2020'!M30</f>
        <v>10745604.16</v>
      </c>
      <c r="N30" s="199">
        <f>'תקציב החברה לפיתוח 2020'!N30</f>
        <v>0</v>
      </c>
      <c r="O30" s="199">
        <f>'תקציב החברה לפיתוח 2020'!O30</f>
        <v>5287540</v>
      </c>
      <c r="P30" s="199">
        <f>'תקציב החברה לפיתוח 2020'!P30</f>
        <v>10745604.16</v>
      </c>
      <c r="Q30" s="199">
        <f>'תקציב החברה לפיתוח 2020'!Q30</f>
        <v>0</v>
      </c>
      <c r="R30" s="199">
        <f>'תקציב החברה לפיתוח 2020'!R30</f>
        <v>0</v>
      </c>
      <c r="S30" s="199">
        <f>'תקציב החברה לפיתוח 2020'!S30</f>
        <v>0</v>
      </c>
      <c r="T30" s="199">
        <f>'תקציב החברה לפיתוח 2020'!T30</f>
        <v>0</v>
      </c>
      <c r="U30" s="199">
        <f>'תקציב החברה לפיתוח 2020'!U30</f>
        <v>0</v>
      </c>
      <c r="V30" s="199">
        <f>'תקציב החברה לפיתוח 2020'!V30</f>
        <v>0</v>
      </c>
      <c r="W30" s="199">
        <f>'תקציב החברה לפיתוח 2020'!W30</f>
        <v>0</v>
      </c>
      <c r="X30" s="199">
        <f>'תקציב החברה לפיתוח 2020'!X30</f>
        <v>0</v>
      </c>
      <c r="Y30" s="199">
        <f>'תקציב החברה לפיתוח 2020'!Y30</f>
        <v>0</v>
      </c>
      <c r="Z30" s="199">
        <f>'תקציב החברה לפיתוח 2020'!Z30</f>
        <v>0</v>
      </c>
      <c r="AA30" s="341" t="str">
        <f>'תקציב החברה לפיתוח 2020'!AA30</f>
        <v>הקמת מסוף תחבורה חדש , חניון ל -60 אוטובוסים , הסדרת ציר תנועה רחוב בן ציון מיכאלי. מימון מ.התחבורה.הביצוע עובר לנת"י.</v>
      </c>
      <c r="AB30" s="707">
        <f>'תקציב החברה לפיתוח 2020'!AB30</f>
        <v>732000</v>
      </c>
      <c r="AC30" s="191"/>
      <c r="AD30" s="191"/>
      <c r="AE30" s="624"/>
      <c r="AF30" s="627"/>
      <c r="AG30" s="331"/>
      <c r="AH30" s="331"/>
    </row>
    <row r="31" spans="1:39" s="202" customFormat="1" ht="39" customHeight="1">
      <c r="A31" s="198">
        <f t="shared" si="0"/>
        <v>26</v>
      </c>
      <c r="B31" s="707">
        <f>'תקציב החברה לפיתוח 2020'!B31</f>
        <v>1751</v>
      </c>
      <c r="C31" s="341" t="str">
        <f>'תקציב החברה לפיתוח 2020'!C31</f>
        <v>תכנון מבנה מעונות הסטודנטים</v>
      </c>
      <c r="D31" s="199">
        <f>'תקציב החברה לפיתוח 2020'!D31</f>
        <v>4800000</v>
      </c>
      <c r="E31" s="199">
        <f>'תקציב החברה לפיתוח 2020'!E31</f>
        <v>4800000</v>
      </c>
      <c r="F31" s="199">
        <f>'תקציב החברה לפיתוח 2020'!F31</f>
        <v>0</v>
      </c>
      <c r="G31" s="199">
        <f>'תקציב החברה לפיתוח 2020'!G31</f>
        <v>4800000</v>
      </c>
      <c r="H31" s="199">
        <f>'תקציב החברה לפיתוח 2020'!H31</f>
        <v>2455646</v>
      </c>
      <c r="I31" s="199">
        <f>'תקציב החברה לפיתוח 2020'!I31</f>
        <v>0</v>
      </c>
      <c r="J31" s="199">
        <f>'תקציב החברה לפיתוח 2020'!J31</f>
        <v>68843.38</v>
      </c>
      <c r="K31" s="199">
        <f>'תקציב החברה לפיתוח 2020'!K31</f>
        <v>68843.38</v>
      </c>
      <c r="L31" s="199">
        <f>'תקציב החברה לפיתוח 2020'!L31</f>
        <v>2524489.38</v>
      </c>
      <c r="M31" s="199">
        <f>'תקציב החברה לפיתוח 2020'!M31</f>
        <v>2275510.62</v>
      </c>
      <c r="N31" s="199">
        <f>'תקציב החברה לפיתוח 2020'!N31</f>
        <v>0</v>
      </c>
      <c r="O31" s="199">
        <f>'תקציב החברה לפיתוח 2020'!O31</f>
        <v>0</v>
      </c>
      <c r="P31" s="199">
        <f>'תקציב החברה לפיתוח 2020'!P31</f>
        <v>2275510.62</v>
      </c>
      <c r="Q31" s="199">
        <f>'תקציב החברה לפיתוח 2020'!Q31</f>
        <v>0</v>
      </c>
      <c r="R31" s="199">
        <f>'תקציב החברה לפיתוח 2020'!R31</f>
        <v>0</v>
      </c>
      <c r="S31" s="199">
        <f>'תקציב החברה לפיתוח 2020'!S31</f>
        <v>0</v>
      </c>
      <c r="T31" s="199">
        <f>'תקציב החברה לפיתוח 2020'!T31</f>
        <v>0</v>
      </c>
      <c r="U31" s="199">
        <f>'תקציב החברה לפיתוח 2020'!U31</f>
        <v>0</v>
      </c>
      <c r="V31" s="199">
        <f>'תקציב החברה לפיתוח 2020'!V31</f>
        <v>0</v>
      </c>
      <c r="W31" s="199">
        <f>'תקציב החברה לפיתוח 2020'!W31</f>
        <v>0</v>
      </c>
      <c r="X31" s="199">
        <f>'תקציב החברה לפיתוח 2020'!X31</f>
        <v>0</v>
      </c>
      <c r="Y31" s="199">
        <f>'תקציב החברה לפיתוח 2020'!Y31</f>
        <v>0</v>
      </c>
      <c r="Z31" s="199">
        <f>'תקציב החברה לפיתוח 2020'!Z31</f>
        <v>0</v>
      </c>
      <c r="AA31" s="341" t="str">
        <f>'תקציב החברה לפיתוח 2020'!AA31</f>
        <v>תכנון מבנה מעונות לסטודנטים ברח' בן שפרוט.חשבונות סופיים.יש היתר.</v>
      </c>
      <c r="AB31" s="707">
        <f>'תקציב החברה לפיתוח 2020'!AB31</f>
        <v>810000</v>
      </c>
      <c r="AC31" s="191"/>
      <c r="AD31" s="191"/>
      <c r="AE31" s="624"/>
      <c r="AF31" s="627"/>
      <c r="AG31" s="331"/>
      <c r="AH31" s="331"/>
    </row>
    <row r="32" spans="1:39" s="210" customFormat="1" ht="27.6">
      <c r="A32" s="198">
        <f t="shared" si="0"/>
        <v>27</v>
      </c>
      <c r="B32" s="707">
        <f>'תקציב החברה לפיתוח 2020'!B32</f>
        <v>1765</v>
      </c>
      <c r="C32" s="341" t="str">
        <f>'תקציב החברה לפיתוח 2020'!C32</f>
        <v>רחוב החרש</v>
      </c>
      <c r="D32" s="199">
        <f>'תקציב החברה לפיתוח 2020'!D32</f>
        <v>2800000</v>
      </c>
      <c r="E32" s="199">
        <f>'תקציב החברה לפיתוח 2020'!E32</f>
        <v>2800000</v>
      </c>
      <c r="F32" s="199">
        <f>'תקציב החברה לפיתוח 2020'!F32</f>
        <v>0</v>
      </c>
      <c r="G32" s="199">
        <f>'תקציב החברה לפיתוח 2020'!G32</f>
        <v>2800000</v>
      </c>
      <c r="H32" s="199">
        <f>'תקציב החברה לפיתוח 2020'!H32</f>
        <v>2241815.36</v>
      </c>
      <c r="I32" s="199">
        <f>'תקציב החברה לפיתוח 2020'!I32</f>
        <v>0</v>
      </c>
      <c r="J32" s="199">
        <f>'תקציב החברה לפיתוח 2020'!J32</f>
        <v>79517.86</v>
      </c>
      <c r="K32" s="199">
        <f>'תקציב החברה לפיתוח 2020'!K32</f>
        <v>79517.86</v>
      </c>
      <c r="L32" s="199">
        <f>'תקציב החברה לפיתוח 2020'!L32</f>
        <v>2321333.2199999997</v>
      </c>
      <c r="M32" s="199">
        <f>'תקציב החברה לפיתוח 2020'!M32</f>
        <v>228666.78000000026</v>
      </c>
      <c r="N32" s="199">
        <f>'תקציב החברה לפיתוח 2020'!N32</f>
        <v>0</v>
      </c>
      <c r="O32" s="199">
        <f>'תקציב החברה לפיתוח 2020'!O32</f>
        <v>250000</v>
      </c>
      <c r="P32" s="199">
        <f>'תקציב החברה לפיתוח 2020'!P32</f>
        <v>478666.78000000026</v>
      </c>
      <c r="Q32" s="199">
        <f>'תקציב החברה לפיתוח 2020'!Q32</f>
        <v>0</v>
      </c>
      <c r="R32" s="199">
        <f>'תקציב החברה לפיתוח 2020'!R32</f>
        <v>0</v>
      </c>
      <c r="S32" s="199">
        <f>'תקציב החברה לפיתוח 2020'!S32</f>
        <v>0</v>
      </c>
      <c r="T32" s="199">
        <f>'תקציב החברה לפיתוח 2020'!T32</f>
        <v>250000</v>
      </c>
      <c r="U32" s="199">
        <f>'תקציב החברה לפיתוח 2020'!U32</f>
        <v>-250000</v>
      </c>
      <c r="V32" s="199">
        <f>'תקציב החברה לפיתוח 2020'!V32</f>
        <v>-250000</v>
      </c>
      <c r="W32" s="199">
        <f>'תקציב החברה לפיתוח 2020'!W32</f>
        <v>0</v>
      </c>
      <c r="X32" s="199">
        <f>'תקציב החברה לפיתוח 2020'!X32</f>
        <v>0</v>
      </c>
      <c r="Y32" s="199">
        <f>'תקציב החברה לפיתוח 2020'!Y32</f>
        <v>0</v>
      </c>
      <c r="Z32" s="199">
        <f>'תקציב החברה לפיתוח 2020'!Z32</f>
        <v>0</v>
      </c>
      <c r="AA32" s="341" t="str">
        <f>'תקציב החברה לפיתוח 2020'!AA32</f>
        <v>השלמת חיבור כניסה מכביש 2 לרח' החרש. ממתין לחן סופי.</v>
      </c>
      <c r="AB32" s="707">
        <f>'תקציב החברה לפיתוח 2020'!AB32</f>
        <v>742000</v>
      </c>
      <c r="AC32" s="191"/>
      <c r="AD32" s="191"/>
      <c r="AE32" s="624"/>
      <c r="AF32" s="627"/>
      <c r="AG32" s="331"/>
      <c r="AH32" s="331"/>
      <c r="AI32" s="209"/>
      <c r="AJ32" s="209"/>
      <c r="AK32" s="209"/>
      <c r="AL32" s="209"/>
      <c r="AM32" s="209"/>
    </row>
    <row r="33" spans="1:39" s="203" customFormat="1" ht="19.95" customHeight="1">
      <c r="A33" s="198">
        <f t="shared" si="0"/>
        <v>28</v>
      </c>
      <c r="B33" s="707">
        <f>'תקציב החברה לפיתוח 2020'!B33</f>
        <v>1798</v>
      </c>
      <c r="C33" s="341" t="str">
        <f>'תקציב החברה לפיתוח 2020'!C33</f>
        <v>מועדון פטנג בספורטק</v>
      </c>
      <c r="D33" s="199">
        <f>'תקציב החברה לפיתוח 2020'!D33</f>
        <v>2300000</v>
      </c>
      <c r="E33" s="199">
        <f>'תקציב החברה לפיתוח 2020'!E33</f>
        <v>1600000</v>
      </c>
      <c r="F33" s="199">
        <f>'תקציב החברה לפיתוח 2020'!F33</f>
        <v>700000</v>
      </c>
      <c r="G33" s="199">
        <f>'תקציב החברה לפיתוח 2020'!G33</f>
        <v>1600000</v>
      </c>
      <c r="H33" s="199">
        <f>'תקציב החברה לפיתוח 2020'!H33</f>
        <v>1483649</v>
      </c>
      <c r="I33" s="199">
        <f>'תקציב החברה לפיתוח 2020'!I33</f>
        <v>0</v>
      </c>
      <c r="J33" s="199">
        <f>'תקציב החברה לפיתוח 2020'!J33</f>
        <v>111425.85</v>
      </c>
      <c r="K33" s="199">
        <f>'תקציב החברה לפיתוח 2020'!K33</f>
        <v>111425.85</v>
      </c>
      <c r="L33" s="199">
        <f>'תקציב החברה לפיתוח 2020'!L33</f>
        <v>1595074.85</v>
      </c>
      <c r="M33" s="199">
        <f>'תקציב החברה לפיתוח 2020'!M33</f>
        <v>4925.1499999999069</v>
      </c>
      <c r="N33" s="199">
        <f>'תקציב החברה לפיתוח 2020'!N33</f>
        <v>700000</v>
      </c>
      <c r="O33" s="199">
        <f>'תקציב החברה לפיתוח 2020'!O33</f>
        <v>0</v>
      </c>
      <c r="P33" s="199">
        <f>'תקציב החברה לפיתוח 2020'!P33</f>
        <v>4925.1499999999069</v>
      </c>
      <c r="Q33" s="199">
        <f>'תקציב החברה לפיתוח 2020'!Q33</f>
        <v>0</v>
      </c>
      <c r="R33" s="199">
        <f>'תקציב החברה לפיתוח 2020'!R33</f>
        <v>0</v>
      </c>
      <c r="S33" s="199">
        <f>'תקציב החברה לפיתוח 2020'!S33</f>
        <v>0</v>
      </c>
      <c r="T33" s="199">
        <f>'תקציב החברה לפיתוח 2020'!T33</f>
        <v>0</v>
      </c>
      <c r="U33" s="199">
        <f>'תקציב החברה לפיתוח 2020'!U33</f>
        <v>700000</v>
      </c>
      <c r="V33" s="199">
        <f>'תקציב החברה לפיתוח 2020'!V33</f>
        <v>700000</v>
      </c>
      <c r="W33" s="199">
        <f>'תקציב החברה לפיתוח 2020'!W33</f>
        <v>0</v>
      </c>
      <c r="X33" s="199">
        <f>'תקציב החברה לפיתוח 2020'!X33</f>
        <v>0</v>
      </c>
      <c r="Y33" s="199">
        <f>'תקציב החברה לפיתוח 2020'!Y33</f>
        <v>0</v>
      </c>
      <c r="Z33" s="199">
        <f>'תקציב החברה לפיתוח 2020'!Z33</f>
        <v>0</v>
      </c>
      <c r="AA33" s="341" t="str">
        <f>'תקציב החברה לפיתוח 2020'!AA33</f>
        <v>הקמת מבנה מועדון במגרשי הפטנג.</v>
      </c>
      <c r="AB33" s="707">
        <f>'תקציב החברה לפיתוח 2020'!AB33</f>
        <v>829000</v>
      </c>
      <c r="AC33" s="191"/>
      <c r="AD33" s="191"/>
      <c r="AE33" s="624"/>
      <c r="AF33" s="627"/>
      <c r="AG33" s="331"/>
      <c r="AH33" s="331"/>
    </row>
    <row r="34" spans="1:39" ht="27.6">
      <c r="A34" s="198">
        <f t="shared" si="0"/>
        <v>29</v>
      </c>
      <c r="B34" s="707">
        <f>'תקציב החברה לפיתוח 2020'!B34</f>
        <v>1806</v>
      </c>
      <c r="C34" s="341" t="str">
        <f>'תקציב החברה לפיתוח 2020'!C34</f>
        <v>תכנון רכבת עילית איזור תעשיה</v>
      </c>
      <c r="D34" s="199">
        <f>'תקציב החברה לפיתוח 2020'!D34</f>
        <v>500000</v>
      </c>
      <c r="E34" s="199">
        <f>'תקציב החברה לפיתוח 2020'!E34</f>
        <v>500000</v>
      </c>
      <c r="F34" s="199">
        <f>'תקציב החברה לפיתוח 2020'!F34</f>
        <v>0</v>
      </c>
      <c r="G34" s="199">
        <f>'תקציב החברה לפיתוח 2020'!G34</f>
        <v>350000</v>
      </c>
      <c r="H34" s="199">
        <f>'תקציב החברה לפיתוח 2020'!H34</f>
        <v>162931</v>
      </c>
      <c r="I34" s="199">
        <f>'תקציב החברה לפיתוח 2020'!I34</f>
        <v>0</v>
      </c>
      <c r="J34" s="199">
        <f>'תקציב החברה לפיתוח 2020'!J34</f>
        <v>172184.22</v>
      </c>
      <c r="K34" s="199">
        <f>'תקציב החברה לפיתוח 2020'!K34</f>
        <v>172184.22</v>
      </c>
      <c r="L34" s="199">
        <f>'תקציב החברה לפיתוח 2020'!L34</f>
        <v>335115.21999999997</v>
      </c>
      <c r="M34" s="199">
        <f>'תקציב החברה לפיתוח 2020'!M34</f>
        <v>164884.78000000003</v>
      </c>
      <c r="N34" s="199">
        <f>'תקציב החברה לפיתוח 2020'!N34</f>
        <v>0</v>
      </c>
      <c r="O34" s="199">
        <f>'תקציב החברה לפיתוח 2020'!O34</f>
        <v>0</v>
      </c>
      <c r="P34" s="199">
        <f>'תקציב החברה לפיתוח 2020'!P34</f>
        <v>14884.780000000028</v>
      </c>
      <c r="Q34" s="199">
        <f>'תקציב החברה לפיתוח 2020'!Q34</f>
        <v>150000</v>
      </c>
      <c r="R34" s="199">
        <f>'תקציב החברה לפיתוח 2020'!R34</f>
        <v>0</v>
      </c>
      <c r="S34" s="199">
        <f>'תקציב החברה לפיתוח 2020'!S34</f>
        <v>150000</v>
      </c>
      <c r="T34" s="199">
        <f>'תקציב החברה לפיתוח 2020'!T34</f>
        <v>0</v>
      </c>
      <c r="U34" s="199">
        <f>'תקציב החברה לפיתוח 2020'!U34</f>
        <v>0</v>
      </c>
      <c r="V34" s="199">
        <f>'תקציב החברה לפיתוח 2020'!V34</f>
        <v>0</v>
      </c>
      <c r="W34" s="199">
        <f>'תקציב החברה לפיתוח 2020'!W34</f>
        <v>0</v>
      </c>
      <c r="X34" s="199">
        <f>'תקציב החברה לפיתוח 2020'!X34</f>
        <v>0</v>
      </c>
      <c r="Y34" s="199">
        <f>'תקציב החברה לפיתוח 2020'!Y34</f>
        <v>0</v>
      </c>
      <c r="Z34" s="199">
        <f>'תקציב החברה לפיתוח 2020'!Z34</f>
        <v>0</v>
      </c>
      <c r="AA34" s="341" t="str">
        <f>'תקציב החברה לפיתוח 2020'!AA34</f>
        <v>תכנון להקמת רכבת עילית מתחנת הרכבת לאיזור התעשיה.</v>
      </c>
      <c r="AB34" s="707">
        <f>'תקציב החברה לפיתוח 2020'!AB34</f>
        <v>732000</v>
      </c>
      <c r="AE34" s="624"/>
      <c r="AF34" s="627"/>
      <c r="AI34" s="210"/>
      <c r="AJ34" s="210"/>
      <c r="AK34" s="210"/>
      <c r="AL34" s="210"/>
      <c r="AM34" s="210"/>
    </row>
    <row r="35" spans="1:39" ht="41.4">
      <c r="A35" s="198">
        <f t="shared" si="0"/>
        <v>30</v>
      </c>
      <c r="B35" s="707">
        <f>'תקציב החברה לפיתוח 2020'!B35</f>
        <v>1819</v>
      </c>
      <c r="C35" s="341" t="str">
        <f>'תקציב החברה לפיתוח 2020'!C35</f>
        <v>פיתוח רח' צ.ה.ל</v>
      </c>
      <c r="D35" s="199">
        <f>'תקציב החברה לפיתוח 2020'!D35</f>
        <v>18000000</v>
      </c>
      <c r="E35" s="199">
        <f>'תקציב החברה לפיתוח 2020'!E35</f>
        <v>18000000</v>
      </c>
      <c r="F35" s="199">
        <f>'תקציב החברה לפיתוח 2020'!F35</f>
        <v>0</v>
      </c>
      <c r="G35" s="199">
        <f>'תקציב החברה לפיתוח 2020'!G35</f>
        <v>9200000</v>
      </c>
      <c r="H35" s="199">
        <f>'תקציב החברה לפיתוח 2020'!H35</f>
        <v>1611879.1</v>
      </c>
      <c r="I35" s="199">
        <f>'תקציב החברה לפיתוח 2020'!I35</f>
        <v>0</v>
      </c>
      <c r="J35" s="199">
        <f>'תקציב החברה לפיתוח 2020'!J35</f>
        <v>153377.19</v>
      </c>
      <c r="K35" s="199">
        <f>'תקציב החברה לפיתוח 2020'!K35</f>
        <v>153377.19</v>
      </c>
      <c r="L35" s="199">
        <f>'תקציב החברה לפיתוח 2020'!L35</f>
        <v>1765256.29</v>
      </c>
      <c r="M35" s="199">
        <f>'תקציב החברה לפיתוח 2020'!M35</f>
        <v>10434743.710000001</v>
      </c>
      <c r="N35" s="199">
        <f>'תקציב החברה לפיתוח 2020'!N35</f>
        <v>3800000</v>
      </c>
      <c r="O35" s="199">
        <f>'תקציב החברה לפיתוח 2020'!O35</f>
        <v>2000000</v>
      </c>
      <c r="P35" s="199">
        <f>'תקציב החברה לפיתוח 2020'!P35</f>
        <v>7434743.71</v>
      </c>
      <c r="Q35" s="199">
        <f>'תקציב החברה לפיתוח 2020'!Q35</f>
        <v>3000000</v>
      </c>
      <c r="R35" s="199">
        <f>'תקציב החברה לפיתוח 2020'!R35</f>
        <v>0</v>
      </c>
      <c r="S35" s="199">
        <f>'תקציב החברה לפיתוח 2020'!S35</f>
        <v>3000000</v>
      </c>
      <c r="T35" s="199">
        <f>'תקציב החברה לפיתוח 2020'!T35</f>
        <v>0</v>
      </c>
      <c r="U35" s="199">
        <f>'תקציב החברה לפיתוח 2020'!U35</f>
        <v>3800000</v>
      </c>
      <c r="V35" s="199">
        <f>'תקציב החברה לפיתוח 2020'!V35</f>
        <v>3345000</v>
      </c>
      <c r="W35" s="199">
        <f>'תקציב החברה לפיתוח 2020'!W35</f>
        <v>0</v>
      </c>
      <c r="X35" s="199">
        <f>'תקציב החברה לפיתוח 2020'!X35</f>
        <v>0</v>
      </c>
      <c r="Y35" s="199">
        <f>'תקציב החברה לפיתוח 2020'!Y35</f>
        <v>0</v>
      </c>
      <c r="Z35" s="199">
        <f>'תקציב החברה לפיתוח 2020'!Z35</f>
        <v>455000</v>
      </c>
      <c r="AA35" s="341" t="str">
        <f>'תקציב החברה לפיתוח 2020'!AA35</f>
        <v>המשך פיתוח רחוב צ.ה.ל כולל סובה הורדת/העלאת תלמידים ליד ביה"ס. מימון מ. התחבורה.</v>
      </c>
      <c r="AB35" s="707">
        <f>'תקציב החברה לפיתוח 2020'!AB35</f>
        <v>742000</v>
      </c>
      <c r="AE35" s="624"/>
      <c r="AF35" s="627"/>
    </row>
    <row r="36" spans="1:39" s="202" customFormat="1" ht="35.1" customHeight="1">
      <c r="A36" s="198">
        <f t="shared" si="0"/>
        <v>31</v>
      </c>
      <c r="B36" s="707">
        <f>'תקציב החברה לפיתוח 2020'!B36</f>
        <v>1825</v>
      </c>
      <c r="C36" s="341" t="str">
        <f>'תקציב החברה לפיתוח 2020'!C36</f>
        <v xml:space="preserve">בי"ס חדש "יצחק נבון" מתחם אלתרמן </v>
      </c>
      <c r="D36" s="199">
        <f>'תקציב החברה לפיתוח 2020'!D36</f>
        <v>39000000</v>
      </c>
      <c r="E36" s="199">
        <f>'תקציב החברה לפיתוח 2020'!E36</f>
        <v>39000000</v>
      </c>
      <c r="F36" s="199">
        <f>'תקציב החברה לפיתוח 2020'!F36</f>
        <v>0</v>
      </c>
      <c r="G36" s="199">
        <f>'תקציב החברה לפיתוח 2020'!G36</f>
        <v>39000000</v>
      </c>
      <c r="H36" s="199">
        <f>'תקציב החברה לפיתוח 2020'!H36</f>
        <v>36409869</v>
      </c>
      <c r="I36" s="199">
        <f>'תקציב החברה לפיתוח 2020'!I36</f>
        <v>0</v>
      </c>
      <c r="J36" s="199">
        <f>'תקציב החברה לפיתוח 2020'!J36</f>
        <v>2583458.11</v>
      </c>
      <c r="K36" s="199">
        <f>'תקציב החברה לפיתוח 2020'!K36</f>
        <v>2583458.11</v>
      </c>
      <c r="L36" s="199">
        <f>'תקציב החברה לפיתוח 2020'!L36</f>
        <v>38993327.109999999</v>
      </c>
      <c r="M36" s="199">
        <f>'תקציב החברה לפיתוח 2020'!M36</f>
        <v>6672.890000000596</v>
      </c>
      <c r="N36" s="199">
        <f>'תקציב החברה לפיתוח 2020'!N36</f>
        <v>0</v>
      </c>
      <c r="O36" s="199">
        <f>'תקציב החברה לפיתוח 2020'!O36</f>
        <v>0</v>
      </c>
      <c r="P36" s="199">
        <f>'תקציב החברה לפיתוח 2020'!P36</f>
        <v>6672.890000000596</v>
      </c>
      <c r="Q36" s="199">
        <f>'תקציב החברה לפיתוח 2020'!Q36</f>
        <v>0</v>
      </c>
      <c r="R36" s="199">
        <f>'תקציב החברה לפיתוח 2020'!R36</f>
        <v>0</v>
      </c>
      <c r="S36" s="199">
        <f>'תקציב החברה לפיתוח 2020'!S36</f>
        <v>0</v>
      </c>
      <c r="T36" s="199">
        <f>'תקציב החברה לפיתוח 2020'!T36</f>
        <v>0</v>
      </c>
      <c r="U36" s="199">
        <f>'תקציב החברה לפיתוח 2020'!U36</f>
        <v>0</v>
      </c>
      <c r="V36" s="199">
        <f>'תקציב החברה לפיתוח 2020'!V36</f>
        <v>0</v>
      </c>
      <c r="W36" s="199">
        <f>'תקציב החברה לפיתוח 2020'!W36</f>
        <v>0</v>
      </c>
      <c r="X36" s="199">
        <f>'תקציב החברה לפיתוח 2020'!X36</f>
        <v>0</v>
      </c>
      <c r="Y36" s="199">
        <f>'תקציב החברה לפיתוח 2020'!Y36</f>
        <v>0</v>
      </c>
      <c r="Z36" s="199">
        <f>'תקציב החברה לפיתוח 2020'!Z36</f>
        <v>0</v>
      </c>
      <c r="AA36" s="341" t="str">
        <f>'תקציב החברה לפיתוח 2020'!AA36</f>
        <v>המשך עבודות בניית בי"ס חדש ברחוב אלתרמן. ח-ן סופיים.</v>
      </c>
      <c r="AB36" s="707">
        <f>'תקציב החברה לפיתוח 2020'!AB36</f>
        <v>810000</v>
      </c>
      <c r="AC36" s="191"/>
      <c r="AD36" s="191"/>
      <c r="AE36" s="624"/>
      <c r="AF36" s="627"/>
      <c r="AG36" s="331"/>
      <c r="AH36" s="331"/>
    </row>
    <row r="37" spans="1:39" ht="27.6">
      <c r="A37" s="198">
        <f t="shared" si="0"/>
        <v>32</v>
      </c>
      <c r="B37" s="707">
        <f>'תקציב החברה לפיתוח 2020'!B37</f>
        <v>1833</v>
      </c>
      <c r="C37" s="341" t="str">
        <f>'תקציב החברה לפיתוח 2020'!C37</f>
        <v>אולם ספורט חטיבת זאב</v>
      </c>
      <c r="D37" s="199">
        <f>'תקציב החברה לפיתוח 2020'!D37</f>
        <v>29000000</v>
      </c>
      <c r="E37" s="199">
        <f>'תקציב החברה לפיתוח 2020'!E37</f>
        <v>29000000</v>
      </c>
      <c r="F37" s="199">
        <f>'תקציב החברה לפיתוח 2020'!F37</f>
        <v>0</v>
      </c>
      <c r="G37" s="199">
        <f>'תקציב החברה לפיתוח 2020'!G37</f>
        <v>1150000</v>
      </c>
      <c r="H37" s="199">
        <f>'תקציב החברה לפיתוח 2020'!H37</f>
        <v>932146</v>
      </c>
      <c r="I37" s="199">
        <f>'תקציב החברה לפיתוח 2020'!I37</f>
        <v>0</v>
      </c>
      <c r="J37" s="199">
        <f>'תקציב החברה לפיתוח 2020'!J37</f>
        <v>64341.11</v>
      </c>
      <c r="K37" s="199">
        <f>'תקציב החברה לפיתוח 2020'!K37</f>
        <v>64341.11</v>
      </c>
      <c r="L37" s="199">
        <f>'תקציב החברה לפיתוח 2020'!L37</f>
        <v>996487.11</v>
      </c>
      <c r="M37" s="199">
        <f>'תקציב החברה לפיתוח 2020'!M37</f>
        <v>14003512.890000001</v>
      </c>
      <c r="N37" s="199">
        <f>'תקציב החברה לפיתוח 2020'!N37</f>
        <v>7000000</v>
      </c>
      <c r="O37" s="199">
        <f>'תקציב החברה לפיתוח 2020'!O37</f>
        <v>7000000</v>
      </c>
      <c r="P37" s="199">
        <f>'תקציב החברה לפיתוח 2020'!P37</f>
        <v>153512.89000000001</v>
      </c>
      <c r="Q37" s="199">
        <f>'תקציב החברה לפיתוח 2020'!Q37</f>
        <v>13850000</v>
      </c>
      <c r="R37" s="199">
        <f>'תקציב החברה לפיתוח 2020'!R37</f>
        <v>0</v>
      </c>
      <c r="S37" s="199">
        <f>'תקציב החברה לפיתוח 2020'!S37</f>
        <v>13850000</v>
      </c>
      <c r="T37" s="199">
        <f>'תקציב החברה לפיתוח 2020'!T37</f>
        <v>0</v>
      </c>
      <c r="U37" s="199">
        <f>'תקציב החברה לפיתוח 2020'!U37</f>
        <v>7000000</v>
      </c>
      <c r="V37" s="199">
        <f>'תקציב החברה לפיתוח 2020'!V37</f>
        <v>3768840</v>
      </c>
      <c r="W37" s="199">
        <f>'תקציב החברה לפיתוח 2020'!W37</f>
        <v>0</v>
      </c>
      <c r="X37" s="199">
        <f>'תקציב החברה לפיתוח 2020'!X37</f>
        <v>0</v>
      </c>
      <c r="Y37" s="199">
        <f>'תקציב החברה לפיתוח 2020'!Y37</f>
        <v>0</v>
      </c>
      <c r="Z37" s="199">
        <f>'תקציב החברה לפיתוח 2020'!Z37</f>
        <v>3231160</v>
      </c>
      <c r="AA37" s="341" t="str">
        <f>'תקציב החברה לפיתוח 2020'!AA37</f>
        <v xml:space="preserve">בניית אולם ספורט חדש בחטיבה. בקשת מימון מ. התרבות והספורט. </v>
      </c>
      <c r="AB37" s="707">
        <f>'תקציב החברה לפיתוח 2020'!AB37</f>
        <v>829000</v>
      </c>
      <c r="AE37" s="624"/>
      <c r="AF37" s="627"/>
    </row>
    <row r="38" spans="1:39" s="202" customFormat="1" ht="19.95" customHeight="1">
      <c r="A38" s="198">
        <f t="shared" si="0"/>
        <v>33</v>
      </c>
      <c r="B38" s="707">
        <f>'תקציב החברה לפיתוח 2020'!B38</f>
        <v>1834</v>
      </c>
      <c r="C38" s="341" t="str">
        <f>'תקציב החברה לפיתוח 2020'!C38</f>
        <v>מתנ"ס נווה ישראל</v>
      </c>
      <c r="D38" s="199">
        <f>'תקציב החברה לפיתוח 2020'!D38</f>
        <v>60000000</v>
      </c>
      <c r="E38" s="199">
        <f>'תקציב החברה לפיתוח 2020'!E38</f>
        <v>60000000</v>
      </c>
      <c r="F38" s="199">
        <f>'תקציב החברה לפיתוח 2020'!F38</f>
        <v>0</v>
      </c>
      <c r="G38" s="199">
        <f>'תקציב החברה לפיתוח 2020'!G38</f>
        <v>5100000</v>
      </c>
      <c r="H38" s="199">
        <f>'תקציב החברה לפיתוח 2020'!H38</f>
        <v>1930349</v>
      </c>
      <c r="I38" s="199">
        <f>'תקציב החברה לפיתוח 2020'!I38</f>
        <v>0</v>
      </c>
      <c r="J38" s="199">
        <f>'תקציב החברה לפיתוח 2020'!J38</f>
        <v>164386.35</v>
      </c>
      <c r="K38" s="199">
        <f>'תקציב החברה לפיתוח 2020'!K38</f>
        <v>164386.35</v>
      </c>
      <c r="L38" s="199">
        <f>'תקציב החברה לפיתוח 2020'!L38</f>
        <v>2094735.35</v>
      </c>
      <c r="M38" s="199">
        <f>'תקציב החברה לפיתוח 2020'!M38</f>
        <v>13505264.649999999</v>
      </c>
      <c r="N38" s="199">
        <f>'תקציב החברה לפיתוח 2020'!N38</f>
        <v>16000000</v>
      </c>
      <c r="O38" s="199">
        <f>'תקציב החברה לפיתוח 2020'!O38</f>
        <v>28400000</v>
      </c>
      <c r="P38" s="199">
        <f>'תקציב החברה לפיתוח 2020'!P38</f>
        <v>3005264.65</v>
      </c>
      <c r="Q38" s="199">
        <f>'תקציב החברה לפיתוח 2020'!Q38</f>
        <v>28500000</v>
      </c>
      <c r="R38" s="199">
        <f>'תקציב החברה לפיתוח 2020'!R38</f>
        <v>0</v>
      </c>
      <c r="S38" s="199">
        <f>'תקציב החברה לפיתוח 2020'!S38</f>
        <v>28500000</v>
      </c>
      <c r="T38" s="199">
        <f>'תקציב החברה לפיתוח 2020'!T38</f>
        <v>18000000</v>
      </c>
      <c r="U38" s="199">
        <f>'תקציב החברה לפיתוח 2020'!U38</f>
        <v>-2000000</v>
      </c>
      <c r="V38" s="199">
        <f>'תקציב החברה לפיתוח 2020'!V38</f>
        <v>-2000000</v>
      </c>
      <c r="W38" s="199">
        <f>'תקציב החברה לפיתוח 2020'!W38</f>
        <v>0</v>
      </c>
      <c r="X38" s="199">
        <f>'תקציב החברה לפיתוח 2020'!X38</f>
        <v>0</v>
      </c>
      <c r="Y38" s="199">
        <f>'תקציב החברה לפיתוח 2020'!Y38</f>
        <v>0</v>
      </c>
      <c r="Z38" s="199">
        <f>'תקציב החברה לפיתוח 2020'!Z38</f>
        <v>0</v>
      </c>
      <c r="AA38" s="341" t="str">
        <f>'תקציב החברה לפיתוח 2020'!AA38</f>
        <v xml:space="preserve">בניית מתנ"ס חדש בשכונה. </v>
      </c>
      <c r="AB38" s="707">
        <f>'תקציב החברה לפיתוח 2020'!AB38</f>
        <v>824000</v>
      </c>
      <c r="AC38" s="191"/>
      <c r="AD38" s="191"/>
      <c r="AE38" s="624"/>
      <c r="AF38" s="627"/>
      <c r="AG38" s="331"/>
      <c r="AH38" s="331"/>
    </row>
    <row r="39" spans="1:39" s="202" customFormat="1" ht="41.4">
      <c r="A39" s="198">
        <f t="shared" si="0"/>
        <v>34</v>
      </c>
      <c r="B39" s="707">
        <f>'תקציב החברה לפיתוח 2020'!B39</f>
        <v>1835</v>
      </c>
      <c r="C39" s="341" t="str">
        <f>'תקציב החברה לפיתוח 2020'!C39</f>
        <v>פיתוח מתחם מתנ"ס נווה עמל ומגרשי טניס</v>
      </c>
      <c r="D39" s="199">
        <f>'תקציב החברה לפיתוח 2020'!D39</f>
        <v>70000000</v>
      </c>
      <c r="E39" s="199">
        <f>'תקציב החברה לפיתוח 2020'!E39</f>
        <v>58000000</v>
      </c>
      <c r="F39" s="199">
        <f>'תקציב החברה לפיתוח 2020'!F39</f>
        <v>12000000</v>
      </c>
      <c r="G39" s="199">
        <f>'תקציב החברה לפיתוח 2020'!G39</f>
        <v>11900000</v>
      </c>
      <c r="H39" s="199">
        <f>'תקציב החברה לפיתוח 2020'!H39</f>
        <v>8964400</v>
      </c>
      <c r="I39" s="199">
        <f>'תקציב החברה לפיתוח 2020'!I39</f>
        <v>0</v>
      </c>
      <c r="J39" s="199">
        <f>'תקציב החברה לפיתוח 2020'!J39</f>
        <v>2333325.81</v>
      </c>
      <c r="K39" s="199">
        <f>'תקציב החברה לפיתוח 2020'!K39</f>
        <v>2333325.81</v>
      </c>
      <c r="L39" s="199">
        <f>'תקציב החברה לפיתוח 2020'!L39</f>
        <v>11297725.810000001</v>
      </c>
      <c r="M39" s="199">
        <f>'תקציב החברה לפיתוח 2020'!M39</f>
        <v>602274.18999999948</v>
      </c>
      <c r="N39" s="199">
        <f>'תקציב החברה לפיתוח 2020'!N39</f>
        <v>18000000</v>
      </c>
      <c r="O39" s="199">
        <f>'תקציב החברה לפיתוח 2020'!O39</f>
        <v>40100000</v>
      </c>
      <c r="P39" s="199">
        <f>'תקציב החברה לפיתוח 2020'!P39</f>
        <v>602274.18999999948</v>
      </c>
      <c r="Q39" s="199">
        <f>'תקציב החברה לפיתוח 2020'!Q39</f>
        <v>0</v>
      </c>
      <c r="R39" s="199">
        <f>'תקציב החברה לפיתוח 2020'!R39</f>
        <v>0</v>
      </c>
      <c r="S39" s="199">
        <f>'תקציב החברה לפיתוח 2020'!S39</f>
        <v>0</v>
      </c>
      <c r="T39" s="199">
        <f>'תקציב החברה לפיתוח 2020'!T39</f>
        <v>0</v>
      </c>
      <c r="U39" s="199">
        <f>'תקציב החברה לפיתוח 2020'!U39</f>
        <v>18000000</v>
      </c>
      <c r="V39" s="199">
        <f>'תקציב החברה לפיתוח 2020'!V39</f>
        <v>18000000</v>
      </c>
      <c r="W39" s="199">
        <f>'תקציב החברה לפיתוח 2020'!W39</f>
        <v>0</v>
      </c>
      <c r="X39" s="199">
        <f>'תקציב החברה לפיתוח 2020'!X39</f>
        <v>0</v>
      </c>
      <c r="Y39" s="199">
        <f>'תקציב החברה לפיתוח 2020'!Y39</f>
        <v>0</v>
      </c>
      <c r="Z39" s="199">
        <f>'תקציב החברה לפיתוח 2020'!Z39</f>
        <v>0</v>
      </c>
      <c r="AA39" s="341" t="str">
        <f>'תקציב החברה לפיתוח 2020'!AA39</f>
        <v xml:space="preserve"> תכנון וביצוע בניית מתנ"ס חדש בשכונת נווה עמל כולל הקמת מגרש טניס ושדרוג המתחם.</v>
      </c>
      <c r="AB39" s="707">
        <f>'תקציב החברה לפיתוח 2020'!AB39</f>
        <v>824000</v>
      </c>
      <c r="AC39" s="191"/>
      <c r="AD39" s="191"/>
      <c r="AE39" s="624"/>
      <c r="AF39" s="627"/>
      <c r="AG39" s="331"/>
      <c r="AH39" s="331"/>
    </row>
    <row r="40" spans="1:39" s="202" customFormat="1">
      <c r="A40" s="198">
        <f t="shared" si="0"/>
        <v>35</v>
      </c>
      <c r="B40" s="707">
        <f>'תקציב החברה לפיתוח 2020'!B40</f>
        <v>1836</v>
      </c>
      <c r="C40" s="341" t="str">
        <f>'תקציב החברה לפיתוח 2020'!C40</f>
        <v>רחבת בנין עיריה חדש</v>
      </c>
      <c r="D40" s="199">
        <f>'תקציב החברה לפיתוח 2020'!D40</f>
        <v>500000</v>
      </c>
      <c r="E40" s="199">
        <f>'תקציב החברה לפיתוח 2020'!E40</f>
        <v>500000</v>
      </c>
      <c r="F40" s="199">
        <f>'תקציב החברה לפיתוח 2020'!F40</f>
        <v>0</v>
      </c>
      <c r="G40" s="199">
        <f>'תקציב החברה לפיתוח 2020'!G40</f>
        <v>500000</v>
      </c>
      <c r="H40" s="199">
        <f>'תקציב החברה לפיתוח 2020'!H40</f>
        <v>425414</v>
      </c>
      <c r="I40" s="199">
        <f>'תקציב החברה לפיתוח 2020'!I40</f>
        <v>0</v>
      </c>
      <c r="J40" s="199">
        <f>'תקציב החברה לפיתוח 2020'!J40</f>
        <v>0</v>
      </c>
      <c r="K40" s="199">
        <f>'תקציב החברה לפיתוח 2020'!K40</f>
        <v>0</v>
      </c>
      <c r="L40" s="199">
        <f>'תקציב החברה לפיתוח 2020'!L40</f>
        <v>425414</v>
      </c>
      <c r="M40" s="199">
        <f>'תקציב החברה לפיתוח 2020'!M40</f>
        <v>74586</v>
      </c>
      <c r="N40" s="199">
        <f>'תקציב החברה לפיתוח 2020'!N40</f>
        <v>0</v>
      </c>
      <c r="O40" s="199">
        <f>'תקציב החברה לפיתוח 2020'!O40</f>
        <v>0</v>
      </c>
      <c r="P40" s="199">
        <f>'תקציב החברה לפיתוח 2020'!P40</f>
        <v>74586</v>
      </c>
      <c r="Q40" s="199">
        <f>'תקציב החברה לפיתוח 2020'!Q40</f>
        <v>0</v>
      </c>
      <c r="R40" s="199">
        <f>'תקציב החברה לפיתוח 2020'!R40</f>
        <v>0</v>
      </c>
      <c r="S40" s="199">
        <f>'תקציב החברה לפיתוח 2020'!S40</f>
        <v>0</v>
      </c>
      <c r="T40" s="199">
        <f>'תקציב החברה לפיתוח 2020'!T40</f>
        <v>0</v>
      </c>
      <c r="U40" s="199">
        <f>'תקציב החברה לפיתוח 2020'!U40</f>
        <v>0</v>
      </c>
      <c r="V40" s="199">
        <f>'תקציב החברה לפיתוח 2020'!V40</f>
        <v>0</v>
      </c>
      <c r="W40" s="199">
        <f>'תקציב החברה לפיתוח 2020'!W40</f>
        <v>0</v>
      </c>
      <c r="X40" s="199">
        <f>'תקציב החברה לפיתוח 2020'!X40</f>
        <v>0</v>
      </c>
      <c r="Y40" s="199">
        <f>'תקציב החברה לפיתוח 2020'!Y40</f>
        <v>0</v>
      </c>
      <c r="Z40" s="199">
        <f>'תקציב החברה לפיתוח 2020'!Z40</f>
        <v>0</v>
      </c>
      <c r="AA40" s="341" t="str">
        <f>'תקציב החברה לפיתוח 2020'!AA40</f>
        <v>ממתין לחן סופי.</v>
      </c>
      <c r="AB40" s="707">
        <f>'תקציב החברה לפיתוח 2020'!AB40</f>
        <v>930000</v>
      </c>
      <c r="AC40" s="191"/>
      <c r="AD40" s="191"/>
      <c r="AE40" s="624"/>
      <c r="AF40" s="627"/>
      <c r="AG40" s="331"/>
      <c r="AH40" s="331"/>
    </row>
    <row r="41" spans="1:39" ht="27.6">
      <c r="A41" s="198">
        <f t="shared" si="0"/>
        <v>36</v>
      </c>
      <c r="B41" s="707">
        <f>'תקציב החברה לפיתוח 2020'!B41</f>
        <v>1837</v>
      </c>
      <c r="C41" s="341" t="str">
        <f>'תקציב החברה לפיתוח 2020'!C41</f>
        <v>בית כנסת "אור זרוע"-תוס.קומה</v>
      </c>
      <c r="D41" s="199">
        <f>'תקציב החברה לפיתוח 2020'!D41</f>
        <v>3460000</v>
      </c>
      <c r="E41" s="199">
        <f>'תקציב החברה לפיתוח 2020'!E41</f>
        <v>3460000</v>
      </c>
      <c r="F41" s="199">
        <f>'תקציב החברה לפיתוח 2020'!F41</f>
        <v>0</v>
      </c>
      <c r="G41" s="199">
        <f>'תקציב החברה לפיתוח 2020'!G41</f>
        <v>3460000</v>
      </c>
      <c r="H41" s="199">
        <f>'תקציב החברה לפיתוח 2020'!H41</f>
        <v>3083128</v>
      </c>
      <c r="I41" s="199">
        <f>'תקציב החברה לפיתוח 2020'!I41</f>
        <v>0</v>
      </c>
      <c r="J41" s="199">
        <f>'תקציב החברה לפיתוח 2020'!J41</f>
        <v>115008.16</v>
      </c>
      <c r="K41" s="199">
        <f>'תקציב החברה לפיתוח 2020'!K41</f>
        <v>115008.16</v>
      </c>
      <c r="L41" s="199">
        <f>'תקציב החברה לפיתוח 2020'!L41</f>
        <v>3198136.16</v>
      </c>
      <c r="M41" s="199">
        <f>'תקציב החברה לפיתוח 2020'!M41</f>
        <v>261863.83999999985</v>
      </c>
      <c r="N41" s="199">
        <f>'תקציב החברה לפיתוח 2020'!N41</f>
        <v>0</v>
      </c>
      <c r="O41" s="199">
        <f>'תקציב החברה לפיתוח 2020'!O41</f>
        <v>0</v>
      </c>
      <c r="P41" s="199">
        <f>'תקציב החברה לפיתוח 2020'!P41</f>
        <v>261863.83999999985</v>
      </c>
      <c r="Q41" s="199">
        <f>'תקציב החברה לפיתוח 2020'!Q41</f>
        <v>0</v>
      </c>
      <c r="R41" s="199">
        <f>'תקציב החברה לפיתוח 2020'!R41</f>
        <v>0</v>
      </c>
      <c r="S41" s="199">
        <f>'תקציב החברה לפיתוח 2020'!S41</f>
        <v>0</v>
      </c>
      <c r="T41" s="199">
        <f>'תקציב החברה לפיתוח 2020'!T41</f>
        <v>0</v>
      </c>
      <c r="U41" s="199">
        <f>'תקציב החברה לפיתוח 2020'!U41</f>
        <v>0</v>
      </c>
      <c r="V41" s="199">
        <f>'תקציב החברה לפיתוח 2020'!V41</f>
        <v>0</v>
      </c>
      <c r="W41" s="199">
        <f>'תקציב החברה לפיתוח 2020'!W41</f>
        <v>0</v>
      </c>
      <c r="X41" s="199">
        <f>'תקציב החברה לפיתוח 2020'!X41</f>
        <v>0</v>
      </c>
      <c r="Y41" s="199">
        <f>'תקציב החברה לפיתוח 2020'!Y41</f>
        <v>0</v>
      </c>
      <c r="Z41" s="199">
        <f>'תקציב החברה לפיתוח 2020'!Z41</f>
        <v>0</v>
      </c>
      <c r="AA41" s="341" t="str">
        <f>'תקציב החברה לפיתוח 2020'!AA41</f>
        <v>תוספת קומה בביכנ"ס אור זרוע ברח' אבן עזרא. לקראת סיום.</v>
      </c>
      <c r="AB41" s="707">
        <f>'תקציב החברה לפיתוח 2020'!AB41</f>
        <v>850000</v>
      </c>
      <c r="AE41" s="624"/>
      <c r="AF41" s="627"/>
    </row>
    <row r="42" spans="1:39" ht="55.2">
      <c r="A42" s="198">
        <f t="shared" si="0"/>
        <v>37</v>
      </c>
      <c r="B42" s="707">
        <f>'תקציב החברה לפיתוח 2020'!B42</f>
        <v>1845</v>
      </c>
      <c r="C42" s="341" t="str">
        <f>'תקציב החברה לפיתוח 2020'!C42</f>
        <v>חניונים הר'1900 -שינוי תב"ע</v>
      </c>
      <c r="D42" s="199">
        <f>'תקציב החברה לפיתוח 2020'!D42</f>
        <v>6000000</v>
      </c>
      <c r="E42" s="199">
        <f>'תקציב החברה לפיתוח 2020'!E42</f>
        <v>1500000</v>
      </c>
      <c r="F42" s="199">
        <f>'תקציב החברה לפיתוח 2020'!F42</f>
        <v>4500000</v>
      </c>
      <c r="G42" s="199">
        <f>'תקציב החברה לפיתוח 2020'!G42</f>
        <v>750000</v>
      </c>
      <c r="H42" s="199">
        <f>'תקציב החברה לפיתוח 2020'!H42</f>
        <v>556996</v>
      </c>
      <c r="I42" s="199">
        <f>'תקציב החברה לפיתוח 2020'!I42</f>
        <v>0</v>
      </c>
      <c r="J42" s="199">
        <f>'תקציב החברה לפיתוח 2020'!J42</f>
        <v>31930.3</v>
      </c>
      <c r="K42" s="199">
        <f>'תקציב החברה לפיתוח 2020'!K42</f>
        <v>31930.3</v>
      </c>
      <c r="L42" s="199">
        <f>'תקציב החברה לפיתוח 2020'!L42</f>
        <v>588926.30000000005</v>
      </c>
      <c r="M42" s="199">
        <f>'תקציב החברה לפיתוח 2020'!M42</f>
        <v>911073.7</v>
      </c>
      <c r="N42" s="199">
        <f>'תקציב החברה לפיתוח 2020'!N42</f>
        <v>2500000</v>
      </c>
      <c r="O42" s="199">
        <f>'תקציב החברה לפיתוח 2020'!O42</f>
        <v>2000000</v>
      </c>
      <c r="P42" s="199">
        <f>'תקציב החברה לפיתוח 2020'!P42</f>
        <v>161073.69999999995</v>
      </c>
      <c r="Q42" s="199">
        <f>'תקציב החברה לפיתוח 2020'!Q42</f>
        <v>750000</v>
      </c>
      <c r="R42" s="199">
        <f>'תקציב החברה לפיתוח 2020'!R42</f>
        <v>0</v>
      </c>
      <c r="S42" s="199">
        <f>'תקציב החברה לפיתוח 2020'!S42</f>
        <v>750000</v>
      </c>
      <c r="T42" s="199">
        <f>'תקציב החברה לפיתוח 2020'!T42</f>
        <v>0</v>
      </c>
      <c r="U42" s="199">
        <f>'תקציב החברה לפיתוח 2020'!U42</f>
        <v>2500000</v>
      </c>
      <c r="V42" s="199">
        <f>'תקציב החברה לפיתוח 2020'!V42</f>
        <v>2500000</v>
      </c>
      <c r="W42" s="199">
        <f>'תקציב החברה לפיתוח 2020'!W42</f>
        <v>0</v>
      </c>
      <c r="X42" s="199">
        <f>'תקציב החברה לפיתוח 2020'!X42</f>
        <v>0</v>
      </c>
      <c r="Y42" s="199">
        <f>'תקציב החברה לפיתוח 2020'!Y42</f>
        <v>0</v>
      </c>
      <c r="Z42" s="199">
        <f>'תקציב החברה לפיתוח 2020'!Z42</f>
        <v>0</v>
      </c>
      <c r="AA42" s="341" t="str">
        <f>'תקציב החברה לפיתוח 2020'!AA42</f>
        <v>תכנון במסגרת שינוי תב"ע חניונים הר' 1900. חניונים: משכית (השלמה לתכנון מפורט), גלגלי הפלדה.</v>
      </c>
      <c r="AB42" s="707">
        <f>'תקציב החברה לפיתוח 2020'!AB42</f>
        <v>742000</v>
      </c>
      <c r="AE42" s="624"/>
      <c r="AF42" s="627"/>
    </row>
    <row r="43" spans="1:39" ht="19.95" customHeight="1">
      <c r="A43" s="198">
        <f t="shared" si="0"/>
        <v>38</v>
      </c>
      <c r="B43" s="707">
        <f>'תקציב החברה לפיתוח 2020'!B43</f>
        <v>1846</v>
      </c>
      <c r="C43" s="341" t="str">
        <f>'תקציב החברה לפיתוח 2020'!C43</f>
        <v>דיור בר השגה</v>
      </c>
      <c r="D43" s="199">
        <f>'תקציב החברה לפיתוח 2020'!D43</f>
        <v>500000</v>
      </c>
      <c r="E43" s="199">
        <f>'תקציב החברה לפיתוח 2020'!E43</f>
        <v>500000</v>
      </c>
      <c r="F43" s="199">
        <f>'תקציב החברה לפיתוח 2020'!F43</f>
        <v>0</v>
      </c>
      <c r="G43" s="199">
        <f>'תקציב החברה לפיתוח 2020'!G43</f>
        <v>500000</v>
      </c>
      <c r="H43" s="199">
        <f>'תקציב החברה לפיתוח 2020'!H43</f>
        <v>328739</v>
      </c>
      <c r="I43" s="199">
        <f>'תקציב החברה לפיתוח 2020'!I43</f>
        <v>0</v>
      </c>
      <c r="J43" s="199">
        <f>'תקציב החברה לפיתוח 2020'!J43</f>
        <v>0</v>
      </c>
      <c r="K43" s="199">
        <f>'תקציב החברה לפיתוח 2020'!K43</f>
        <v>0</v>
      </c>
      <c r="L43" s="199">
        <f>'תקציב החברה לפיתוח 2020'!L43</f>
        <v>328739</v>
      </c>
      <c r="M43" s="199">
        <f>'תקציב החברה לפיתוח 2020'!M43</f>
        <v>171261</v>
      </c>
      <c r="N43" s="199">
        <f>'תקציב החברה לפיתוח 2020'!N43</f>
        <v>0</v>
      </c>
      <c r="O43" s="199">
        <f>'תקציב החברה לפיתוח 2020'!O43</f>
        <v>0</v>
      </c>
      <c r="P43" s="199">
        <f>'תקציב החברה לפיתוח 2020'!P43</f>
        <v>171261</v>
      </c>
      <c r="Q43" s="199">
        <f>'תקציב החברה לפיתוח 2020'!Q43</f>
        <v>0</v>
      </c>
      <c r="R43" s="199">
        <f>'תקציב החברה לפיתוח 2020'!R43</f>
        <v>0</v>
      </c>
      <c r="S43" s="199">
        <f>'תקציב החברה לפיתוח 2020'!S43</f>
        <v>0</v>
      </c>
      <c r="T43" s="199">
        <f>'תקציב החברה לפיתוח 2020'!T43</f>
        <v>0</v>
      </c>
      <c r="U43" s="199">
        <f>'תקציב החברה לפיתוח 2020'!U43</f>
        <v>0</v>
      </c>
      <c r="V43" s="199">
        <f>'תקציב החברה לפיתוח 2020'!V43</f>
        <v>0</v>
      </c>
      <c r="W43" s="199">
        <f>'תקציב החברה לפיתוח 2020'!W43</f>
        <v>0</v>
      </c>
      <c r="X43" s="199">
        <f>'תקציב החברה לפיתוח 2020'!X43</f>
        <v>0</v>
      </c>
      <c r="Y43" s="199">
        <f>'תקציב החברה לפיתוח 2020'!Y43</f>
        <v>0</v>
      </c>
      <c r="Z43" s="199">
        <f>'תקציב החברה לפיתוח 2020'!Z43</f>
        <v>0</v>
      </c>
      <c r="AA43" s="341">
        <f>'תקציב החברה לפיתוח 2020'!AA43</f>
        <v>0</v>
      </c>
      <c r="AB43" s="707">
        <f>'תקציב החברה לפיתוח 2020'!AB43</f>
        <v>732000</v>
      </c>
      <c r="AE43" s="624"/>
      <c r="AF43" s="627"/>
    </row>
    <row r="44" spans="1:39" s="5" customFormat="1" ht="35.1" customHeight="1">
      <c r="A44" s="198">
        <f t="shared" si="0"/>
        <v>39</v>
      </c>
      <c r="B44" s="707">
        <f>'תקציב החברה לפיתוח 2020'!B44</f>
        <v>1872</v>
      </c>
      <c r="C44" s="341" t="str">
        <f>'תקציב החברה לפיתוח 2020'!C44</f>
        <v>הסדרת צומת ברנר בר כוכבא בן גוריון</v>
      </c>
      <c r="D44" s="199">
        <f>'תקציב החברה לפיתוח 2020'!D44</f>
        <v>1160000</v>
      </c>
      <c r="E44" s="199">
        <f>'תקציב החברה לפיתוח 2020'!E44</f>
        <v>1160000</v>
      </c>
      <c r="F44" s="199">
        <f>'תקציב החברה לפיתוח 2020'!F44</f>
        <v>0</v>
      </c>
      <c r="G44" s="199">
        <f>'תקציב החברה לפיתוח 2020'!G44</f>
        <v>1160000</v>
      </c>
      <c r="H44" s="199">
        <f>'תקציב החברה לפיתוח 2020'!H44</f>
        <v>480996</v>
      </c>
      <c r="I44" s="199">
        <f>'תקציב החברה לפיתוח 2020'!I44</f>
        <v>0</v>
      </c>
      <c r="J44" s="199">
        <f>'תקציב החברה לפיתוח 2020'!J44</f>
        <v>678998.24</v>
      </c>
      <c r="K44" s="199">
        <f>'תקציב החברה לפיתוח 2020'!K44</f>
        <v>678998.24</v>
      </c>
      <c r="L44" s="199">
        <f>'תקציב החברה לפיתוח 2020'!L44</f>
        <v>1159994.24</v>
      </c>
      <c r="M44" s="199">
        <f>'תקציב החברה לפיתוח 2020'!M44</f>
        <v>5.7600000000093132</v>
      </c>
      <c r="N44" s="199">
        <f>'תקציב החברה לפיתוח 2020'!N44</f>
        <v>0</v>
      </c>
      <c r="O44" s="199">
        <f>'תקציב החברה לפיתוח 2020'!O44</f>
        <v>0</v>
      </c>
      <c r="P44" s="199">
        <f>'תקציב החברה לפיתוח 2020'!P44</f>
        <v>5.7600000000093132</v>
      </c>
      <c r="Q44" s="199">
        <f>'תקציב החברה לפיתוח 2020'!Q44</f>
        <v>0</v>
      </c>
      <c r="R44" s="199">
        <f>'תקציב החברה לפיתוח 2020'!R44</f>
        <v>0</v>
      </c>
      <c r="S44" s="199">
        <f>'תקציב החברה לפיתוח 2020'!S44</f>
        <v>0</v>
      </c>
      <c r="T44" s="199">
        <f>'תקציב החברה לפיתוח 2020'!T44</f>
        <v>0</v>
      </c>
      <c r="U44" s="199">
        <f>'תקציב החברה לפיתוח 2020'!U44</f>
        <v>0</v>
      </c>
      <c r="V44" s="199">
        <f>'תקציב החברה לפיתוח 2020'!V44</f>
        <v>0</v>
      </c>
      <c r="W44" s="199">
        <f>'תקציב החברה לפיתוח 2020'!W44</f>
        <v>0</v>
      </c>
      <c r="X44" s="199">
        <f>'תקציב החברה לפיתוח 2020'!X44</f>
        <v>0</v>
      </c>
      <c r="Y44" s="199">
        <f>'תקציב החברה לפיתוח 2020'!Y44</f>
        <v>0</v>
      </c>
      <c r="Z44" s="199">
        <f>'תקציב החברה לפיתוח 2020'!Z44</f>
        <v>0</v>
      </c>
      <c r="AA44" s="341" t="str">
        <f>'תקציב החברה לפיתוח 2020'!AA44</f>
        <v>הסדרת ניקוז בצומת הרחובות. מימון מ. התחבורה. חן סופיים.</v>
      </c>
      <c r="AB44" s="707">
        <f>'תקציב החברה לפיתוח 2020'!AB44</f>
        <v>742000</v>
      </c>
      <c r="AC44" s="191"/>
      <c r="AD44" s="191"/>
      <c r="AE44" s="624"/>
      <c r="AF44" s="627"/>
    </row>
    <row r="45" spans="1:39">
      <c r="A45" s="198">
        <f t="shared" si="0"/>
        <v>40</v>
      </c>
      <c r="B45" s="707">
        <f>'תקציב החברה לפיתוח 2020'!B45</f>
        <v>1894</v>
      </c>
      <c r="C45" s="341" t="str">
        <f>'תקציב החברה לפיתוח 2020'!C45</f>
        <v>בנית 3 גני ילדים (המסילה)</v>
      </c>
      <c r="D45" s="199">
        <f>'תקציב החברה לפיתוח 2020'!D45</f>
        <v>7100000</v>
      </c>
      <c r="E45" s="199">
        <f>'תקציב החברה לפיתוח 2020'!E45</f>
        <v>7100000</v>
      </c>
      <c r="F45" s="199">
        <f>'תקציב החברה לפיתוח 2020'!F45</f>
        <v>0</v>
      </c>
      <c r="G45" s="199">
        <f>'תקציב החברה לפיתוח 2020'!G45</f>
        <v>7100000</v>
      </c>
      <c r="H45" s="199">
        <f>'תקציב החברה לפיתוח 2020'!H45</f>
        <v>6269033</v>
      </c>
      <c r="I45" s="199">
        <f>'תקציב החברה לפיתוח 2020'!I45</f>
        <v>0</v>
      </c>
      <c r="J45" s="199">
        <f>'תקציב החברה לפיתוח 2020'!J45</f>
        <v>823004.96</v>
      </c>
      <c r="K45" s="199">
        <f>'תקציב החברה לפיתוח 2020'!K45</f>
        <v>823004.96</v>
      </c>
      <c r="L45" s="199">
        <f>'תקציב החברה לפיתוח 2020'!L45</f>
        <v>7092037.96</v>
      </c>
      <c r="M45" s="199">
        <f>'תקציב החברה לפיתוח 2020'!M45</f>
        <v>7962.0400000000373</v>
      </c>
      <c r="N45" s="199">
        <f>'תקציב החברה לפיתוח 2020'!N45</f>
        <v>0</v>
      </c>
      <c r="O45" s="199">
        <f>'תקציב החברה לפיתוח 2020'!O45</f>
        <v>0</v>
      </c>
      <c r="P45" s="199">
        <f>'תקציב החברה לפיתוח 2020'!P45</f>
        <v>7962.0400000000373</v>
      </c>
      <c r="Q45" s="199">
        <f>'תקציב החברה לפיתוח 2020'!Q45</f>
        <v>0</v>
      </c>
      <c r="R45" s="199">
        <f>'תקציב החברה לפיתוח 2020'!R45</f>
        <v>0</v>
      </c>
      <c r="S45" s="199">
        <f>'תקציב החברה לפיתוח 2020'!S45</f>
        <v>0</v>
      </c>
      <c r="T45" s="199">
        <f>'תקציב החברה לפיתוח 2020'!T45</f>
        <v>0</v>
      </c>
      <c r="U45" s="199">
        <f>'תקציב החברה לפיתוח 2020'!U45</f>
        <v>0</v>
      </c>
      <c r="V45" s="199">
        <f>'תקציב החברה לפיתוח 2020'!V45</f>
        <v>0</v>
      </c>
      <c r="W45" s="199">
        <f>'תקציב החברה לפיתוח 2020'!W45</f>
        <v>0</v>
      </c>
      <c r="X45" s="199">
        <f>'תקציב החברה לפיתוח 2020'!X45</f>
        <v>0</v>
      </c>
      <c r="Y45" s="199">
        <f>'תקציב החברה לפיתוח 2020'!Y45</f>
        <v>0</v>
      </c>
      <c r="Z45" s="199">
        <f>'תקציב החברה לפיתוח 2020'!Z45</f>
        <v>0</v>
      </c>
      <c r="AA45" s="341" t="str">
        <f>'תקציב החברה לפיתוח 2020'!AA45</f>
        <v>חן סופיים.</v>
      </c>
      <c r="AB45" s="707">
        <f>'תקציב החברה לפיתוח 2020'!AB45</f>
        <v>810000</v>
      </c>
      <c r="AE45" s="624"/>
      <c r="AF45" s="627"/>
    </row>
    <row r="46" spans="1:39" ht="41.4">
      <c r="A46" s="198">
        <f t="shared" si="0"/>
        <v>41</v>
      </c>
      <c r="B46" s="707">
        <f>'תקציב החברה לפיתוח 2020'!B46</f>
        <v>1896</v>
      </c>
      <c r="C46" s="341" t="str">
        <f>'תקציב החברה לפיתוח 2020'!C46</f>
        <v>קירוי והצללה מגרשי ספורט עירוניים</v>
      </c>
      <c r="D46" s="199">
        <f>'תקציב החברה לפיתוח 2020'!D46</f>
        <v>18560000</v>
      </c>
      <c r="E46" s="199">
        <f>'תקציב החברה לפיתוח 2020'!E46</f>
        <v>18560000</v>
      </c>
      <c r="F46" s="199">
        <f>'תקציב החברה לפיתוח 2020'!F46</f>
        <v>0</v>
      </c>
      <c r="G46" s="199">
        <f>'תקציב החברה לפיתוח 2020'!G46</f>
        <v>4000000</v>
      </c>
      <c r="H46" s="199">
        <f>'תקציב החברה לפיתוח 2020'!H46</f>
        <v>881105</v>
      </c>
      <c r="I46" s="199">
        <f>'תקציב החברה לפיתוח 2020'!I46</f>
        <v>0</v>
      </c>
      <c r="J46" s="199">
        <f>'תקציב החברה לפיתוח 2020'!J46</f>
        <v>754536.83</v>
      </c>
      <c r="K46" s="199">
        <f>'תקציב החברה לפיתוח 2020'!K46</f>
        <v>754536.83</v>
      </c>
      <c r="L46" s="199">
        <f>'תקציב החברה לפיתוח 2020'!L46</f>
        <v>1635641.83</v>
      </c>
      <c r="M46" s="199">
        <f>'תקציב החברה לפיתוח 2020'!M46</f>
        <v>9964358.1699999999</v>
      </c>
      <c r="N46" s="199">
        <f>'תקציב החברה לפיתוח 2020'!N46</f>
        <v>3500000</v>
      </c>
      <c r="O46" s="199">
        <f>'תקציב החברה לפיתוח 2020'!O46</f>
        <v>3460000.0000000019</v>
      </c>
      <c r="P46" s="199">
        <f>'תקציב החברה לפיתוח 2020'!P46</f>
        <v>2364358.17</v>
      </c>
      <c r="Q46" s="199">
        <f>'תקציב החברה לפיתוח 2020'!Q46</f>
        <v>7600000</v>
      </c>
      <c r="R46" s="199">
        <f>'תקציב החברה לפיתוח 2020'!R46</f>
        <v>0</v>
      </c>
      <c r="S46" s="199">
        <f>'תקציב החברה לפיתוח 2020'!S46</f>
        <v>7600000</v>
      </c>
      <c r="T46" s="199">
        <f>'תקציב החברה לפיתוח 2020'!T46</f>
        <v>0</v>
      </c>
      <c r="U46" s="199">
        <f>'תקציב החברה לפיתוח 2020'!U46</f>
        <v>3500000</v>
      </c>
      <c r="V46" s="199">
        <f>'תקציב החברה לפיתוח 2020'!V46</f>
        <v>3500000</v>
      </c>
      <c r="W46" s="199">
        <f>'תקציב החברה לפיתוח 2020'!W46</f>
        <v>0</v>
      </c>
      <c r="X46" s="199">
        <f>'תקציב החברה לפיתוח 2020'!X46</f>
        <v>0</v>
      </c>
      <c r="Y46" s="199">
        <f>'תקציב החברה לפיתוח 2020'!Y46</f>
        <v>0</v>
      </c>
      <c r="Z46" s="199">
        <f>'תקציב החברה לפיתוח 2020'!Z46</f>
        <v>0</v>
      </c>
      <c r="AA46" s="341" t="str">
        <f>'תקציב החברה לפיתוח 2020'!AA46</f>
        <v xml:space="preserve">התקנת קירוי קשיח במגרשי ספורט 2020/2021: דור, תיכון חדש, גורדון,לב טוב,נבון. </v>
      </c>
      <c r="AB46" s="707">
        <f>'תקציב החברה לפיתוח 2020'!AB46</f>
        <v>829000</v>
      </c>
      <c r="AE46" s="624"/>
      <c r="AF46" s="627"/>
    </row>
    <row r="47" spans="1:39">
      <c r="A47" s="198">
        <f t="shared" si="0"/>
        <v>42</v>
      </c>
      <c r="B47" s="707">
        <f>'תקציב החברה לפיתוח 2020'!B47</f>
        <v>1903</v>
      </c>
      <c r="C47" s="341" t="str">
        <f>'תקציב החברה לפיתוח 2020'!C47</f>
        <v>שיפוץ חניון לב העיר</v>
      </c>
      <c r="D47" s="199">
        <f>'תקציב החברה לפיתוח 2020'!D47</f>
        <v>1700000</v>
      </c>
      <c r="E47" s="199">
        <f>'תקציב החברה לפיתוח 2020'!E47</f>
        <v>1700000</v>
      </c>
      <c r="F47" s="199">
        <f>'תקציב החברה לפיתוח 2020'!F47</f>
        <v>0</v>
      </c>
      <c r="G47" s="199">
        <f>'תקציב החברה לפיתוח 2020'!G47</f>
        <v>1700000</v>
      </c>
      <c r="H47" s="199">
        <f>'תקציב החברה לפיתוח 2020'!H47</f>
        <v>1626667</v>
      </c>
      <c r="I47" s="199">
        <f>'תקציב החברה לפיתוח 2020'!I47</f>
        <v>0</v>
      </c>
      <c r="J47" s="199">
        <f>'תקציב החברה לפיתוח 2020'!J47</f>
        <v>64998.18</v>
      </c>
      <c r="K47" s="199">
        <f>'תקציב החברה לפיתוח 2020'!K47</f>
        <v>64998.18</v>
      </c>
      <c r="L47" s="199">
        <f>'תקציב החברה לפיתוח 2020'!L47</f>
        <v>1691665.18</v>
      </c>
      <c r="M47" s="199">
        <f>'תקציב החברה לפיתוח 2020'!M47</f>
        <v>8334.8200000000652</v>
      </c>
      <c r="N47" s="199">
        <f>'תקציב החברה לפיתוח 2020'!N47</f>
        <v>0</v>
      </c>
      <c r="O47" s="199">
        <f>'תקציב החברה לפיתוח 2020'!O47</f>
        <v>0</v>
      </c>
      <c r="P47" s="199">
        <f>'תקציב החברה לפיתוח 2020'!P47</f>
        <v>8334.8200000000652</v>
      </c>
      <c r="Q47" s="199">
        <f>'תקציב החברה לפיתוח 2020'!Q47</f>
        <v>0</v>
      </c>
      <c r="R47" s="199">
        <f>'תקציב החברה לפיתוח 2020'!R47</f>
        <v>0</v>
      </c>
      <c r="S47" s="199">
        <f>'תקציב החברה לפיתוח 2020'!S47</f>
        <v>0</v>
      </c>
      <c r="T47" s="199">
        <f>'תקציב החברה לפיתוח 2020'!T47</f>
        <v>0</v>
      </c>
      <c r="U47" s="199">
        <f>'תקציב החברה לפיתוח 2020'!U47</f>
        <v>0</v>
      </c>
      <c r="V47" s="199">
        <f>'תקציב החברה לפיתוח 2020'!V47</f>
        <v>0</v>
      </c>
      <c r="W47" s="199">
        <f>'תקציב החברה לפיתוח 2020'!W47</f>
        <v>0</v>
      </c>
      <c r="X47" s="199">
        <f>'תקציב החברה לפיתוח 2020'!X47</f>
        <v>0</v>
      </c>
      <c r="Y47" s="199">
        <f>'תקציב החברה לפיתוח 2020'!Y47</f>
        <v>0</v>
      </c>
      <c r="Z47" s="199">
        <f>'תקציב החברה לפיתוח 2020'!Z47</f>
        <v>0</v>
      </c>
      <c r="AA47" s="341" t="str">
        <f>'תקציב החברה לפיתוח 2020'!AA47</f>
        <v>חן סופיים.</v>
      </c>
      <c r="AB47" s="707">
        <f>'תקציב החברה לפיתוח 2020'!AB47</f>
        <v>930000</v>
      </c>
      <c r="AE47" s="624"/>
      <c r="AF47" s="627"/>
    </row>
    <row r="48" spans="1:39" s="202" customFormat="1" ht="27.6">
      <c r="A48" s="198">
        <f t="shared" si="0"/>
        <v>43</v>
      </c>
      <c r="B48" s="707">
        <f>'תקציב החברה לפיתוח 2020'!B48</f>
        <v>1904</v>
      </c>
      <c r="C48" s="341" t="str">
        <f>'תקציב החברה לפיתוח 2020'!C48</f>
        <v>קו ניקוז שער הים</v>
      </c>
      <c r="D48" s="199">
        <f>'תקציב החברה לפיתוח 2020'!D48</f>
        <v>5700000</v>
      </c>
      <c r="E48" s="199">
        <f>'תקציב החברה לפיתוח 2020'!E48</f>
        <v>5700000</v>
      </c>
      <c r="F48" s="199">
        <f>'תקציב החברה לפיתוח 2020'!F48</f>
        <v>0</v>
      </c>
      <c r="G48" s="199">
        <f>'תקציב החברה לפיתוח 2020'!G48</f>
        <v>3000000</v>
      </c>
      <c r="H48" s="199">
        <f>'תקציב החברה לפיתוח 2020'!H48</f>
        <v>753917</v>
      </c>
      <c r="I48" s="199">
        <f>'תקציב החברה לפיתוח 2020'!I48</f>
        <v>0</v>
      </c>
      <c r="J48" s="199">
        <f>'תקציב החברה לפיתוח 2020'!J48</f>
        <v>1804833.77</v>
      </c>
      <c r="K48" s="199">
        <f>'תקציב החברה לפיתוח 2020'!K48</f>
        <v>1804833.77</v>
      </c>
      <c r="L48" s="199">
        <f>'תקציב החברה לפיתוח 2020'!L48</f>
        <v>2558750.77</v>
      </c>
      <c r="M48" s="199">
        <f>'תקציב החברה לפיתוח 2020'!M48</f>
        <v>3141249.23</v>
      </c>
      <c r="N48" s="199">
        <f>'תקציב החברה לפיתוח 2020'!N48</f>
        <v>0</v>
      </c>
      <c r="O48" s="199">
        <f>'תקציב החברה לפיתוח 2020'!O48</f>
        <v>0</v>
      </c>
      <c r="P48" s="199">
        <f>'תקציב החברה לפיתוח 2020'!P48</f>
        <v>441249.23</v>
      </c>
      <c r="Q48" s="199">
        <f>'תקציב החברה לפיתוח 2020'!Q48</f>
        <v>2700000</v>
      </c>
      <c r="R48" s="199">
        <f>'תקציב החברה לפיתוח 2020'!R48</f>
        <v>0</v>
      </c>
      <c r="S48" s="199">
        <f>'תקציב החברה לפיתוח 2020'!S48</f>
        <v>2700000</v>
      </c>
      <c r="T48" s="199">
        <f>'תקציב החברה לפיתוח 2020'!T48</f>
        <v>0</v>
      </c>
      <c r="U48" s="199">
        <f>'תקציב החברה לפיתוח 2020'!U48</f>
        <v>0</v>
      </c>
      <c r="V48" s="199">
        <f>'תקציב החברה לפיתוח 2020'!V48</f>
        <v>0</v>
      </c>
      <c r="W48" s="199">
        <f>'תקציב החברה לפיתוח 2020'!W48</f>
        <v>0</v>
      </c>
      <c r="X48" s="199">
        <f>'תקציב החברה לפיתוח 2020'!X48</f>
        <v>0</v>
      </c>
      <c r="Y48" s="199">
        <f>'תקציב החברה לפיתוח 2020'!Y48</f>
        <v>0</v>
      </c>
      <c r="Z48" s="199">
        <f>'תקציב החברה לפיתוח 2020'!Z48</f>
        <v>0</v>
      </c>
      <c r="AA48" s="341" t="str">
        <f>'תקציב החברה לפיתוח 2020'!AA48</f>
        <v xml:space="preserve">עבודות פיתוח כולל קו ניקוז רחוב שער הים. מימון תאגיד המים. </v>
      </c>
      <c r="AB48" s="707">
        <f>'תקציב החברה לפיתוח 2020'!AB48</f>
        <v>742000</v>
      </c>
      <c r="AC48" s="191"/>
      <c r="AD48" s="191"/>
      <c r="AE48" s="624"/>
      <c r="AF48" s="627"/>
      <c r="AG48" s="331"/>
      <c r="AH48" s="331"/>
    </row>
    <row r="49" spans="1:39" ht="55.2">
      <c r="A49" s="198">
        <f t="shared" si="0"/>
        <v>44</v>
      </c>
      <c r="B49" s="707">
        <f>'תקציב החברה לפיתוח 2020'!B49</f>
        <v>1921</v>
      </c>
      <c r="C49" s="341" t="str">
        <f>'תקציב החברה לפיתוח 2020'!C49</f>
        <v>עבודות הרחבה התאמה איצטדיון</v>
      </c>
      <c r="D49" s="199">
        <f>'תקציב החברה לפיתוח 2020'!D49</f>
        <v>9716000</v>
      </c>
      <c r="E49" s="199">
        <f>'תקציב החברה לפיתוח 2020'!E49</f>
        <v>9276000</v>
      </c>
      <c r="F49" s="199">
        <f>'תקציב החברה לפיתוח 2020'!F49</f>
        <v>440000</v>
      </c>
      <c r="G49" s="199">
        <f>'תקציב החברה לפיתוח 2020'!G49</f>
        <v>6820000</v>
      </c>
      <c r="H49" s="199">
        <f>'תקציב החברה לפיתוח 2020'!H49</f>
        <v>3737579.47</v>
      </c>
      <c r="I49" s="199">
        <f>'תקציב החברה לפיתוח 2020'!I49</f>
        <v>0</v>
      </c>
      <c r="J49" s="199">
        <f>'תקציב החברה לפיתוח 2020'!J49</f>
        <v>294083.34999999998</v>
      </c>
      <c r="K49" s="199">
        <f>'תקציב החברה לפיתוח 2020'!K49</f>
        <v>294083.34999999998</v>
      </c>
      <c r="L49" s="199">
        <f>'תקציב החברה לפיתוח 2020'!L49</f>
        <v>4031662.8200000003</v>
      </c>
      <c r="M49" s="199">
        <f>'תקציב החברה לפיתוח 2020'!M49</f>
        <v>5244337.18</v>
      </c>
      <c r="N49" s="199">
        <f>'תקציב החברה לפיתוח 2020'!N49</f>
        <v>440000</v>
      </c>
      <c r="O49" s="199">
        <f>'תקציב החברה לפיתוח 2020'!O49</f>
        <v>0</v>
      </c>
      <c r="P49" s="199">
        <f>'תקציב החברה לפיתוח 2020'!P49</f>
        <v>2788337.1799999997</v>
      </c>
      <c r="Q49" s="199">
        <f>'תקציב החברה לפיתוח 2020'!Q49</f>
        <v>2456000</v>
      </c>
      <c r="R49" s="199">
        <f>'תקציב החברה לפיתוח 2020'!R49</f>
        <v>0</v>
      </c>
      <c r="S49" s="199">
        <f>'תקציב החברה לפיתוח 2020'!S49</f>
        <v>2456000</v>
      </c>
      <c r="T49" s="199">
        <f>'תקציב החברה לפיתוח 2020'!T49</f>
        <v>0</v>
      </c>
      <c r="U49" s="199">
        <f>'תקציב החברה לפיתוח 2020'!U49</f>
        <v>440000</v>
      </c>
      <c r="V49" s="199">
        <f>'תקציב החברה לפיתוח 2020'!V49</f>
        <v>1007551</v>
      </c>
      <c r="W49" s="199">
        <f>'תקציב החברה לפיתוח 2020'!W49</f>
        <v>0</v>
      </c>
      <c r="X49" s="199">
        <f>'תקציב החברה לפיתוח 2020'!X49</f>
        <v>0</v>
      </c>
      <c r="Y49" s="199">
        <f>'תקציב החברה לפיתוח 2020'!Y49</f>
        <v>0</v>
      </c>
      <c r="Z49" s="199">
        <f>'תקציב החברה לפיתוח 2020'!Z49</f>
        <v>-567551</v>
      </c>
      <c r="AA49" s="341" t="str">
        <f>'תקציב החברה לפיתוח 2020'!AA49</f>
        <v>העבודות:מבנים יבילים,הקמת טריבונות, ארונות שחקנים, עבודות בטיחות. שינוי מימון מ. הספורט בגין אי ביצוע מלתחות.</v>
      </c>
      <c r="AB49" s="707">
        <f>'תקציב החברה לפיתוח 2020'!AB49</f>
        <v>829000</v>
      </c>
      <c r="AE49" s="624"/>
      <c r="AF49" s="627"/>
    </row>
    <row r="50" spans="1:39" ht="19.95" customHeight="1">
      <c r="A50" s="198">
        <f>A49+1</f>
        <v>45</v>
      </c>
      <c r="B50" s="707">
        <f>'תקציב החברה לפיתוח 2020'!B50</f>
        <v>1936</v>
      </c>
      <c r="C50" s="341" t="str">
        <f>'תקציב החברה לפיתוח 2020'!C50</f>
        <v xml:space="preserve">תכנון מתחם אפולוניה </v>
      </c>
      <c r="D50" s="199">
        <f>'תקציב החברה לפיתוח 2020'!D50</f>
        <v>6082795</v>
      </c>
      <c r="E50" s="199">
        <f>'תקציב החברה לפיתוח 2020'!E50</f>
        <v>6082795</v>
      </c>
      <c r="F50" s="199">
        <f>'תקציב החברה לפיתוח 2020'!F50</f>
        <v>0</v>
      </c>
      <c r="G50" s="199">
        <f>'תקציב החברה לפיתוח 2020'!G50</f>
        <v>700000</v>
      </c>
      <c r="H50" s="199">
        <f>'תקציב החברה לפיתוח 2020'!H50</f>
        <v>313933</v>
      </c>
      <c r="I50" s="199">
        <f>'תקציב החברה לפיתוח 2020'!I50</f>
        <v>0</v>
      </c>
      <c r="J50" s="199">
        <f>'תקציב החברה לפיתוח 2020'!J50</f>
        <v>0</v>
      </c>
      <c r="K50" s="199">
        <f>'תקציב החברה לפיתוח 2020'!K50</f>
        <v>0</v>
      </c>
      <c r="L50" s="199">
        <f>'תקציב החברה לפיתוח 2020'!L50</f>
        <v>313933</v>
      </c>
      <c r="M50" s="199">
        <f>'תקציב החברה לפיתוח 2020'!M50</f>
        <v>386067</v>
      </c>
      <c r="N50" s="199">
        <f>'תקציב החברה לפיתוח 2020'!N50</f>
        <v>0</v>
      </c>
      <c r="O50" s="199">
        <f>'תקציב החברה לפיתוח 2020'!O50</f>
        <v>5382795</v>
      </c>
      <c r="P50" s="199">
        <f>'תקציב החברה לפיתוח 2020'!P50</f>
        <v>386067</v>
      </c>
      <c r="Q50" s="199">
        <f>'תקציב החברה לפיתוח 2020'!Q50</f>
        <v>0</v>
      </c>
      <c r="R50" s="199">
        <f>'תקציב החברה לפיתוח 2020'!R50</f>
        <v>0</v>
      </c>
      <c r="S50" s="199">
        <f>'תקציב החברה לפיתוח 2020'!S50</f>
        <v>0</v>
      </c>
      <c r="T50" s="199">
        <f>'תקציב החברה לפיתוח 2020'!T50</f>
        <v>0</v>
      </c>
      <c r="U50" s="199">
        <f>'תקציב החברה לפיתוח 2020'!U50</f>
        <v>0</v>
      </c>
      <c r="V50" s="199">
        <f>'תקציב החברה לפיתוח 2020'!V50</f>
        <v>0</v>
      </c>
      <c r="W50" s="199">
        <f>'תקציב החברה לפיתוח 2020'!W50</f>
        <v>0</v>
      </c>
      <c r="X50" s="199">
        <f>'תקציב החברה לפיתוח 2020'!X50</f>
        <v>0</v>
      </c>
      <c r="Y50" s="199">
        <f>'תקציב החברה לפיתוח 2020'!Y50</f>
        <v>0</v>
      </c>
      <c r="Z50" s="199">
        <f>'תקציב החברה לפיתוח 2020'!Z50</f>
        <v>0</v>
      </c>
      <c r="AA50" s="341" t="str">
        <f>'תקציב החברה לפיתוח 2020'!AA50</f>
        <v xml:space="preserve">מימון רמ"י. </v>
      </c>
      <c r="AB50" s="707">
        <f>'תקציב החברה לפיתוח 2020'!AB50</f>
        <v>732000</v>
      </c>
      <c r="AE50" s="624"/>
      <c r="AF50" s="627"/>
      <c r="AK50" s="205"/>
    </row>
    <row r="51" spans="1:39" ht="35.1" customHeight="1">
      <c r="A51" s="198">
        <f t="shared" si="0"/>
        <v>46</v>
      </c>
      <c r="B51" s="707">
        <f>'תקציב החברה לפיתוח 2020'!B51</f>
        <v>1953</v>
      </c>
      <c r="C51" s="341" t="str">
        <f>'תקציב החברה לפיתוח 2020'!C51</f>
        <v>השקעה בתשתיות והרחבת  חניונים</v>
      </c>
      <c r="D51" s="199">
        <f>'תקציב החברה לפיתוח 2020'!D51</f>
        <v>5300000</v>
      </c>
      <c r="E51" s="199">
        <f>'תקציב החברה לפיתוח 2020'!E51</f>
        <v>5300000</v>
      </c>
      <c r="F51" s="199">
        <f>'תקציב החברה לפיתוח 2020'!F51</f>
        <v>0</v>
      </c>
      <c r="G51" s="199">
        <f>'תקציב החברה לפיתוח 2020'!G51</f>
        <v>5300000</v>
      </c>
      <c r="H51" s="199">
        <f>'תקציב החברה לפיתוח 2020'!H51</f>
        <v>2899791</v>
      </c>
      <c r="I51" s="199">
        <f>'תקציב החברה לפיתוח 2020'!I51</f>
        <v>0</v>
      </c>
      <c r="J51" s="199">
        <f>'תקציב החברה לפיתוח 2020'!J51</f>
        <v>468927.57</v>
      </c>
      <c r="K51" s="199">
        <f>'תקציב החברה לפיתוח 2020'!K51</f>
        <v>468927.57</v>
      </c>
      <c r="L51" s="199">
        <f>'תקציב החברה לפיתוח 2020'!L51</f>
        <v>3368718.57</v>
      </c>
      <c r="M51" s="199">
        <f>'תקציב החברה לפיתוח 2020'!M51</f>
        <v>1931281.4300000002</v>
      </c>
      <c r="N51" s="199">
        <f>'תקציב החברה לפיתוח 2020'!N51</f>
        <v>0</v>
      </c>
      <c r="O51" s="199">
        <f>'תקציב החברה לפיתוח 2020'!O51</f>
        <v>0</v>
      </c>
      <c r="P51" s="199">
        <f>'תקציב החברה לפיתוח 2020'!P51</f>
        <v>1931281.4300000002</v>
      </c>
      <c r="Q51" s="199">
        <f>'תקציב החברה לפיתוח 2020'!Q51</f>
        <v>0</v>
      </c>
      <c r="R51" s="199">
        <f>'תקציב החברה לפיתוח 2020'!R51</f>
        <v>0</v>
      </c>
      <c r="S51" s="199">
        <f>'תקציב החברה לפיתוח 2020'!S51</f>
        <v>0</v>
      </c>
      <c r="T51" s="199">
        <f>'תקציב החברה לפיתוח 2020'!T51</f>
        <v>0</v>
      </c>
      <c r="U51" s="199">
        <f>'תקציב החברה לפיתוח 2020'!U51</f>
        <v>0</v>
      </c>
      <c r="V51" s="199">
        <f>'תקציב החברה לפיתוח 2020'!V51</f>
        <v>0</v>
      </c>
      <c r="W51" s="199">
        <f>'תקציב החברה לפיתוח 2020'!W51</f>
        <v>0</v>
      </c>
      <c r="X51" s="199">
        <f>'תקציב החברה לפיתוח 2020'!X51</f>
        <v>0</v>
      </c>
      <c r="Y51" s="199">
        <f>'תקציב החברה לפיתוח 2020'!Y51</f>
        <v>0</v>
      </c>
      <c r="Z51" s="199">
        <f>'תקציב החברה לפיתוח 2020'!Z51</f>
        <v>0</v>
      </c>
      <c r="AA51" s="341" t="str">
        <f>'תקציב החברה לפיתוח 2020'!AA51</f>
        <v>השקעה בתשתיות ובמערכות מיכון בחניונים ברחבי העיר.</v>
      </c>
      <c r="AB51" s="707">
        <f>'תקציב החברה לפיתוח 2020'!AB51</f>
        <v>742000</v>
      </c>
      <c r="AE51" s="624"/>
      <c r="AF51" s="627"/>
    </row>
    <row r="52" spans="1:39" s="202" customFormat="1" ht="35.1" customHeight="1">
      <c r="A52" s="198">
        <f t="shared" si="0"/>
        <v>47</v>
      </c>
      <c r="B52" s="707">
        <f>'תקציב החברה לפיתוח 2020'!B52</f>
        <v>1954</v>
      </c>
      <c r="C52" s="341" t="str">
        <f>'תקציב החברה לפיתוח 2020'!C52</f>
        <v xml:space="preserve">חניון המוסכים-תכנון </v>
      </c>
      <c r="D52" s="199">
        <f>'תקציב החברה לפיתוח 2020'!D52</f>
        <v>2000000</v>
      </c>
      <c r="E52" s="199">
        <f>'תקציב החברה לפיתוח 2020'!E52</f>
        <v>2000000</v>
      </c>
      <c r="F52" s="199">
        <f>'תקציב החברה לפיתוח 2020'!F52</f>
        <v>0</v>
      </c>
      <c r="G52" s="199">
        <f>'תקציב החברה לפיתוח 2020'!G52</f>
        <v>2000000</v>
      </c>
      <c r="H52" s="199">
        <f>'תקציב החברה לפיתוח 2020'!H52</f>
        <v>495628</v>
      </c>
      <c r="I52" s="199">
        <f>'תקציב החברה לפיתוח 2020'!I52</f>
        <v>0</v>
      </c>
      <c r="J52" s="199">
        <f>'תקציב החברה לפיתוח 2020'!J52</f>
        <v>1388926.78</v>
      </c>
      <c r="K52" s="199">
        <f>'תקציב החברה לפיתוח 2020'!K52</f>
        <v>1388926.78</v>
      </c>
      <c r="L52" s="199">
        <f>'תקציב החברה לפיתוח 2020'!L52</f>
        <v>1884554.78</v>
      </c>
      <c r="M52" s="199">
        <f>'תקציב החברה לפיתוח 2020'!M52</f>
        <v>115445.21999999997</v>
      </c>
      <c r="N52" s="199">
        <f>'תקציב החברה לפיתוח 2020'!N52</f>
        <v>0</v>
      </c>
      <c r="O52" s="199">
        <f>'תקציב החברה לפיתוח 2020'!O52</f>
        <v>0</v>
      </c>
      <c r="P52" s="199">
        <f>'תקציב החברה לפיתוח 2020'!P52</f>
        <v>115445.21999999997</v>
      </c>
      <c r="Q52" s="199">
        <f>'תקציב החברה לפיתוח 2020'!Q52</f>
        <v>0</v>
      </c>
      <c r="R52" s="199">
        <f>'תקציב החברה לפיתוח 2020'!R52</f>
        <v>0</v>
      </c>
      <c r="S52" s="199">
        <f>'תקציב החברה לפיתוח 2020'!S52</f>
        <v>0</v>
      </c>
      <c r="T52" s="199">
        <f>'תקציב החברה לפיתוח 2020'!T52</f>
        <v>0</v>
      </c>
      <c r="U52" s="199">
        <f>'תקציב החברה לפיתוח 2020'!U52</f>
        <v>0</v>
      </c>
      <c r="V52" s="199">
        <f>'תקציב החברה לפיתוח 2020'!V52</f>
        <v>0</v>
      </c>
      <c r="W52" s="199">
        <f>'תקציב החברה לפיתוח 2020'!W52</f>
        <v>0</v>
      </c>
      <c r="X52" s="199">
        <f>'תקציב החברה לפיתוח 2020'!X52</f>
        <v>0</v>
      </c>
      <c r="Y52" s="199">
        <f>'תקציב החברה לפיתוח 2020'!Y52</f>
        <v>0</v>
      </c>
      <c r="Z52" s="199">
        <f>'תקציב החברה לפיתוח 2020'!Z52</f>
        <v>0</v>
      </c>
      <c r="AA52" s="341" t="str">
        <f>'תקציב החברה לפיתוח 2020'!AA52</f>
        <v>המשך תכנון חניון ברח' מדינת היהודים.</v>
      </c>
      <c r="AB52" s="707">
        <f>'תקציב החברה לפיתוח 2020'!AB52</f>
        <v>742000</v>
      </c>
      <c r="AC52" s="191"/>
      <c r="AD52" s="191"/>
      <c r="AE52" s="624"/>
      <c r="AF52" s="627"/>
      <c r="AG52" s="331"/>
      <c r="AH52" s="331"/>
    </row>
    <row r="53" spans="1:39" ht="19.95" customHeight="1">
      <c r="A53" s="198">
        <f t="shared" si="0"/>
        <v>48</v>
      </c>
      <c r="B53" s="707">
        <f>'תקציב החברה לפיתוח 2020'!B53</f>
        <v>1955</v>
      </c>
      <c r="C53" s="341" t="str">
        <f>'תקציב החברה לפיתוח 2020'!C53</f>
        <v>חניון המדע תכנון</v>
      </c>
      <c r="D53" s="199">
        <f>'תקציב החברה לפיתוח 2020'!D53</f>
        <v>250000</v>
      </c>
      <c r="E53" s="199">
        <f>'תקציב החברה לפיתוח 2020'!E53</f>
        <v>250000</v>
      </c>
      <c r="F53" s="199">
        <f>'תקציב החברה לפיתוח 2020'!F53</f>
        <v>0</v>
      </c>
      <c r="G53" s="199">
        <f>'תקציב החברה לפיתוח 2020'!G53</f>
        <v>250000</v>
      </c>
      <c r="H53" s="199">
        <f>'תקציב החברה לפיתוח 2020'!H53</f>
        <v>9922</v>
      </c>
      <c r="I53" s="199">
        <f>'תקציב החברה לפיתוח 2020'!I53</f>
        <v>0</v>
      </c>
      <c r="J53" s="199">
        <f>'תקציב החברה לפיתוח 2020'!J53</f>
        <v>95495.4</v>
      </c>
      <c r="K53" s="199">
        <f>'תקציב החברה לפיתוח 2020'!K53</f>
        <v>95495.4</v>
      </c>
      <c r="L53" s="199">
        <f>'תקציב החברה לפיתוח 2020'!L53</f>
        <v>105417.4</v>
      </c>
      <c r="M53" s="199">
        <f>'תקציב החברה לפיתוח 2020'!M53</f>
        <v>144582.6</v>
      </c>
      <c r="N53" s="199">
        <f>'תקציב החברה לפיתוח 2020'!N53</f>
        <v>0</v>
      </c>
      <c r="O53" s="199">
        <f>'תקציב החברה לפיתוח 2020'!O53</f>
        <v>0</v>
      </c>
      <c r="P53" s="199">
        <f>'תקציב החברה לפיתוח 2020'!P53</f>
        <v>144582.6</v>
      </c>
      <c r="Q53" s="199">
        <f>'תקציב החברה לפיתוח 2020'!Q53</f>
        <v>0</v>
      </c>
      <c r="R53" s="199">
        <f>'תקציב החברה לפיתוח 2020'!R53</f>
        <v>0</v>
      </c>
      <c r="S53" s="199">
        <f>'תקציב החברה לפיתוח 2020'!S53</f>
        <v>0</v>
      </c>
      <c r="T53" s="199">
        <f>'תקציב החברה לפיתוח 2020'!T53</f>
        <v>0</v>
      </c>
      <c r="U53" s="199">
        <f>'תקציב החברה לפיתוח 2020'!U53</f>
        <v>0</v>
      </c>
      <c r="V53" s="199">
        <f>'תקציב החברה לפיתוח 2020'!V53</f>
        <v>0</v>
      </c>
      <c r="W53" s="199">
        <f>'תקציב החברה לפיתוח 2020'!W53</f>
        <v>0</v>
      </c>
      <c r="X53" s="199">
        <f>'תקציב החברה לפיתוח 2020'!X53</f>
        <v>0</v>
      </c>
      <c r="Y53" s="199">
        <f>'תקציב החברה לפיתוח 2020'!Y53</f>
        <v>0</v>
      </c>
      <c r="Z53" s="199">
        <f>'תקציב החברה לפיתוח 2020'!Z53</f>
        <v>0</v>
      </c>
      <c r="AA53" s="341" t="str">
        <f>'תקציב החברה לפיתוח 2020'!AA53</f>
        <v>המשך תכנון חניון ברח' המדע.</v>
      </c>
      <c r="AB53" s="707">
        <f>'תקציב החברה לפיתוח 2020'!AB53</f>
        <v>742000</v>
      </c>
      <c r="AE53" s="624"/>
      <c r="AF53" s="627"/>
    </row>
    <row r="54" spans="1:39" ht="34.799999999999997" customHeight="1">
      <c r="A54" s="198">
        <f t="shared" si="0"/>
        <v>49</v>
      </c>
      <c r="B54" s="707">
        <f>'תקציב החברה לפיתוח 2020'!B54</f>
        <v>1957</v>
      </c>
      <c r="C54" s="341" t="str">
        <f>'תקציב החברה לפיתוח 2020'!C54</f>
        <v>מתחם קמפוס הרצליה (יד גיורא)</v>
      </c>
      <c r="D54" s="199">
        <f>'תקציב החברה לפיתוח 2020'!D54</f>
        <v>60000000</v>
      </c>
      <c r="E54" s="199">
        <f>'תקציב החברה לפיתוח 2020'!E54</f>
        <v>60000000</v>
      </c>
      <c r="F54" s="199">
        <f>'תקציב החברה לפיתוח 2020'!F54</f>
        <v>0</v>
      </c>
      <c r="G54" s="199">
        <f>'תקציב החברה לפיתוח 2020'!G54</f>
        <v>16500000</v>
      </c>
      <c r="H54" s="199">
        <f>'תקציב החברה לפיתוח 2020'!H54</f>
        <v>2599801</v>
      </c>
      <c r="I54" s="199">
        <f>'תקציב החברה לפיתוח 2020'!I54</f>
        <v>0</v>
      </c>
      <c r="J54" s="199">
        <f>'תקציב החברה לפיתוח 2020'!J54</f>
        <v>1784381.46</v>
      </c>
      <c r="K54" s="199">
        <f>'תקציב החברה לפיתוח 2020'!K54</f>
        <v>1784381.46</v>
      </c>
      <c r="L54" s="199">
        <f>'תקציב החברה לפיתוח 2020'!L54</f>
        <v>4384182.46</v>
      </c>
      <c r="M54" s="199">
        <f>'תקציב החברה לפיתוח 2020'!M54</f>
        <v>10615817.539999999</v>
      </c>
      <c r="N54" s="199">
        <f>'תקציב החברה לפיתוח 2020'!N54</f>
        <v>14000000</v>
      </c>
      <c r="O54" s="199">
        <f>'תקציב החברה לפיתוח 2020'!O54</f>
        <v>31000000</v>
      </c>
      <c r="P54" s="199">
        <f>'תקציב החברה לפיתוח 2020'!P54</f>
        <v>12115817.539999999</v>
      </c>
      <c r="Q54" s="199">
        <f>'תקציב החברה לפיתוח 2020'!Q54</f>
        <v>14500000</v>
      </c>
      <c r="R54" s="199">
        <f>'תקציב החברה לפיתוח 2020'!R54</f>
        <v>0</v>
      </c>
      <c r="S54" s="199">
        <f>'תקציב החברה לפיתוח 2020'!S54</f>
        <v>14500000</v>
      </c>
      <c r="T54" s="199">
        <f>'תקציב החברה לפיתוח 2020'!T54</f>
        <v>16000000</v>
      </c>
      <c r="U54" s="199">
        <f>'תקציב החברה לפיתוח 2020'!U54</f>
        <v>-2000000</v>
      </c>
      <c r="V54" s="199">
        <f>'תקציב החברה לפיתוח 2020'!V54</f>
        <v>-2000000</v>
      </c>
      <c r="W54" s="199">
        <f>'תקציב החברה לפיתוח 2020'!W54</f>
        <v>0</v>
      </c>
      <c r="X54" s="199">
        <f>'תקציב החברה לפיתוח 2020'!X54</f>
        <v>0</v>
      </c>
      <c r="Y54" s="199">
        <f>'תקציב החברה לפיתוח 2020'!Y54</f>
        <v>0</v>
      </c>
      <c r="Z54" s="199">
        <f>'תקציב החברה לפיתוח 2020'!Z54</f>
        <v>0</v>
      </c>
      <c r="AA54" s="341" t="str">
        <f>'תקציב החברה לפיתוח 2020'!AA54</f>
        <v xml:space="preserve">הקמה של קמפוס המדעים:בי"ס להנדסאים ותיכון חדש. </v>
      </c>
      <c r="AB54" s="707">
        <f>'תקציב החברה לפיתוח 2020'!AB54</f>
        <v>810000</v>
      </c>
      <c r="AE54" s="624"/>
      <c r="AF54" s="627"/>
    </row>
    <row r="55" spans="1:39" ht="35.1" customHeight="1">
      <c r="A55" s="198">
        <f t="shared" si="0"/>
        <v>50</v>
      </c>
      <c r="B55" s="707">
        <f>'תקציב החברה לפיתוח 2020'!B55</f>
        <v>1972</v>
      </c>
      <c r="C55" s="341" t="str">
        <f>'תקציב החברה לפיתוח 2020'!C55</f>
        <v>פיתוח חורשת הפרחים</v>
      </c>
      <c r="D55" s="199">
        <f>'תקציב החברה לפיתוח 2020'!D55</f>
        <v>4470000</v>
      </c>
      <c r="E55" s="199">
        <f>'תקציב החברה לפיתוח 2020'!E55</f>
        <v>4470000</v>
      </c>
      <c r="F55" s="199">
        <f>'תקציב החברה לפיתוח 2020'!F55</f>
        <v>0</v>
      </c>
      <c r="G55" s="199">
        <f>'תקציב החברה לפיתוח 2020'!G55</f>
        <v>2470000</v>
      </c>
      <c r="H55" s="199">
        <f>'תקציב החברה לפיתוח 2020'!H55</f>
        <v>997007.92</v>
      </c>
      <c r="I55" s="199">
        <f>'תקציב החברה לפיתוח 2020'!I55</f>
        <v>0</v>
      </c>
      <c r="J55" s="199">
        <f>'תקציב החברה לפיתוח 2020'!J55</f>
        <v>1385901.47</v>
      </c>
      <c r="K55" s="199">
        <f>'תקציב החברה לפיתוח 2020'!K55</f>
        <v>1385901.47</v>
      </c>
      <c r="L55" s="199">
        <f>'תקציב החברה לפיתוח 2020'!L55</f>
        <v>2382909.39</v>
      </c>
      <c r="M55" s="199">
        <f>'תקציב החברה לפיתוח 2020'!M55</f>
        <v>2087090.6099999999</v>
      </c>
      <c r="N55" s="199">
        <f>'תקציב החברה לפיתוח 2020'!N55</f>
        <v>0</v>
      </c>
      <c r="O55" s="199">
        <f>'תקציב החברה לפיתוח 2020'!O55</f>
        <v>0</v>
      </c>
      <c r="P55" s="199">
        <f>'תקציב החברה לפיתוח 2020'!P55</f>
        <v>87090.60999999987</v>
      </c>
      <c r="Q55" s="199">
        <f>'תקציב החברה לפיתוח 2020'!Q55</f>
        <v>2000000</v>
      </c>
      <c r="R55" s="199">
        <f>'תקציב החברה לפיתוח 2020'!R55</f>
        <v>0</v>
      </c>
      <c r="S55" s="199">
        <f>'תקציב החברה לפיתוח 2020'!S55</f>
        <v>2000000</v>
      </c>
      <c r="T55" s="199">
        <f>'תקציב החברה לפיתוח 2020'!T55</f>
        <v>0</v>
      </c>
      <c r="U55" s="199">
        <f>'תקציב החברה לפיתוח 2020'!U55</f>
        <v>0</v>
      </c>
      <c r="V55" s="199">
        <f>'תקציב החברה לפיתוח 2020'!V55</f>
        <v>0</v>
      </c>
      <c r="W55" s="199">
        <f>'תקציב החברה לפיתוח 2020'!W55</f>
        <v>0</v>
      </c>
      <c r="X55" s="199">
        <f>'תקציב החברה לפיתוח 2020'!X55</f>
        <v>0</v>
      </c>
      <c r="Y55" s="199">
        <f>'תקציב החברה לפיתוח 2020'!Y55</f>
        <v>0</v>
      </c>
      <c r="Z55" s="199">
        <f>'תקציב החברה לפיתוח 2020'!Z55</f>
        <v>0</v>
      </c>
      <c r="AA55" s="341" t="str">
        <f>'תקציב החברה לפיתוח 2020'!AA55</f>
        <v>פיתוח שצ"פ בגבעת הפרחים כולל הנגשה.</v>
      </c>
      <c r="AB55" s="707">
        <f>'תקציב החברה לפיתוח 2020'!AB55</f>
        <v>746000</v>
      </c>
      <c r="AE55" s="624"/>
      <c r="AF55" s="627"/>
      <c r="AK55" s="205"/>
    </row>
    <row r="56" spans="1:39">
      <c r="A56" s="198">
        <f t="shared" si="0"/>
        <v>51</v>
      </c>
      <c r="B56" s="707">
        <f>'תקציב החברה לפיתוח 2020'!B56</f>
        <v>1991</v>
      </c>
      <c r="C56" s="341" t="str">
        <f>'תקציב החברה לפיתוח 2020'!C56</f>
        <v>שיפוץ הספריה נורדאו</v>
      </c>
      <c r="D56" s="199">
        <f>'תקציב החברה לפיתוח 2020'!D56</f>
        <v>2000000</v>
      </c>
      <c r="E56" s="199">
        <f>'תקציב החברה לפיתוח 2020'!E56</f>
        <v>2000000</v>
      </c>
      <c r="F56" s="199">
        <f>'תקציב החברה לפיתוח 2020'!F56</f>
        <v>0</v>
      </c>
      <c r="G56" s="199">
        <f>'תקציב החברה לפיתוח 2020'!G56</f>
        <v>100000</v>
      </c>
      <c r="H56" s="199">
        <f>'תקציב החברה לפיתוח 2020'!H56</f>
        <v>86295</v>
      </c>
      <c r="I56" s="199">
        <f>'תקציב החברה לפיתוח 2020'!I56</f>
        <v>0</v>
      </c>
      <c r="J56" s="199">
        <f>'תקציב החברה לפיתוח 2020'!J56</f>
        <v>13703.04</v>
      </c>
      <c r="K56" s="199">
        <f>'תקציב החברה לפיתוח 2020'!K56</f>
        <v>13703.04</v>
      </c>
      <c r="L56" s="199">
        <f>'תקציב החברה לפיתוח 2020'!L56</f>
        <v>99998.040000000008</v>
      </c>
      <c r="M56" s="199">
        <f>'תקציב החברה לפיתוח 2020'!M56</f>
        <v>1.9599999999918509</v>
      </c>
      <c r="N56" s="199">
        <f>'תקציב החברה לפיתוח 2020'!N56</f>
        <v>0</v>
      </c>
      <c r="O56" s="199">
        <f>'תקציב החברה לפיתוח 2020'!O56</f>
        <v>1900000</v>
      </c>
      <c r="P56" s="199">
        <f>'תקציב החברה לפיתוח 2020'!P56</f>
        <v>1.9599999999918509</v>
      </c>
      <c r="Q56" s="199">
        <f>'תקציב החברה לפיתוח 2020'!Q56</f>
        <v>0</v>
      </c>
      <c r="R56" s="199">
        <f>'תקציב החברה לפיתוח 2020'!R56</f>
        <v>0</v>
      </c>
      <c r="S56" s="199">
        <f>'תקציב החברה לפיתוח 2020'!S56</f>
        <v>0</v>
      </c>
      <c r="T56" s="199">
        <f>'תקציב החברה לפיתוח 2020'!T56</f>
        <v>0</v>
      </c>
      <c r="U56" s="199">
        <f>'תקציב החברה לפיתוח 2020'!U56</f>
        <v>0</v>
      </c>
      <c r="V56" s="199">
        <f>'תקציב החברה לפיתוח 2020'!V56</f>
        <v>0</v>
      </c>
      <c r="W56" s="199">
        <f>'תקציב החברה לפיתוח 2020'!W56</f>
        <v>0</v>
      </c>
      <c r="X56" s="199">
        <f>'תקציב החברה לפיתוח 2020'!X56</f>
        <v>0</v>
      </c>
      <c r="Y56" s="199">
        <f>'תקציב החברה לפיתוח 2020'!Y56</f>
        <v>0</v>
      </c>
      <c r="Z56" s="199">
        <f>'תקציב החברה לפיתוח 2020'!Z56</f>
        <v>0</v>
      </c>
      <c r="AA56" s="341">
        <f>'תקציב החברה לפיתוח 2020'!AA56</f>
        <v>0</v>
      </c>
      <c r="AB56" s="707">
        <f>'תקציב החברה לפיתוח 2020'!AB56</f>
        <v>823000</v>
      </c>
      <c r="AE56" s="624"/>
      <c r="AF56" s="627"/>
      <c r="AK56" s="205"/>
    </row>
    <row r="57" spans="1:39" s="210" customFormat="1" ht="55.2">
      <c r="A57" s="198">
        <f t="shared" si="0"/>
        <v>52</v>
      </c>
      <c r="B57" s="707">
        <f>'תקציב החברה לפיתוח 2020'!B57</f>
        <v>1998</v>
      </c>
      <c r="C57" s="341" t="str">
        <f>'תקציב החברה לפיתוח 2020'!C57</f>
        <v>פרויקט השכרת אופניים</v>
      </c>
      <c r="D57" s="199">
        <f>'תקציב החברה לפיתוח 2020'!D57</f>
        <v>4630000</v>
      </c>
      <c r="E57" s="199">
        <f>'תקציב החברה לפיתוח 2020'!E57</f>
        <v>4630000</v>
      </c>
      <c r="F57" s="199">
        <f>'תקציב החברה לפיתוח 2020'!F57</f>
        <v>0</v>
      </c>
      <c r="G57" s="199">
        <f>'תקציב החברה לפיתוח 2020'!G57</f>
        <v>500000</v>
      </c>
      <c r="H57" s="199">
        <f>'תקציב החברה לפיתוח 2020'!H57</f>
        <v>12799</v>
      </c>
      <c r="I57" s="199">
        <f>'תקציב החברה לפיתוח 2020'!I57</f>
        <v>0</v>
      </c>
      <c r="J57" s="199">
        <f>'תקציב החברה לפיתוח 2020'!J57</f>
        <v>137199.82</v>
      </c>
      <c r="K57" s="199">
        <f>'תקציב החברה לפיתוח 2020'!K57</f>
        <v>137199.82</v>
      </c>
      <c r="L57" s="199">
        <f>'תקציב החברה לפיתוח 2020'!L57</f>
        <v>149998.82</v>
      </c>
      <c r="M57" s="199">
        <f>'תקציב החברה לפיתוח 2020'!M57</f>
        <v>1850001.18</v>
      </c>
      <c r="N57" s="199">
        <f>'תקציב החברה לפיתוח 2020'!N57</f>
        <v>2630000</v>
      </c>
      <c r="O57" s="199">
        <f>'תקציב החברה לפיתוח 2020'!O57</f>
        <v>0</v>
      </c>
      <c r="P57" s="199">
        <f>'תקציב החברה לפיתוח 2020'!P57</f>
        <v>350001.18</v>
      </c>
      <c r="Q57" s="199">
        <f>'תקציב החברה לפיתוח 2020'!Q57</f>
        <v>1500000</v>
      </c>
      <c r="R57" s="199">
        <f>'תקציב החברה לפיתוח 2020'!R57</f>
        <v>0</v>
      </c>
      <c r="S57" s="199">
        <f>'תקציב החברה לפיתוח 2020'!S57</f>
        <v>1500000</v>
      </c>
      <c r="T57" s="199">
        <f>'תקציב החברה לפיתוח 2020'!T57</f>
        <v>0</v>
      </c>
      <c r="U57" s="199">
        <f>'תקציב החברה לפיתוח 2020'!U57</f>
        <v>2630000</v>
      </c>
      <c r="V57" s="199">
        <f>'תקציב החברה לפיתוח 2020'!V57</f>
        <v>2630000</v>
      </c>
      <c r="W57" s="199">
        <f>'תקציב החברה לפיתוח 2020'!W57</f>
        <v>0</v>
      </c>
      <c r="X57" s="199">
        <f>'תקציב החברה לפיתוח 2020'!X57</f>
        <v>0</v>
      </c>
      <c r="Y57" s="199">
        <f>'תקציב החברה לפיתוח 2020'!Y57</f>
        <v>0</v>
      </c>
      <c r="Z57" s="199">
        <f>'תקציב החברה לפיתוח 2020'!Z57</f>
        <v>0</v>
      </c>
      <c r="AA57" s="341" t="str">
        <f>'תקציב החברה לפיתוח 2020'!AA57</f>
        <v>הקמת מע.השכרת אופניים ברחבי העיר ובאיזור התעסוקה,חלק מתוכנית אב להפחתת פליטות גזי חממה.מימון מ.להגנת הסביבה.</v>
      </c>
      <c r="AB57" s="707">
        <f>'תקציב החברה לפיתוח 2020'!AB57</f>
        <v>870000</v>
      </c>
      <c r="AC57" s="191"/>
      <c r="AD57" s="191"/>
      <c r="AE57" s="624"/>
      <c r="AF57" s="627"/>
      <c r="AG57" s="331"/>
      <c r="AH57" s="331"/>
      <c r="AI57" s="209"/>
      <c r="AJ57" s="209"/>
      <c r="AK57" s="209"/>
      <c r="AL57" s="209"/>
      <c r="AM57" s="209"/>
    </row>
    <row r="58" spans="1:39" s="210" customFormat="1" ht="27.6">
      <c r="A58" s="198">
        <f t="shared" si="0"/>
        <v>53</v>
      </c>
      <c r="B58" s="707">
        <f>'תקציב החברה לפיתוח 2020'!B58</f>
        <v>2002</v>
      </c>
      <c r="C58" s="341" t="str">
        <f>'תקציב החברה לפיתוח 2020'!C58</f>
        <v>הכשרת חניון העוגן</v>
      </c>
      <c r="D58" s="199">
        <f>'תקציב החברה לפיתוח 2020'!D58</f>
        <v>1500000</v>
      </c>
      <c r="E58" s="199">
        <f>'תקציב החברה לפיתוח 2020'!E58</f>
        <v>1500000</v>
      </c>
      <c r="F58" s="199">
        <f>'תקציב החברה לפיתוח 2020'!F58</f>
        <v>0</v>
      </c>
      <c r="G58" s="199">
        <f>'תקציב החברה לפיתוח 2020'!G58</f>
        <v>865000</v>
      </c>
      <c r="H58" s="199">
        <f>'תקציב החברה לפיתוח 2020'!H58</f>
        <v>131418</v>
      </c>
      <c r="I58" s="199">
        <f>'תקציב החברה לפיתוח 2020'!I58</f>
        <v>0</v>
      </c>
      <c r="J58" s="199">
        <f>'תקציב החברה לפיתוח 2020'!J58</f>
        <v>559648.74</v>
      </c>
      <c r="K58" s="199">
        <f>'תקציב החברה לפיתוח 2020'!K58</f>
        <v>559648.74</v>
      </c>
      <c r="L58" s="199">
        <f>'תקציב החברה לפיתוח 2020'!L58</f>
        <v>691066.74</v>
      </c>
      <c r="M58" s="199">
        <f>'תקציב החברה לפיתוח 2020'!M58</f>
        <v>808933.26</v>
      </c>
      <c r="N58" s="199">
        <f>'תקציב החברה לפיתוח 2020'!N58</f>
        <v>0</v>
      </c>
      <c r="O58" s="199">
        <f>'תקציב החברה לפיתוח 2020'!O58</f>
        <v>0</v>
      </c>
      <c r="P58" s="199">
        <f>'תקציב החברה לפיתוח 2020'!P58</f>
        <v>173933.26</v>
      </c>
      <c r="Q58" s="199">
        <f>'תקציב החברה לפיתוח 2020'!Q58</f>
        <v>635000</v>
      </c>
      <c r="R58" s="199">
        <f>'תקציב החברה לפיתוח 2020'!R58</f>
        <v>0</v>
      </c>
      <c r="S58" s="199">
        <f>'תקציב החברה לפיתוח 2020'!S58</f>
        <v>635000</v>
      </c>
      <c r="T58" s="199">
        <f>'תקציב החברה לפיתוח 2020'!T58</f>
        <v>0</v>
      </c>
      <c r="U58" s="199">
        <f>'תקציב החברה לפיתוח 2020'!U58</f>
        <v>0</v>
      </c>
      <c r="V58" s="199">
        <f>'תקציב החברה לפיתוח 2020'!V58</f>
        <v>0</v>
      </c>
      <c r="W58" s="199">
        <f>'תקציב החברה לפיתוח 2020'!W58</f>
        <v>0</v>
      </c>
      <c r="X58" s="199">
        <f>'תקציב החברה לפיתוח 2020'!X58</f>
        <v>0</v>
      </c>
      <c r="Y58" s="199">
        <f>'תקציב החברה לפיתוח 2020'!Y58</f>
        <v>0</v>
      </c>
      <c r="Z58" s="199">
        <f>'תקציב החברה לפיתוח 2020'!Z58</f>
        <v>0</v>
      </c>
      <c r="AA58" s="341" t="str">
        <f>'תקציב החברה לפיתוח 2020'!AA58</f>
        <v>הכשרת חניון העוגן במרינה לחניון בתשלום. ממתין להיתר.</v>
      </c>
      <c r="AB58" s="707">
        <f>'תקציב החברה לפיתוח 2020'!AB58</f>
        <v>742000</v>
      </c>
      <c r="AC58" s="191"/>
      <c r="AD58" s="191"/>
      <c r="AE58" s="624"/>
      <c r="AF58" s="627"/>
      <c r="AG58" s="331"/>
      <c r="AH58" s="331"/>
      <c r="AI58" s="209"/>
      <c r="AJ58" s="209"/>
      <c r="AK58" s="209"/>
      <c r="AL58" s="209"/>
      <c r="AM58" s="209"/>
    </row>
    <row r="59" spans="1:39" s="210" customFormat="1">
      <c r="A59" s="198">
        <f t="shared" si="0"/>
        <v>54</v>
      </c>
      <c r="B59" s="707">
        <f>'תקציב החברה לפיתוח 2020'!B59</f>
        <v>2008</v>
      </c>
      <c r="C59" s="341" t="str">
        <f>'תקציב החברה לפיתוח 2020'!C59</f>
        <v>שדרות ה - 93 הבאר</v>
      </c>
      <c r="D59" s="199">
        <f>'תקציב החברה לפיתוח 2020'!D59</f>
        <v>2500000</v>
      </c>
      <c r="E59" s="199">
        <f>'תקציב החברה לפיתוח 2020'!E59</f>
        <v>2500000</v>
      </c>
      <c r="F59" s="199">
        <f>'תקציב החברה לפיתוח 2020'!F59</f>
        <v>0</v>
      </c>
      <c r="G59" s="199">
        <f>'תקציב החברה לפיתוח 2020'!G59</f>
        <v>0</v>
      </c>
      <c r="H59" s="199">
        <f>'תקציב החברה לפיתוח 2020'!H59</f>
        <v>0</v>
      </c>
      <c r="I59" s="199">
        <f>'תקציב החברה לפיתוח 2020'!I59</f>
        <v>0</v>
      </c>
      <c r="J59" s="199">
        <f>'תקציב החברה לפיתוח 2020'!J59</f>
        <v>0</v>
      </c>
      <c r="K59" s="199">
        <f>'תקציב החברה לפיתוח 2020'!K59</f>
        <v>0</v>
      </c>
      <c r="L59" s="199">
        <f>'תקציב החברה לפיתוח 2020'!L59</f>
        <v>0</v>
      </c>
      <c r="M59" s="199">
        <f>'תקציב החברה לפיתוח 2020'!M59</f>
        <v>0</v>
      </c>
      <c r="N59" s="199">
        <f>'תקציב החברה לפיתוח 2020'!N59</f>
        <v>0</v>
      </c>
      <c r="O59" s="199">
        <f>'תקציב החברה לפיתוח 2020'!O59</f>
        <v>2500000</v>
      </c>
      <c r="P59" s="199">
        <f>'תקציב החברה לפיתוח 2020'!P59</f>
        <v>0</v>
      </c>
      <c r="Q59" s="199">
        <f>'תקציב החברה לפיתוח 2020'!Q59</f>
        <v>0</v>
      </c>
      <c r="R59" s="199">
        <f>'תקציב החברה לפיתוח 2020'!R59</f>
        <v>0</v>
      </c>
      <c r="S59" s="199">
        <f>'תקציב החברה לפיתוח 2020'!S59</f>
        <v>0</v>
      </c>
      <c r="T59" s="199">
        <f>'תקציב החברה לפיתוח 2020'!T59</f>
        <v>0</v>
      </c>
      <c r="U59" s="199">
        <f>'תקציב החברה לפיתוח 2020'!U59</f>
        <v>0</v>
      </c>
      <c r="V59" s="199">
        <f>'תקציב החברה לפיתוח 2020'!V59</f>
        <v>0</v>
      </c>
      <c r="W59" s="199">
        <f>'תקציב החברה לפיתוח 2020'!W59</f>
        <v>0</v>
      </c>
      <c r="X59" s="199">
        <f>'תקציב החברה לפיתוח 2020'!X59</f>
        <v>0</v>
      </c>
      <c r="Y59" s="199">
        <f>'תקציב החברה לפיתוח 2020'!Y59</f>
        <v>0</v>
      </c>
      <c r="Z59" s="199">
        <f>'תקציב החברה לפיתוח 2020'!Z59</f>
        <v>0</v>
      </c>
      <c r="AA59" s="341">
        <f>'תקציב החברה לפיתוח 2020'!AA59</f>
        <v>0</v>
      </c>
      <c r="AB59" s="707">
        <f>'תקציב החברה לפיתוח 2020'!AB59</f>
        <v>742000</v>
      </c>
      <c r="AC59" s="191"/>
      <c r="AD59" s="191"/>
      <c r="AE59" s="624"/>
      <c r="AF59" s="627"/>
      <c r="AG59" s="331"/>
      <c r="AH59" s="331"/>
      <c r="AI59" s="209"/>
      <c r="AJ59" s="209"/>
      <c r="AK59" s="209"/>
      <c r="AL59" s="209"/>
      <c r="AM59" s="209"/>
    </row>
    <row r="60" spans="1:39" s="5" customFormat="1" ht="27.6">
      <c r="A60" s="198">
        <f t="shared" si="0"/>
        <v>55</v>
      </c>
      <c r="B60" s="707">
        <f>'תקציב החברה לפיתוח 2020'!B60</f>
        <v>2010</v>
      </c>
      <c r="C60" s="341" t="str">
        <f>'תקציב החברה לפיתוח 2020'!C60</f>
        <v>יהודה הנשיא רבי עקיבא רזיאל</v>
      </c>
      <c r="D60" s="199">
        <f>'תקציב החברה לפיתוח 2020'!D60</f>
        <v>8000000</v>
      </c>
      <c r="E60" s="199">
        <f>'תקציב החברה לפיתוח 2020'!E60</f>
        <v>8000000</v>
      </c>
      <c r="F60" s="199">
        <f>'תקציב החברה לפיתוח 2020'!F60</f>
        <v>0</v>
      </c>
      <c r="G60" s="199">
        <f>'תקציב החברה לפיתוח 2020'!G60</f>
        <v>500000</v>
      </c>
      <c r="H60" s="199">
        <f>'תקציב החברה לפיתוח 2020'!H60</f>
        <v>0</v>
      </c>
      <c r="I60" s="199">
        <f>'תקציב החברה לפיתוח 2020'!I60</f>
        <v>0</v>
      </c>
      <c r="J60" s="199">
        <f>'תקציב החברה לפיתוח 2020'!J60</f>
        <v>0</v>
      </c>
      <c r="K60" s="199">
        <f>'תקציב החברה לפיתוח 2020'!K60</f>
        <v>0</v>
      </c>
      <c r="L60" s="199">
        <f>'תקציב החברה לפיתוח 2020'!L60</f>
        <v>0</v>
      </c>
      <c r="M60" s="199">
        <f>'תקציב החברה לפיתוח 2020'!M60</f>
        <v>500000</v>
      </c>
      <c r="N60" s="199">
        <f>'תקציב החברה לפיתוח 2020'!N60</f>
        <v>0</v>
      </c>
      <c r="O60" s="199">
        <f>'תקציב החברה לפיתוח 2020'!O60</f>
        <v>7500000</v>
      </c>
      <c r="P60" s="199">
        <f>'תקציב החברה לפיתוח 2020'!P60</f>
        <v>500000</v>
      </c>
      <c r="Q60" s="199">
        <f>'תקציב החברה לפיתוח 2020'!Q60</f>
        <v>0</v>
      </c>
      <c r="R60" s="199">
        <f>'תקציב החברה לפיתוח 2020'!R60</f>
        <v>0</v>
      </c>
      <c r="S60" s="199">
        <f>'תקציב החברה לפיתוח 2020'!S60</f>
        <v>0</v>
      </c>
      <c r="T60" s="199">
        <f>'תקציב החברה לפיתוח 2020'!T60</f>
        <v>0</v>
      </c>
      <c r="U60" s="199">
        <f>'תקציב החברה לפיתוח 2020'!U60</f>
        <v>0</v>
      </c>
      <c r="V60" s="199">
        <f>'תקציב החברה לפיתוח 2020'!V60</f>
        <v>0</v>
      </c>
      <c r="W60" s="199">
        <f>'תקציב החברה לפיתוח 2020'!W60</f>
        <v>0</v>
      </c>
      <c r="X60" s="199">
        <f>'תקציב החברה לפיתוח 2020'!X60</f>
        <v>0</v>
      </c>
      <c r="Y60" s="199">
        <f>'תקציב החברה לפיתוח 2020'!Y60</f>
        <v>0</v>
      </c>
      <c r="Z60" s="199">
        <f>'תקציב החברה לפיתוח 2020'!Z60</f>
        <v>0</v>
      </c>
      <c r="AA60" s="341" t="str">
        <f>'תקציב החברה לפיתוח 2020'!AA60</f>
        <v xml:space="preserve">השלמת תכנון וביצוע פיתוח קטע הרחוב מרבי עקיבא עד דוד רזיאל. </v>
      </c>
      <c r="AB60" s="707">
        <f>'תקציב החברה לפיתוח 2020'!AB60</f>
        <v>742000</v>
      </c>
      <c r="AC60" s="191"/>
      <c r="AD60" s="191"/>
      <c r="AE60" s="624"/>
      <c r="AF60" s="627"/>
    </row>
    <row r="61" spans="1:39" s="5" customFormat="1" ht="27.6">
      <c r="A61" s="198">
        <f t="shared" si="0"/>
        <v>56</v>
      </c>
      <c r="B61" s="707">
        <f>'תקציב החברה לפיתוח 2020'!B61</f>
        <v>2011</v>
      </c>
      <c r="C61" s="341" t="str">
        <f>'תקציב החברה לפיתוח 2020'!C61</f>
        <v>תכנון חניון מרינה לי</v>
      </c>
      <c r="D61" s="199">
        <f>'תקציב החברה לפיתוח 2020'!D61</f>
        <v>80000000</v>
      </c>
      <c r="E61" s="199">
        <f>'תקציב החברה לפיתוח 2020'!E61</f>
        <v>80000000</v>
      </c>
      <c r="F61" s="199">
        <f>'תקציב החברה לפיתוח 2020'!F61</f>
        <v>0</v>
      </c>
      <c r="G61" s="199">
        <f>'תקציב החברה לפיתוח 2020'!G61</f>
        <v>0</v>
      </c>
      <c r="H61" s="199">
        <f>'תקציב החברה לפיתוח 2020'!H61</f>
        <v>0</v>
      </c>
      <c r="I61" s="199">
        <f>'תקציב החברה לפיתוח 2020'!I61</f>
        <v>0</v>
      </c>
      <c r="J61" s="199">
        <f>'תקציב החברה לפיתוח 2020'!J61</f>
        <v>0</v>
      </c>
      <c r="K61" s="199">
        <f>'תקציב החברה לפיתוח 2020'!K61</f>
        <v>0</v>
      </c>
      <c r="L61" s="199">
        <f>'תקציב החברה לפיתוח 2020'!L61</f>
        <v>0</v>
      </c>
      <c r="M61" s="199">
        <f>'תקציב החברה לפיתוח 2020'!M61</f>
        <v>0</v>
      </c>
      <c r="N61" s="199">
        <f>'תקציב החברה לפיתוח 2020'!N61</f>
        <v>5000000</v>
      </c>
      <c r="O61" s="199">
        <f>'תקציב החברה לפיתוח 2020'!O61</f>
        <v>75000000</v>
      </c>
      <c r="P61" s="199">
        <f>'תקציב החברה לפיתוח 2020'!P61</f>
        <v>0</v>
      </c>
      <c r="Q61" s="199">
        <f>'תקציב החברה לפיתוח 2020'!Q61</f>
        <v>0</v>
      </c>
      <c r="R61" s="199">
        <f>'תקציב החברה לפיתוח 2020'!R61</f>
        <v>0</v>
      </c>
      <c r="S61" s="199">
        <f>'תקציב החברה לפיתוח 2020'!S61</f>
        <v>0</v>
      </c>
      <c r="T61" s="199">
        <f>'תקציב החברה לפיתוח 2020'!T61</f>
        <v>0</v>
      </c>
      <c r="U61" s="199">
        <f>'תקציב החברה לפיתוח 2020'!U61</f>
        <v>5000000</v>
      </c>
      <c r="V61" s="199">
        <f>'תקציב החברה לפיתוח 2020'!V61</f>
        <v>5000000</v>
      </c>
      <c r="W61" s="199">
        <f>'תקציב החברה לפיתוח 2020'!W61</f>
        <v>0</v>
      </c>
      <c r="X61" s="199">
        <f>'תקציב החברה לפיתוח 2020'!X61</f>
        <v>0</v>
      </c>
      <c r="Y61" s="199">
        <f>'תקציב החברה לפיתוח 2020'!Y61</f>
        <v>0</v>
      </c>
      <c r="Z61" s="199">
        <f>'תקציב החברה לפיתוח 2020'!Z61</f>
        <v>0</v>
      </c>
      <c r="AA61" s="341" t="str">
        <f>'תקציב החברה לפיתוח 2020'!AA61</f>
        <v xml:space="preserve">תכנון החניון מתחת לשצ"פ במתחם המרינה לי. </v>
      </c>
      <c r="AB61" s="707">
        <f>'תקציב החברה לפיתוח 2020'!AB61</f>
        <v>742000</v>
      </c>
      <c r="AC61" s="191"/>
      <c r="AD61" s="191"/>
      <c r="AE61" s="624"/>
      <c r="AF61" s="627"/>
    </row>
    <row r="62" spans="1:39" s="210" customFormat="1" ht="27.6">
      <c r="A62" s="198">
        <f t="shared" si="0"/>
        <v>57</v>
      </c>
      <c r="B62" s="707">
        <f>'תקציב החברה לפיתוח 2020'!B62</f>
        <v>2015</v>
      </c>
      <c r="C62" s="341" t="str">
        <f>'תקציב החברה לפיתוח 2020'!C62</f>
        <v>(3) גנ"י מדעיים באלתרמן</v>
      </c>
      <c r="D62" s="199">
        <f>'תקציב החברה לפיתוח 2020'!D62</f>
        <v>25000000</v>
      </c>
      <c r="E62" s="199">
        <f>'תקציב החברה לפיתוח 2020'!E62</f>
        <v>10500000</v>
      </c>
      <c r="F62" s="199">
        <f>'תקציב החברה לפיתוח 2020'!F62</f>
        <v>14500000</v>
      </c>
      <c r="G62" s="199">
        <f>'תקציב החברה לפיתוח 2020'!G62</f>
        <v>5500000</v>
      </c>
      <c r="H62" s="199">
        <f>'תקציב החברה לפיתוח 2020'!H62</f>
        <v>307009</v>
      </c>
      <c r="I62" s="199">
        <f>'תקציב החברה לפיתוח 2020'!I62</f>
        <v>0</v>
      </c>
      <c r="J62" s="199">
        <f>'תקציב החברה לפיתוח 2020'!J62</f>
        <v>192991.08</v>
      </c>
      <c r="K62" s="199">
        <f>'תקציב החברה לפיתוח 2020'!K62</f>
        <v>192991.08</v>
      </c>
      <c r="L62" s="199">
        <f>'תקציב החברה לפיתוח 2020'!L62</f>
        <v>500000.07999999996</v>
      </c>
      <c r="M62" s="199">
        <f>'תקציב החברה לפיתוח 2020'!M62</f>
        <v>4999999.92</v>
      </c>
      <c r="N62" s="199">
        <f>'תקציב החברה לפיתוח 2020'!N62</f>
        <v>14500000</v>
      </c>
      <c r="O62" s="199">
        <f>'תקציב החברה לפיתוח 2020'!O62</f>
        <v>5000000</v>
      </c>
      <c r="P62" s="199">
        <f>'תקציב החברה לפיתוח 2020'!P62</f>
        <v>4999999.92</v>
      </c>
      <c r="Q62" s="199">
        <f>'תקציב החברה לפיתוח 2020'!Q62</f>
        <v>5000000</v>
      </c>
      <c r="R62" s="199">
        <f>'תקציב החברה לפיתוח 2020'!R62</f>
        <v>0</v>
      </c>
      <c r="S62" s="199">
        <f>'תקציב החברה לפיתוח 2020'!S62</f>
        <v>5000000</v>
      </c>
      <c r="T62" s="199">
        <f>'תקציב החברה לפיתוח 2020'!T62</f>
        <v>5000000</v>
      </c>
      <c r="U62" s="199">
        <f>'תקציב החברה לפיתוח 2020'!U62</f>
        <v>9500000</v>
      </c>
      <c r="V62" s="199">
        <f>'תקציב החברה לפיתוח 2020'!V62</f>
        <v>9500000</v>
      </c>
      <c r="W62" s="199">
        <f>'תקציב החברה לפיתוח 2020'!W62</f>
        <v>0</v>
      </c>
      <c r="X62" s="199">
        <f>'תקציב החברה לפיתוח 2020'!X62</f>
        <v>0</v>
      </c>
      <c r="Y62" s="199">
        <f>'תקציב החברה לפיתוח 2020'!Y62</f>
        <v>0</v>
      </c>
      <c r="Z62" s="199">
        <f>'תקציב החברה לפיתוח 2020'!Z62</f>
        <v>0</v>
      </c>
      <c r="AA62" s="341" t="str">
        <f>'תקציב החברה לפיתוח 2020'!AA62</f>
        <v>עבודות בניה ופיתוח גנ"י מדעיים באלתרמן. מבנה 3 קומות ופיתוח.</v>
      </c>
      <c r="AB62" s="707">
        <f>'תקציב החברה לפיתוח 2020'!AB62</f>
        <v>810000</v>
      </c>
      <c r="AC62" s="191"/>
      <c r="AD62" s="191"/>
      <c r="AE62" s="624"/>
      <c r="AF62" s="627"/>
      <c r="AG62" s="331"/>
      <c r="AH62" s="331"/>
    </row>
    <row r="63" spans="1:39" s="203" customFormat="1" ht="27.6">
      <c r="A63" s="198">
        <f t="shared" si="0"/>
        <v>58</v>
      </c>
      <c r="B63" s="707">
        <f>'תקציב החברה לפיתוח 2020'!B63</f>
        <v>2016</v>
      </c>
      <c r="C63" s="341" t="str">
        <f>'תקציב החברה לפיתוח 2020'!C63</f>
        <v>(3) גנ"י  במתחם אלתרמן</v>
      </c>
      <c r="D63" s="199">
        <f>'תקציב החברה לפיתוח 2020'!D63</f>
        <v>7340000</v>
      </c>
      <c r="E63" s="199">
        <f>'תקציב החברה לפיתוח 2020'!E63</f>
        <v>7340000</v>
      </c>
      <c r="F63" s="199">
        <f>'תקציב החברה לפיתוח 2020'!F63</f>
        <v>0</v>
      </c>
      <c r="G63" s="199">
        <f>'תקציב החברה לפיתוח 2020'!G63</f>
        <v>7340000</v>
      </c>
      <c r="H63" s="199">
        <f>'תקציב החברה לפיתוח 2020'!H63</f>
        <v>6978013</v>
      </c>
      <c r="I63" s="199">
        <f>'תקציב החברה לפיתוח 2020'!I63</f>
        <v>0</v>
      </c>
      <c r="J63" s="199">
        <f>'תקציב החברה לפיתוח 2020'!J63</f>
        <v>335053.92</v>
      </c>
      <c r="K63" s="199">
        <f>'תקציב החברה לפיתוח 2020'!K63</f>
        <v>335053.92</v>
      </c>
      <c r="L63" s="199">
        <f>'תקציב החברה לפיתוח 2020'!L63</f>
        <v>7313066.9199999999</v>
      </c>
      <c r="M63" s="199">
        <f>'תקציב החברה לפיתוח 2020'!M63</f>
        <v>26933.080000000075</v>
      </c>
      <c r="N63" s="199">
        <f>'תקציב החברה לפיתוח 2020'!N63</f>
        <v>0</v>
      </c>
      <c r="O63" s="199">
        <f>'תקציב החברה לפיתוח 2020'!O63</f>
        <v>0</v>
      </c>
      <c r="P63" s="199">
        <f>'תקציב החברה לפיתוח 2020'!P63</f>
        <v>26933.080000000075</v>
      </c>
      <c r="Q63" s="199">
        <f>'תקציב החברה לפיתוח 2020'!Q63</f>
        <v>0</v>
      </c>
      <c r="R63" s="199">
        <f>'תקציב החברה לפיתוח 2020'!R63</f>
        <v>0</v>
      </c>
      <c r="S63" s="199">
        <f>'תקציב החברה לפיתוח 2020'!S63</f>
        <v>0</v>
      </c>
      <c r="T63" s="199">
        <f>'תקציב החברה לפיתוח 2020'!T63</f>
        <v>0</v>
      </c>
      <c r="U63" s="199">
        <f>'תקציב החברה לפיתוח 2020'!U63</f>
        <v>0</v>
      </c>
      <c r="V63" s="199">
        <f>'תקציב החברה לפיתוח 2020'!V63</f>
        <v>0</v>
      </c>
      <c r="W63" s="199">
        <f>'תקציב החברה לפיתוח 2020'!W63</f>
        <v>0</v>
      </c>
      <c r="X63" s="199">
        <f>'תקציב החברה לפיתוח 2020'!X63</f>
        <v>0</v>
      </c>
      <c r="Y63" s="199">
        <f>'תקציב החברה לפיתוח 2020'!Y63</f>
        <v>0</v>
      </c>
      <c r="Z63" s="199">
        <f>'תקציב החברה לפיתוח 2020'!Z63</f>
        <v>0</v>
      </c>
      <c r="AA63" s="341" t="str">
        <f>'תקציב החברה לפיתוח 2020'!AA63</f>
        <v>ממתין לחן סופי ותקבול מימון מ. החינוך.</v>
      </c>
      <c r="AB63" s="707">
        <f>'תקציב החברה לפיתוח 2020'!AB63</f>
        <v>810000</v>
      </c>
      <c r="AC63" s="191"/>
      <c r="AD63" s="191"/>
      <c r="AE63" s="624"/>
      <c r="AF63" s="627"/>
      <c r="AG63" s="331"/>
      <c r="AH63" s="331"/>
    </row>
    <row r="64" spans="1:39" ht="19.95" customHeight="1">
      <c r="A64" s="198">
        <f t="shared" si="0"/>
        <v>59</v>
      </c>
      <c r="B64" s="707">
        <f>'תקציב החברה לפיתוח 2020'!B64</f>
        <v>2017</v>
      </c>
      <c r="C64" s="341" t="str">
        <f>'תקציב החברה לפיתוח 2020'!C64</f>
        <v>תכנון מתנ"ס רחוב המסילה</v>
      </c>
      <c r="D64" s="199">
        <f>'תקציב החברה לפיתוח 2020'!D64</f>
        <v>30000000</v>
      </c>
      <c r="E64" s="199">
        <f>'תקציב החברה לפיתוח 2020'!E64</f>
        <v>2000000</v>
      </c>
      <c r="F64" s="199">
        <f>'תקציב החברה לפיתוח 2020'!F64</f>
        <v>28000000</v>
      </c>
      <c r="G64" s="199">
        <f>'תקציב החברה לפיתוח 2020'!G64</f>
        <v>1000000</v>
      </c>
      <c r="H64" s="199">
        <f>'תקציב החברה לפיתוח 2020'!H64</f>
        <v>414448</v>
      </c>
      <c r="I64" s="199">
        <f>'תקציב החברה לפיתוח 2020'!I64</f>
        <v>0</v>
      </c>
      <c r="J64" s="199">
        <f>'תקציב החברה לפיתוח 2020'!J64</f>
        <v>75628.350000000006</v>
      </c>
      <c r="K64" s="199">
        <f>'תקציב החברה לפיתוח 2020'!K64</f>
        <v>75628.350000000006</v>
      </c>
      <c r="L64" s="199">
        <f>'תקציב החברה לפיתוח 2020'!L64</f>
        <v>490076.35</v>
      </c>
      <c r="M64" s="199">
        <f>'תקציב החברה לפיתוח 2020'!M64</f>
        <v>1509923.65</v>
      </c>
      <c r="N64" s="199">
        <f>'תקציב החברה לפיתוח 2020'!N64</f>
        <v>0</v>
      </c>
      <c r="O64" s="199">
        <f>'תקציב החברה לפיתוח 2020'!O64</f>
        <v>28000000</v>
      </c>
      <c r="P64" s="199">
        <f>'תקציב החברה לפיתוח 2020'!P64</f>
        <v>509923.65</v>
      </c>
      <c r="Q64" s="199">
        <f>'תקציב החברה לפיתוח 2020'!Q64</f>
        <v>1000000</v>
      </c>
      <c r="R64" s="199">
        <f>'תקציב החברה לפיתוח 2020'!R64</f>
        <v>0</v>
      </c>
      <c r="S64" s="199">
        <f>'תקציב החברה לפיתוח 2020'!S64</f>
        <v>1000000</v>
      </c>
      <c r="T64" s="199">
        <f>'תקציב החברה לפיתוח 2020'!T64</f>
        <v>0</v>
      </c>
      <c r="U64" s="199">
        <f>'תקציב החברה לפיתוח 2020'!U64</f>
        <v>0</v>
      </c>
      <c r="V64" s="199">
        <f>'תקציב החברה לפיתוח 2020'!V64</f>
        <v>0</v>
      </c>
      <c r="W64" s="199">
        <f>'תקציב החברה לפיתוח 2020'!W64</f>
        <v>0</v>
      </c>
      <c r="X64" s="199">
        <f>'תקציב החברה לפיתוח 2020'!X64</f>
        <v>0</v>
      </c>
      <c r="Y64" s="199">
        <f>'תקציב החברה לפיתוח 2020'!Y64</f>
        <v>0</v>
      </c>
      <c r="Z64" s="199">
        <f>'תקציב החברה לפיתוח 2020'!Z64</f>
        <v>0</v>
      </c>
      <c r="AA64" s="341" t="str">
        <f>'תקציב החברה לפיתוח 2020'!AA64</f>
        <v>תכנון מתנ"ס ברחוב המסילה.</v>
      </c>
      <c r="AB64" s="707">
        <f>'תקציב החברה לפיתוח 2020'!AB64</f>
        <v>824000</v>
      </c>
      <c r="AE64" s="624"/>
      <c r="AF64" s="627"/>
      <c r="AI64" s="210"/>
      <c r="AJ64" s="210"/>
      <c r="AK64" s="210"/>
      <c r="AL64" s="210"/>
      <c r="AM64" s="210"/>
    </row>
    <row r="65" spans="1:37" ht="35.1" customHeight="1">
      <c r="A65" s="198">
        <f t="shared" si="0"/>
        <v>60</v>
      </c>
      <c r="B65" s="707">
        <f>'תקציב החברה לפיתוח 2020'!B65</f>
        <v>2018</v>
      </c>
      <c r="C65" s="341" t="str">
        <f>'תקציב החברה לפיתוח 2020'!C65</f>
        <v>החלפת עמודי תאורה באיזור תעשיה</v>
      </c>
      <c r="D65" s="199">
        <f>'תקציב החברה לפיתוח 2020'!D65</f>
        <v>10000000</v>
      </c>
      <c r="E65" s="199">
        <f>'תקציב החברה לפיתוח 2020'!E65</f>
        <v>10000000</v>
      </c>
      <c r="F65" s="199">
        <f>'תקציב החברה לפיתוח 2020'!F65</f>
        <v>0</v>
      </c>
      <c r="G65" s="199">
        <f>'תקציב החברה לפיתוח 2020'!G65</f>
        <v>3300000</v>
      </c>
      <c r="H65" s="199">
        <f>'תקציב החברה לפיתוח 2020'!H65</f>
        <v>238402</v>
      </c>
      <c r="I65" s="199">
        <f>'תקציב החברה לפיתוח 2020'!I65</f>
        <v>0</v>
      </c>
      <c r="J65" s="199">
        <f>'תקציב החברה לפיתוח 2020'!J65</f>
        <v>1047120.34</v>
      </c>
      <c r="K65" s="199">
        <f>'תקציב החברה לפיתוח 2020'!K65</f>
        <v>1047120.34</v>
      </c>
      <c r="L65" s="199">
        <f>'תקציב החברה לפיתוח 2020'!L65</f>
        <v>1285522.3399999999</v>
      </c>
      <c r="M65" s="199">
        <f>'תקציב החברה לפיתוח 2020'!M65</f>
        <v>3314477.66</v>
      </c>
      <c r="N65" s="199">
        <f>'תקציב החברה לפיתוח 2020'!N65</f>
        <v>2000000</v>
      </c>
      <c r="O65" s="199">
        <f>'תקציב החברה לפיתוח 2020'!O65</f>
        <v>3400000</v>
      </c>
      <c r="P65" s="199">
        <f>'תקציב החברה לפיתוח 2020'!P65</f>
        <v>2014477.6600000001</v>
      </c>
      <c r="Q65" s="199">
        <f>'תקציב החברה לפיתוח 2020'!Q65</f>
        <v>1300000</v>
      </c>
      <c r="R65" s="199">
        <f>'תקציב החברה לפיתוח 2020'!R65</f>
        <v>0</v>
      </c>
      <c r="S65" s="199">
        <f>'תקציב החברה לפיתוח 2020'!S65</f>
        <v>1300000</v>
      </c>
      <c r="T65" s="199">
        <f>'תקציב החברה לפיתוח 2020'!T65</f>
        <v>0</v>
      </c>
      <c r="U65" s="199">
        <f>'תקציב החברה לפיתוח 2020'!U65</f>
        <v>2000000</v>
      </c>
      <c r="V65" s="199">
        <f>'תקציב החברה לפיתוח 2020'!V65</f>
        <v>2000000</v>
      </c>
      <c r="W65" s="199">
        <f>'תקציב החברה לפיתוח 2020'!W65</f>
        <v>0</v>
      </c>
      <c r="X65" s="199">
        <f>'תקציב החברה לפיתוח 2020'!X65</f>
        <v>0</v>
      </c>
      <c r="Y65" s="199">
        <f>'תקציב החברה לפיתוח 2020'!Y65</f>
        <v>0</v>
      </c>
      <c r="Z65" s="199">
        <f>'תקציב החברה לפיתוח 2020'!Z65</f>
        <v>0</v>
      </c>
      <c r="AA65" s="341" t="str">
        <f>'תקציב החברה לפיתוח 2020'!AA65</f>
        <v>מסגרת עבודות של החלפת עמודי תאורה באיזור התעשיה.</v>
      </c>
      <c r="AB65" s="707">
        <f>'תקציב החברה לפיתוח 2020'!AB65</f>
        <v>742000</v>
      </c>
      <c r="AE65" s="624"/>
      <c r="AF65" s="627"/>
    </row>
    <row r="66" spans="1:37" ht="27.6">
      <c r="A66" s="198">
        <f t="shared" si="0"/>
        <v>61</v>
      </c>
      <c r="B66" s="707">
        <f>'תקציב החברה לפיתוח 2020'!B66</f>
        <v>2019</v>
      </c>
      <c r="C66" s="341" t="str">
        <f>'תקציב החברה לפיתוח 2020'!C66</f>
        <v>החלפת עמודי מחסום איזור תעשיה</v>
      </c>
      <c r="D66" s="199">
        <f>'תקציב החברה לפיתוח 2020'!D66</f>
        <v>1200000</v>
      </c>
      <c r="E66" s="199">
        <f>'תקציב החברה לפיתוח 2020'!E66</f>
        <v>1200000</v>
      </c>
      <c r="F66" s="199">
        <f>'תקציב החברה לפיתוח 2020'!F66</f>
        <v>0</v>
      </c>
      <c r="G66" s="199">
        <f>'תקציב החברה לפיתוח 2020'!G66</f>
        <v>1200000</v>
      </c>
      <c r="H66" s="199">
        <f>'תקציב החברה לפיתוח 2020'!H66</f>
        <v>586398</v>
      </c>
      <c r="I66" s="199">
        <f>'תקציב החברה לפיתוח 2020'!I66</f>
        <v>0</v>
      </c>
      <c r="J66" s="199">
        <f>'תקציב החברה לפיתוח 2020'!J66</f>
        <v>613598.77</v>
      </c>
      <c r="K66" s="199">
        <f>'תקציב החברה לפיתוח 2020'!K66</f>
        <v>613598.77</v>
      </c>
      <c r="L66" s="199">
        <f>'תקציב החברה לפיתוח 2020'!L66</f>
        <v>1199996.77</v>
      </c>
      <c r="M66" s="199">
        <f>'תקציב החברה לפיתוח 2020'!M66</f>
        <v>3.2299999999813735</v>
      </c>
      <c r="N66" s="199">
        <f>'תקציב החברה לפיתוח 2020'!N66</f>
        <v>0</v>
      </c>
      <c r="O66" s="199">
        <f>'תקציב החברה לפיתוח 2020'!O66</f>
        <v>0</v>
      </c>
      <c r="P66" s="199">
        <f>'תקציב החברה לפיתוח 2020'!P66</f>
        <v>3.2299999999813735</v>
      </c>
      <c r="Q66" s="199">
        <f>'תקציב החברה לפיתוח 2020'!Q66</f>
        <v>0</v>
      </c>
      <c r="R66" s="199">
        <f>'תקציב החברה לפיתוח 2020'!R66</f>
        <v>0</v>
      </c>
      <c r="S66" s="199">
        <f>'תקציב החברה לפיתוח 2020'!S66</f>
        <v>0</v>
      </c>
      <c r="T66" s="199">
        <f>'תקציב החברה לפיתוח 2020'!T66</f>
        <v>0</v>
      </c>
      <c r="U66" s="199">
        <f>'תקציב החברה לפיתוח 2020'!U66</f>
        <v>0</v>
      </c>
      <c r="V66" s="199">
        <f>'תקציב החברה לפיתוח 2020'!V66</f>
        <v>0</v>
      </c>
      <c r="W66" s="199">
        <f>'תקציב החברה לפיתוח 2020'!W66</f>
        <v>0</v>
      </c>
      <c r="X66" s="199">
        <f>'תקציב החברה לפיתוח 2020'!X66</f>
        <v>0</v>
      </c>
      <c r="Y66" s="199">
        <f>'תקציב החברה לפיתוח 2020'!Y66</f>
        <v>0</v>
      </c>
      <c r="Z66" s="199">
        <f>'תקציב החברה לפיתוח 2020'!Z66</f>
        <v>0</v>
      </c>
      <c r="AA66" s="341" t="str">
        <f>'תקציב החברה לפיתוח 2020'!AA66</f>
        <v>מסגרת עבודות של החלפת עמודי מחסום באיזור התעשיה. חן סופיים.</v>
      </c>
      <c r="AB66" s="707">
        <f>'תקציב החברה לפיתוח 2020'!AB66</f>
        <v>742000</v>
      </c>
      <c r="AE66" s="624"/>
      <c r="AF66" s="627"/>
    </row>
    <row r="67" spans="1:37" s="202" customFormat="1" ht="27.6">
      <c r="A67" s="198">
        <f t="shared" si="0"/>
        <v>62</v>
      </c>
      <c r="B67" s="707">
        <f>'תקציב החברה לפיתוח 2020'!B67</f>
        <v>2021</v>
      </c>
      <c r="C67" s="341" t="str">
        <f>'תקציב החברה לפיתוח 2020'!C67</f>
        <v>ביכנ"ס מקדש מלך</v>
      </c>
      <c r="D67" s="199">
        <f>'תקציב החברה לפיתוח 2020'!D67</f>
        <v>8200000</v>
      </c>
      <c r="E67" s="199">
        <f>'תקציב החברה לפיתוח 2020'!E67</f>
        <v>8200000</v>
      </c>
      <c r="F67" s="199">
        <f>'תקציב החברה לפיתוח 2020'!F67</f>
        <v>0</v>
      </c>
      <c r="G67" s="199">
        <f>'תקציב החברה לפיתוח 2020'!G67</f>
        <v>500000</v>
      </c>
      <c r="H67" s="199">
        <f>'תקציב החברה לפיתוח 2020'!H67</f>
        <v>40865</v>
      </c>
      <c r="I67" s="199">
        <f>'תקציב החברה לפיתוח 2020'!I67</f>
        <v>0</v>
      </c>
      <c r="J67" s="199">
        <f>'תקציב החברה לפיתוח 2020'!J67</f>
        <v>109135.4</v>
      </c>
      <c r="K67" s="199">
        <f>'תקציב החברה לפיתוח 2020'!K67</f>
        <v>109135.4</v>
      </c>
      <c r="L67" s="199">
        <f>'תקציב החברה לפיתוח 2020'!L67</f>
        <v>150000.4</v>
      </c>
      <c r="M67" s="199">
        <f>'תקציב החברה לפיתוח 2020'!M67</f>
        <v>349999.6</v>
      </c>
      <c r="N67" s="199">
        <f>'תקציב החברה לפיתוח 2020'!N67</f>
        <v>0</v>
      </c>
      <c r="O67" s="199">
        <f>'תקציב החברה לפיתוח 2020'!O67</f>
        <v>7700000</v>
      </c>
      <c r="P67" s="199">
        <f>'תקציב החברה לפיתוח 2020'!P67</f>
        <v>349999.6</v>
      </c>
      <c r="Q67" s="199">
        <f>'תקציב החברה לפיתוח 2020'!Q67</f>
        <v>0</v>
      </c>
      <c r="R67" s="199">
        <f>'תקציב החברה לפיתוח 2020'!R67</f>
        <v>0</v>
      </c>
      <c r="S67" s="199">
        <f>'תקציב החברה לפיתוח 2020'!S67</f>
        <v>0</v>
      </c>
      <c r="T67" s="199">
        <f>'תקציב החברה לפיתוח 2020'!T67</f>
        <v>0</v>
      </c>
      <c r="U67" s="199">
        <f>'תקציב החברה לפיתוח 2020'!U67</f>
        <v>0</v>
      </c>
      <c r="V67" s="199">
        <f>'תקציב החברה לפיתוח 2020'!V67</f>
        <v>0</v>
      </c>
      <c r="W67" s="199">
        <f>'תקציב החברה לפיתוח 2020'!W67</f>
        <v>0</v>
      </c>
      <c r="X67" s="199">
        <f>'תקציב החברה לפיתוח 2020'!X67</f>
        <v>0</v>
      </c>
      <c r="Y67" s="199">
        <f>'תקציב החברה לפיתוח 2020'!Y67</f>
        <v>0</v>
      </c>
      <c r="Z67" s="199">
        <f>'תקציב החברה לפיתוח 2020'!Z67</f>
        <v>0</v>
      </c>
      <c r="AA67" s="341" t="str">
        <f>'תקציב החברה לפיתוח 2020'!AA67</f>
        <v xml:space="preserve">בניית ביכנ"ס ברח' מקדש מלך. תכנון.  </v>
      </c>
      <c r="AB67" s="707">
        <f>'תקציב החברה לפיתוח 2020'!AB67</f>
        <v>850000</v>
      </c>
      <c r="AC67" s="191"/>
      <c r="AD67" s="191"/>
      <c r="AE67" s="624"/>
      <c r="AF67" s="627"/>
      <c r="AG67" s="331"/>
      <c r="AH67" s="331"/>
    </row>
    <row r="68" spans="1:37" s="202" customFormat="1" ht="41.4">
      <c r="A68" s="198">
        <f t="shared" si="0"/>
        <v>63</v>
      </c>
      <c r="B68" s="707">
        <f>'תקציב החברה לפיתוח 2020'!B68</f>
        <v>2022</v>
      </c>
      <c r="C68" s="341" t="str">
        <f>'תקציב החברה לפיתוח 2020'!C68</f>
        <v>הקמת אולם ספורט הנגיד הנדיב</v>
      </c>
      <c r="D68" s="199">
        <f>'תקציב החברה לפיתוח 2020'!D68</f>
        <v>20000000</v>
      </c>
      <c r="E68" s="199">
        <f>'תקציב החברה לפיתוח 2020'!E68</f>
        <v>20000000</v>
      </c>
      <c r="F68" s="199">
        <f>'תקציב החברה לפיתוח 2020'!F68</f>
        <v>0</v>
      </c>
      <c r="G68" s="199">
        <f>'תקציב החברה לפיתוח 2020'!G68</f>
        <v>2000000</v>
      </c>
      <c r="H68" s="199">
        <f>'תקציב החברה לפיתוח 2020'!H68</f>
        <v>0</v>
      </c>
      <c r="I68" s="199">
        <f>'תקציב החברה לפיתוח 2020'!I68</f>
        <v>0</v>
      </c>
      <c r="J68" s="199">
        <f>'תקציב החברה לפיתוח 2020'!J68</f>
        <v>97045.65</v>
      </c>
      <c r="K68" s="199">
        <f>'תקציב החברה לפיתוח 2020'!K68</f>
        <v>97045.65</v>
      </c>
      <c r="L68" s="199">
        <f>'תקציב החברה לפיתוח 2020'!L68</f>
        <v>97045.65</v>
      </c>
      <c r="M68" s="199">
        <f>'תקציב החברה לפיתוח 2020'!M68</f>
        <v>19902954.350000001</v>
      </c>
      <c r="N68" s="199">
        <f>'תקציב החברה לפיתוח 2020'!N68</f>
        <v>0</v>
      </c>
      <c r="O68" s="199">
        <f>'תקציב החברה לפיתוח 2020'!O68</f>
        <v>0</v>
      </c>
      <c r="P68" s="199">
        <f>'תקציב החברה לפיתוח 2020'!P68</f>
        <v>1902954.35</v>
      </c>
      <c r="Q68" s="199">
        <f>'תקציב החברה לפיתוח 2020'!Q68</f>
        <v>18000000</v>
      </c>
      <c r="R68" s="199">
        <f>'תקציב החברה לפיתוח 2020'!R68</f>
        <v>0</v>
      </c>
      <c r="S68" s="199">
        <f>'תקציב החברה לפיתוח 2020'!S68</f>
        <v>18000000</v>
      </c>
      <c r="T68" s="199">
        <f>'תקציב החברה לפיתוח 2020'!T68</f>
        <v>0</v>
      </c>
      <c r="U68" s="199">
        <f>'תקציב החברה לפיתוח 2020'!U68</f>
        <v>0</v>
      </c>
      <c r="V68" s="199">
        <f>'תקציב החברה לפיתוח 2020'!V68</f>
        <v>0</v>
      </c>
      <c r="W68" s="199">
        <f>'תקציב החברה לפיתוח 2020'!W68</f>
        <v>0</v>
      </c>
      <c r="X68" s="199">
        <f>'תקציב החברה לפיתוח 2020'!X68</f>
        <v>0</v>
      </c>
      <c r="Y68" s="199">
        <f>'תקציב החברה לפיתוח 2020'!Y68</f>
        <v>0</v>
      </c>
      <c r="Z68" s="199">
        <f>'תקציב החברה לפיתוח 2020'!Z68</f>
        <v>0</v>
      </c>
      <c r="AA68" s="341" t="str">
        <f>'תקציב החברה לפיתוח 2020'!AA68</f>
        <v xml:space="preserve">עבודות הקמת אולם ספורט בנגיד ובנדיב  כולל הריסת אולמות ומקלט קיימים. </v>
      </c>
      <c r="AB68" s="707">
        <f>'תקציב החברה לפיתוח 2020'!AB68</f>
        <v>829000</v>
      </c>
      <c r="AC68" s="191"/>
      <c r="AD68" s="191"/>
      <c r="AE68" s="624"/>
      <c r="AF68" s="627"/>
      <c r="AG68" s="331"/>
      <c r="AH68" s="331"/>
    </row>
    <row r="69" spans="1:37" s="202" customFormat="1" ht="41.4">
      <c r="A69" s="198">
        <f t="shared" si="0"/>
        <v>64</v>
      </c>
      <c r="B69" s="707">
        <f>'תקציב החברה לפיתוח 2020'!B69</f>
        <v>2023</v>
      </c>
      <c r="C69" s="341" t="str">
        <f>'תקציב החברה לפיתוח 2020'!C69</f>
        <v>גנ"י נווה עמל ציפורן מוריה</v>
      </c>
      <c r="D69" s="199">
        <f>'תקציב החברה לפיתוח 2020'!D69</f>
        <v>7340000</v>
      </c>
      <c r="E69" s="199">
        <f>'תקציב החברה לפיתוח 2020'!E69</f>
        <v>7340000</v>
      </c>
      <c r="F69" s="199">
        <f>'תקציב החברה לפיתוח 2020'!F69</f>
        <v>0</v>
      </c>
      <c r="G69" s="199">
        <f>'תקציב החברה לפיתוח 2020'!G69</f>
        <v>3000000</v>
      </c>
      <c r="H69" s="199">
        <f>'תקציב החברה לפיתוח 2020'!H69</f>
        <v>123926</v>
      </c>
      <c r="I69" s="199">
        <f>'תקציב החברה לפיתוח 2020'!I69</f>
        <v>0</v>
      </c>
      <c r="J69" s="199">
        <f>'תקציב החברה לפיתוח 2020'!J69</f>
        <v>101216.5</v>
      </c>
      <c r="K69" s="199">
        <f>'תקציב החברה לפיתוח 2020'!K69</f>
        <v>101216.5</v>
      </c>
      <c r="L69" s="199">
        <f>'תקציב החברה לפיתוח 2020'!L69</f>
        <v>225142.5</v>
      </c>
      <c r="M69" s="199">
        <f>'תקציב החברה לפיתוח 2020'!M69</f>
        <v>114857.5</v>
      </c>
      <c r="N69" s="199">
        <f>'תקציב החברה לפיתוח 2020'!N69</f>
        <v>0</v>
      </c>
      <c r="O69" s="199">
        <f>'תקציב החברה לפיתוח 2020'!O69</f>
        <v>7000000</v>
      </c>
      <c r="P69" s="199">
        <f>'תקציב החברה לפיתוח 2020'!P69</f>
        <v>2774857.5</v>
      </c>
      <c r="Q69" s="199">
        <f>'תקציב החברה לפיתוח 2020'!Q69</f>
        <v>0</v>
      </c>
      <c r="R69" s="199">
        <f>'תקציב החברה לפיתוח 2020'!R69</f>
        <v>0</v>
      </c>
      <c r="S69" s="199">
        <f>'תקציב החברה לפיתוח 2020'!S69</f>
        <v>0</v>
      </c>
      <c r="T69" s="199">
        <f>'תקציב החברה לפיתוח 2020'!T69</f>
        <v>2660000</v>
      </c>
      <c r="U69" s="199">
        <f>'תקציב החברה לפיתוח 2020'!U69</f>
        <v>-2660000</v>
      </c>
      <c r="V69" s="199">
        <f>'תקציב החברה לפיתוח 2020'!V69</f>
        <v>-2660000</v>
      </c>
      <c r="W69" s="199">
        <f>'תקציב החברה לפיתוח 2020'!W69</f>
        <v>0</v>
      </c>
      <c r="X69" s="199">
        <f>'תקציב החברה לפיתוח 2020'!X69</f>
        <v>0</v>
      </c>
      <c r="Y69" s="199">
        <f>'תקציב החברה לפיתוח 2020'!Y69</f>
        <v>0</v>
      </c>
      <c r="Z69" s="199">
        <f>'תקציב החברה לפיתוח 2020'!Z69</f>
        <v>0</v>
      </c>
      <c r="AA69" s="341" t="str">
        <f>'תקציב החברה לפיתוח 2020'!AA69</f>
        <v>בניית גנ"י בנווה עמל. חלקות בבעלות רמ"י. נדחה עד הכרת מ. החינוך והסכם חכירה רמ"י.</v>
      </c>
      <c r="AB69" s="707">
        <f>'תקציב החברה לפיתוח 2020'!AB69</f>
        <v>810000</v>
      </c>
      <c r="AC69" s="191"/>
      <c r="AD69" s="191"/>
      <c r="AE69" s="624"/>
      <c r="AF69" s="627"/>
      <c r="AG69" s="331"/>
      <c r="AH69" s="331"/>
    </row>
    <row r="70" spans="1:37" s="202" customFormat="1" ht="35.1" customHeight="1">
      <c r="A70" s="198">
        <f t="shared" si="0"/>
        <v>65</v>
      </c>
      <c r="B70" s="707">
        <f>'תקציב החברה לפיתוח 2020'!B70</f>
        <v>2024</v>
      </c>
      <c r="C70" s="341" t="str">
        <f>'תקציב החברה לפיתוח 2020'!C70</f>
        <v>גנ"י מרכז ויצמן תמר תאנה</v>
      </c>
      <c r="D70" s="199">
        <f>'תקציב החברה לפיתוח 2020'!D70</f>
        <v>7340000</v>
      </c>
      <c r="E70" s="199">
        <f>'תקציב החברה לפיתוח 2020'!E70</f>
        <v>7340000</v>
      </c>
      <c r="F70" s="199">
        <f>'תקציב החברה לפיתוח 2020'!F70</f>
        <v>0</v>
      </c>
      <c r="G70" s="199">
        <f>'תקציב החברה לפיתוח 2020'!G70</f>
        <v>700000</v>
      </c>
      <c r="H70" s="199">
        <f>'תקציב החברה לפיתוח 2020'!H70</f>
        <v>125012</v>
      </c>
      <c r="I70" s="199">
        <f>'תקציב החברה לפיתוח 2020'!I70</f>
        <v>0</v>
      </c>
      <c r="J70" s="199">
        <f>'תקציב החברה לפיתוח 2020'!J70</f>
        <v>117459.94</v>
      </c>
      <c r="K70" s="199">
        <f>'תקציב החברה לפיתוח 2020'!K70</f>
        <v>117459.94</v>
      </c>
      <c r="L70" s="199">
        <f>'תקציב החברה לפיתוח 2020'!L70</f>
        <v>242471.94</v>
      </c>
      <c r="M70" s="199">
        <f>'תקציב החברה לפיתוח 2020'!M70</f>
        <v>457528.06</v>
      </c>
      <c r="N70" s="199">
        <f>'תקציב החברה לפיתוח 2020'!N70</f>
        <v>6640000</v>
      </c>
      <c r="O70" s="199">
        <f>'תקציב החברה לפיתוח 2020'!O70</f>
        <v>0</v>
      </c>
      <c r="P70" s="199">
        <f>'תקציב החברה לפיתוח 2020'!P70</f>
        <v>457528.06</v>
      </c>
      <c r="Q70" s="199">
        <f>'תקציב החברה לפיתוח 2020'!Q70</f>
        <v>0</v>
      </c>
      <c r="R70" s="199">
        <f>'תקציב החברה לפיתוח 2020'!R70</f>
        <v>0</v>
      </c>
      <c r="S70" s="199">
        <f>'תקציב החברה לפיתוח 2020'!S70</f>
        <v>0</v>
      </c>
      <c r="T70" s="199">
        <f>'תקציב החברה לפיתוח 2020'!T70</f>
        <v>0</v>
      </c>
      <c r="U70" s="199">
        <f>'תקציב החברה לפיתוח 2020'!U70</f>
        <v>6640000</v>
      </c>
      <c r="V70" s="199">
        <f>'תקציב החברה לפיתוח 2020'!V70</f>
        <v>6640000</v>
      </c>
      <c r="W70" s="199">
        <f>'תקציב החברה לפיתוח 2020'!W70</f>
        <v>0</v>
      </c>
      <c r="X70" s="199">
        <f>'תקציב החברה לפיתוח 2020'!X70</f>
        <v>0</v>
      </c>
      <c r="Y70" s="199">
        <f>'תקציב החברה לפיתוח 2020'!Y70</f>
        <v>0</v>
      </c>
      <c r="Z70" s="199">
        <f>'תקציב החברה לפיתוח 2020'!Z70</f>
        <v>0</v>
      </c>
      <c r="AA70" s="341" t="str">
        <f>'תקציב החברה לפיתוח 2020'!AA70</f>
        <v>בניית גנ"י בויצמן. פינסקר פינת מנדלבלט.</v>
      </c>
      <c r="AB70" s="707">
        <f>'תקציב החברה לפיתוח 2020'!AB70</f>
        <v>810000</v>
      </c>
      <c r="AC70" s="191"/>
      <c r="AD70" s="191"/>
      <c r="AE70" s="624"/>
      <c r="AF70" s="627"/>
      <c r="AG70" s="331"/>
      <c r="AH70" s="331"/>
    </row>
    <row r="71" spans="1:37" s="202" customFormat="1" ht="19.95" customHeight="1">
      <c r="A71" s="198">
        <f t="shared" si="0"/>
        <v>66</v>
      </c>
      <c r="B71" s="707">
        <f>'תקציב החברה לפיתוח 2020'!B71</f>
        <v>2025</v>
      </c>
      <c r="C71" s="341" t="str">
        <f>'תקציב החברה לפיתוח 2020'!C71</f>
        <v>גן ילדים מתחם זרובבל</v>
      </c>
      <c r="D71" s="199">
        <f>'תקציב החברה לפיתוח 2020'!D71</f>
        <v>2600000</v>
      </c>
      <c r="E71" s="199">
        <f>'תקציב החברה לפיתוח 2020'!E71</f>
        <v>2600000</v>
      </c>
      <c r="F71" s="199">
        <f>'תקציב החברה לפיתוח 2020'!F71</f>
        <v>0</v>
      </c>
      <c r="G71" s="199">
        <f>'תקציב החברה לפיתוח 2020'!G71</f>
        <v>1600000</v>
      </c>
      <c r="H71" s="199">
        <f>'תקציב החברה לפיתוח 2020'!H71</f>
        <v>102209</v>
      </c>
      <c r="I71" s="199">
        <f>'תקציב החברה לפיתוח 2020'!I71</f>
        <v>0</v>
      </c>
      <c r="J71" s="199">
        <f>'תקציב החברה לפיתוח 2020'!J71</f>
        <v>43328.59</v>
      </c>
      <c r="K71" s="199">
        <f>'תקציב החברה לפיתוח 2020'!K71</f>
        <v>43328.59</v>
      </c>
      <c r="L71" s="199">
        <f>'תקציב החברה לפיתוח 2020'!L71</f>
        <v>145537.59</v>
      </c>
      <c r="M71" s="199">
        <f>'תקציב החברה לפיתוח 2020'!M71</f>
        <v>2454462.41</v>
      </c>
      <c r="N71" s="199">
        <f>'תקציב החברה לפיתוח 2020'!N71</f>
        <v>0</v>
      </c>
      <c r="O71" s="199">
        <f>'תקציב החברה לפיתוח 2020'!O71</f>
        <v>0</v>
      </c>
      <c r="P71" s="199">
        <f>'תקציב החברה לפיתוח 2020'!P71</f>
        <v>1454462.41</v>
      </c>
      <c r="Q71" s="199">
        <f>'תקציב החברה לפיתוח 2020'!Q71</f>
        <v>1000000</v>
      </c>
      <c r="R71" s="199">
        <f>'תקציב החברה לפיתוח 2020'!R71</f>
        <v>0</v>
      </c>
      <c r="S71" s="199">
        <f>'תקציב החברה לפיתוח 2020'!S71</f>
        <v>1000000</v>
      </c>
      <c r="T71" s="199">
        <f>'תקציב החברה לפיתוח 2020'!T71</f>
        <v>0</v>
      </c>
      <c r="U71" s="199">
        <f>'תקציב החברה לפיתוח 2020'!U71</f>
        <v>0</v>
      </c>
      <c r="V71" s="199">
        <f>'תקציב החברה לפיתוח 2020'!V71</f>
        <v>0</v>
      </c>
      <c r="W71" s="199">
        <f>'תקציב החברה לפיתוח 2020'!W71</f>
        <v>0</v>
      </c>
      <c r="X71" s="199">
        <f>'תקציב החברה לפיתוח 2020'!X71</f>
        <v>0</v>
      </c>
      <c r="Y71" s="199">
        <f>'תקציב החברה לפיתוח 2020'!Y71</f>
        <v>0</v>
      </c>
      <c r="Z71" s="199">
        <f>'תקציב החברה לפיתוח 2020'!Z71</f>
        <v>0</v>
      </c>
      <c r="AA71" s="341" t="str">
        <f>'תקציב החברה לפיתוח 2020'!AA71</f>
        <v>בניית גן ילדים במתחם זרובבל.</v>
      </c>
      <c r="AB71" s="707">
        <f>'תקציב החברה לפיתוח 2020'!AB71</f>
        <v>810000</v>
      </c>
      <c r="AC71" s="191"/>
      <c r="AD71" s="191"/>
      <c r="AE71" s="624"/>
      <c r="AF71" s="627"/>
      <c r="AG71" s="331"/>
      <c r="AH71" s="331"/>
    </row>
    <row r="72" spans="1:37" s="202" customFormat="1" ht="19.95" customHeight="1">
      <c r="A72" s="198">
        <f t="shared" ref="A72:A105" si="1">A71+1</f>
        <v>67</v>
      </c>
      <c r="B72" s="707">
        <f>'תקציב החברה לפיתוח 2020'!B72</f>
        <v>2026</v>
      </c>
      <c r="C72" s="341" t="str">
        <f>'תקציב החברה לפיתוח 2020'!C72</f>
        <v>גן רשל, גנ"י בבי"ס אילנות</v>
      </c>
      <c r="D72" s="199">
        <f>'תקציב החברה לפיתוח 2020'!D72</f>
        <v>8200000</v>
      </c>
      <c r="E72" s="199">
        <f>'תקציב החברה לפיתוח 2020'!E72</f>
        <v>8200000</v>
      </c>
      <c r="F72" s="199">
        <f>'תקציב החברה לפיתוח 2020'!F72</f>
        <v>0</v>
      </c>
      <c r="G72" s="199">
        <f>'תקציב החברה לפיתוח 2020'!G72</f>
        <v>4700000</v>
      </c>
      <c r="H72" s="199">
        <f>'תקציב החברה לפיתוח 2020'!H72</f>
        <v>1894216</v>
      </c>
      <c r="I72" s="199">
        <f>'תקציב החברה לפיתוח 2020'!I72</f>
        <v>0</v>
      </c>
      <c r="J72" s="199">
        <f>'תקציב החברה לפיתוח 2020'!J72</f>
        <v>1769986.1</v>
      </c>
      <c r="K72" s="199">
        <f>'תקציב החברה לפיתוח 2020'!K72</f>
        <v>1769986.1</v>
      </c>
      <c r="L72" s="199">
        <f>'תקציב החברה לפיתוח 2020'!L72</f>
        <v>3664202.1</v>
      </c>
      <c r="M72" s="199">
        <f>'תקציב החברה לפיתוח 2020'!M72</f>
        <v>4535797.9000000004</v>
      </c>
      <c r="N72" s="199">
        <f>'תקציב החברה לפיתוח 2020'!N72</f>
        <v>0</v>
      </c>
      <c r="O72" s="199">
        <f>'תקציב החברה לפיתוח 2020'!O72</f>
        <v>0</v>
      </c>
      <c r="P72" s="199">
        <f>'תקציב החברה לפיתוח 2020'!P72</f>
        <v>1035797.8999999999</v>
      </c>
      <c r="Q72" s="199">
        <f>'תקציב החברה לפיתוח 2020'!Q72</f>
        <v>3500000</v>
      </c>
      <c r="R72" s="199">
        <f>'תקציב החברה לפיתוח 2020'!R72</f>
        <v>0</v>
      </c>
      <c r="S72" s="199">
        <f>'תקציב החברה לפיתוח 2020'!S72</f>
        <v>3500000</v>
      </c>
      <c r="T72" s="199">
        <f>'תקציב החברה לפיתוח 2020'!T72</f>
        <v>0</v>
      </c>
      <c r="U72" s="199">
        <f>'תקציב החברה לפיתוח 2020'!U72</f>
        <v>0</v>
      </c>
      <c r="V72" s="199">
        <f>'תקציב החברה לפיתוח 2020'!V72</f>
        <v>0</v>
      </c>
      <c r="W72" s="199">
        <f>'תקציב החברה לפיתוח 2020'!W72</f>
        <v>0</v>
      </c>
      <c r="X72" s="199">
        <f>'תקציב החברה לפיתוח 2020'!X72</f>
        <v>0</v>
      </c>
      <c r="Y72" s="199">
        <f>'תקציב החברה לפיתוח 2020'!Y72</f>
        <v>0</v>
      </c>
      <c r="Z72" s="199">
        <f>'תקציב החברה לפיתוח 2020'!Z72</f>
        <v>0</v>
      </c>
      <c r="AA72" s="341" t="str">
        <f>'תקציב החברה לפיתוח 2020'!AA72</f>
        <v>בניית גנ"י - גן רשל ובב"ס אילנות.</v>
      </c>
      <c r="AB72" s="707">
        <f>'תקציב החברה לפיתוח 2020'!AB72</f>
        <v>810000</v>
      </c>
      <c r="AC72" s="191"/>
      <c r="AD72" s="191"/>
      <c r="AE72" s="624"/>
      <c r="AF72" s="627"/>
      <c r="AG72" s="331"/>
      <c r="AH72" s="331"/>
    </row>
    <row r="73" spans="1:37" s="5" customFormat="1" ht="19.95" customHeight="1">
      <c r="A73" s="198">
        <f t="shared" si="1"/>
        <v>68</v>
      </c>
      <c r="B73" s="707">
        <f>'תקציב החברה לפיתוח 2020'!B73</f>
        <v>2051</v>
      </c>
      <c r="C73" s="341" t="str">
        <f>'תקציב החברה לפיתוח 2020'!C73</f>
        <v>חורשת אקליפטוסים נחלת עדה</v>
      </c>
      <c r="D73" s="199">
        <f>'תקציב החברה לפיתוח 2020'!D73</f>
        <v>2600000</v>
      </c>
      <c r="E73" s="199">
        <f>'תקציב החברה לפיתוח 2020'!E73</f>
        <v>2600000</v>
      </c>
      <c r="F73" s="199">
        <f>'תקציב החברה לפיתוח 2020'!F73</f>
        <v>0</v>
      </c>
      <c r="G73" s="199">
        <f>'תקציב החברה לפיתוח 2020'!G73</f>
        <v>400000</v>
      </c>
      <c r="H73" s="199">
        <f>'תקציב החברה לפיתוח 2020'!H73</f>
        <v>64727.01</v>
      </c>
      <c r="I73" s="199">
        <f>'תקציב החברה לפיתוח 2020'!I73</f>
        <v>26325</v>
      </c>
      <c r="J73" s="199">
        <f>'תקציב החברה לפיתוח 2020'!J73</f>
        <v>36365.06</v>
      </c>
      <c r="K73" s="199">
        <f>'תקציב החברה לפיתוח 2020'!K73</f>
        <v>62690.06</v>
      </c>
      <c r="L73" s="199">
        <f>'תקציב החברה לפיתוח 2020'!L73</f>
        <v>127417.07</v>
      </c>
      <c r="M73" s="199">
        <f>'תקציב החברה לפיתוח 2020'!M73</f>
        <v>272582.93</v>
      </c>
      <c r="N73" s="199">
        <f>'תקציב החברה לפיתוח 2020'!N73</f>
        <v>0</v>
      </c>
      <c r="O73" s="199">
        <f>'תקציב החברה לפיתוח 2020'!O73</f>
        <v>2200000</v>
      </c>
      <c r="P73" s="199">
        <f>'תקציב החברה לפיתוח 2020'!P73</f>
        <v>272582.93</v>
      </c>
      <c r="Q73" s="199">
        <f>'תקציב החברה לפיתוח 2020'!Q73</f>
        <v>0</v>
      </c>
      <c r="R73" s="199">
        <f>'תקציב החברה לפיתוח 2020'!R73</f>
        <v>0</v>
      </c>
      <c r="S73" s="199">
        <f>'תקציב החברה לפיתוח 2020'!S73</f>
        <v>0</v>
      </c>
      <c r="T73" s="199">
        <f>'תקציב החברה לפיתוח 2020'!T73</f>
        <v>0</v>
      </c>
      <c r="U73" s="199">
        <f>'תקציב החברה לפיתוח 2020'!U73</f>
        <v>0</v>
      </c>
      <c r="V73" s="199">
        <f>'תקציב החברה לפיתוח 2020'!V73</f>
        <v>0</v>
      </c>
      <c r="W73" s="199">
        <f>'תקציב החברה לפיתוח 2020'!W73</f>
        <v>0</v>
      </c>
      <c r="X73" s="199">
        <f>'תקציב החברה לפיתוח 2020'!X73</f>
        <v>0</v>
      </c>
      <c r="Y73" s="199">
        <f>'תקציב החברה לפיתוח 2020'!Y73</f>
        <v>0</v>
      </c>
      <c r="Z73" s="199">
        <f>'תקציב החברה לפיתוח 2020'!Z73</f>
        <v>0</v>
      </c>
      <c r="AA73" s="341" t="str">
        <f>'תקציב החברה לפיתוח 2020'!AA73</f>
        <v xml:space="preserve">עבר משאיפה/איכות הסביבה. </v>
      </c>
      <c r="AB73" s="707">
        <f>'תקציב החברה לפיתוח 2020'!AB73</f>
        <v>746000</v>
      </c>
      <c r="AC73" s="191"/>
      <c r="AD73" s="191"/>
    </row>
    <row r="74" spans="1:37" ht="41.4">
      <c r="A74" s="198">
        <f t="shared" si="1"/>
        <v>69</v>
      </c>
      <c r="B74" s="707">
        <f>'תקציב החברה לפיתוח 2020'!B74</f>
        <v>2058</v>
      </c>
      <c r="C74" s="341" t="str">
        <f>'תקציב החברה לפיתוח 2020'!C74</f>
        <v>תוספת גלריה אולם היכל אומ.הבמה</v>
      </c>
      <c r="D74" s="199">
        <f>'תקציב החברה לפיתוח 2020'!D74</f>
        <v>2330000</v>
      </c>
      <c r="E74" s="199">
        <f>'תקציב החברה לפיתוח 2020'!E74</f>
        <v>2330000</v>
      </c>
      <c r="F74" s="199">
        <f>'תקציב החברה לפיתוח 2020'!F74</f>
        <v>0</v>
      </c>
      <c r="G74" s="199">
        <f>'תקציב החברה לפיתוח 2020'!G74</f>
        <v>130000</v>
      </c>
      <c r="H74" s="199">
        <f>'תקציב החברה לפיתוח 2020'!H74</f>
        <v>21083</v>
      </c>
      <c r="I74" s="199">
        <f>'תקציב החברה לפיתוח 2020'!I74</f>
        <v>0</v>
      </c>
      <c r="J74" s="199">
        <f>'תקציב החברה לפיתוח 2020'!J74</f>
        <v>103715.82</v>
      </c>
      <c r="K74" s="199">
        <f>'תקציב החברה לפיתוח 2020'!K74</f>
        <v>103715.82</v>
      </c>
      <c r="L74" s="199">
        <f>'תקציב החברה לפיתוח 2020'!L74</f>
        <v>124798.82</v>
      </c>
      <c r="M74" s="199">
        <f>'תקציב החברה לפיתוח 2020'!M74</f>
        <v>5201.179999999993</v>
      </c>
      <c r="N74" s="199">
        <f>'תקציב החברה לפיתוח 2020'!N74</f>
        <v>0</v>
      </c>
      <c r="O74" s="199">
        <f>'תקציב החברה לפיתוח 2020'!O74</f>
        <v>2200000</v>
      </c>
      <c r="P74" s="199">
        <f>'תקציב החברה לפיתוח 2020'!P74</f>
        <v>5201.179999999993</v>
      </c>
      <c r="Q74" s="199">
        <f>'תקציב החברה לפיתוח 2020'!Q74</f>
        <v>0</v>
      </c>
      <c r="R74" s="199">
        <f>'תקציב החברה לפיתוח 2020'!R74</f>
        <v>0</v>
      </c>
      <c r="S74" s="199">
        <f>'תקציב החברה לפיתוח 2020'!S74</f>
        <v>0</v>
      </c>
      <c r="T74" s="199">
        <f>'תקציב החברה לפיתוח 2020'!T74</f>
        <v>0</v>
      </c>
      <c r="U74" s="199">
        <f>'תקציב החברה לפיתוח 2020'!U74</f>
        <v>0</v>
      </c>
      <c r="V74" s="199">
        <f>'תקציב החברה לפיתוח 2020'!V74</f>
        <v>0</v>
      </c>
      <c r="W74" s="199">
        <f>'תקציב החברה לפיתוח 2020'!W74</f>
        <v>0</v>
      </c>
      <c r="X74" s="199">
        <f>'תקציב החברה לפיתוח 2020'!X74</f>
        <v>0</v>
      </c>
      <c r="Y74" s="199">
        <f>'תקציב החברה לפיתוח 2020'!Y74</f>
        <v>0</v>
      </c>
      <c r="Z74" s="199">
        <f>'תקציב החברה לפיתוח 2020'!Z74</f>
        <v>0</v>
      </c>
      <c r="AA74" s="341" t="str">
        <f>'תקציב החברה לפיתוח 2020'!AA74</f>
        <v>תוספת גלריה בהיכל אומנויות הבמה. בשלבי תכנון והיתר. הביצוע מתוכנן ב - 2021.</v>
      </c>
      <c r="AB74" s="707">
        <f>'תקציב החברה לפיתוח 2020'!AB74</f>
        <v>826000</v>
      </c>
      <c r="AE74" s="624"/>
      <c r="AF74" s="627"/>
    </row>
    <row r="75" spans="1:37" ht="27.6">
      <c r="A75" s="198">
        <f t="shared" si="1"/>
        <v>70</v>
      </c>
      <c r="B75" s="707">
        <f>'תקציב החברה לפיתוח 2020'!B75</f>
        <v>2059</v>
      </c>
      <c r="C75" s="341" t="str">
        <f>'תקציב החברה לפיתוח 2020'!C75</f>
        <v>פיתוח מתחם מבנה משכן אומנים</v>
      </c>
      <c r="D75" s="199">
        <f>'תקציב החברה לפיתוח 2020'!D75</f>
        <v>2610000</v>
      </c>
      <c r="E75" s="199">
        <f>'תקציב החברה לפיתוח 2020'!E75</f>
        <v>2610000</v>
      </c>
      <c r="F75" s="199">
        <f>'תקציב החברה לפיתוח 2020'!F75</f>
        <v>0</v>
      </c>
      <c r="G75" s="199">
        <f>'תקציב החברה לפיתוח 2020'!G75</f>
        <v>350000</v>
      </c>
      <c r="H75" s="199">
        <f>'תקציב החברה לפיתוח 2020'!H75</f>
        <v>34343</v>
      </c>
      <c r="I75" s="199">
        <f>'תקציב החברה לפיתוח 2020'!I75</f>
        <v>0</v>
      </c>
      <c r="J75" s="199">
        <f>'תקציב החברה לפיתוח 2020'!J75</f>
        <v>312012.25</v>
      </c>
      <c r="K75" s="199">
        <f>'תקציב החברה לפיתוח 2020'!K75</f>
        <v>312012.25</v>
      </c>
      <c r="L75" s="199">
        <f>'תקציב החברה לפיתוח 2020'!L75</f>
        <v>346355.25</v>
      </c>
      <c r="M75" s="199">
        <f>'תקציב החברה לפיתוח 2020'!M75</f>
        <v>3644.75</v>
      </c>
      <c r="N75" s="199">
        <f>'תקציב החברה לפיתוח 2020'!N75</f>
        <v>500000</v>
      </c>
      <c r="O75" s="199">
        <f>'תקציב החברה לפיתוח 2020'!O75</f>
        <v>1760000</v>
      </c>
      <c r="P75" s="199">
        <f>'תקציב החברה לפיתוח 2020'!P75</f>
        <v>3644.75</v>
      </c>
      <c r="Q75" s="199">
        <f>'תקציב החברה לפיתוח 2020'!Q75</f>
        <v>0</v>
      </c>
      <c r="R75" s="199">
        <f>'תקציב החברה לפיתוח 2020'!R75</f>
        <v>0</v>
      </c>
      <c r="S75" s="199">
        <f>'תקציב החברה לפיתוח 2020'!S75</f>
        <v>0</v>
      </c>
      <c r="T75" s="199">
        <f>'תקציב החברה לפיתוח 2020'!T75</f>
        <v>0</v>
      </c>
      <c r="U75" s="199">
        <f>'תקציב החברה לפיתוח 2020'!U75</f>
        <v>500000</v>
      </c>
      <c r="V75" s="199">
        <f>'תקציב החברה לפיתוח 2020'!V75</f>
        <v>500000</v>
      </c>
      <c r="W75" s="199">
        <f>'תקציב החברה לפיתוח 2020'!W75</f>
        <v>0</v>
      </c>
      <c r="X75" s="199">
        <f>'תקציב החברה לפיתוח 2020'!X75</f>
        <v>0</v>
      </c>
      <c r="Y75" s="199">
        <f>'תקציב החברה לפיתוח 2020'!Y75</f>
        <v>0</v>
      </c>
      <c r="Z75" s="199">
        <f>'תקציב החברה לפיתוח 2020'!Z75</f>
        <v>0</v>
      </c>
      <c r="AA75" s="341" t="str">
        <f>'תקציב החברה לפיתוח 2020'!AA75</f>
        <v xml:space="preserve">פיתוח מתחם ומבנה משכן האומנים. </v>
      </c>
      <c r="AB75" s="707">
        <f>'תקציב החברה לפיתוח 2020'!AB75</f>
        <v>826000</v>
      </c>
      <c r="AE75" s="624"/>
      <c r="AF75" s="627"/>
    </row>
    <row r="76" spans="1:37" ht="27.6">
      <c r="A76" s="198">
        <f t="shared" si="1"/>
        <v>71</v>
      </c>
      <c r="B76" s="707">
        <f>'תקציב החברה לפיתוח 2020'!B76</f>
        <v>2064</v>
      </c>
      <c r="C76" s="341" t="str">
        <f>'תקציב החברה לפיתוח 2020'!C76</f>
        <v>שיפוץ אולם ספורט היובל</v>
      </c>
      <c r="D76" s="199">
        <f>'תקציב החברה לפיתוח 2020'!D76</f>
        <v>6281000</v>
      </c>
      <c r="E76" s="199">
        <f>'תקציב החברה לפיתוח 2020'!E76</f>
        <v>6417000</v>
      </c>
      <c r="F76" s="199">
        <f>'תקציב החברה לפיתוח 2020'!F76</f>
        <v>-136000</v>
      </c>
      <c r="G76" s="199">
        <f>'תקציב החברה לפיתוח 2020'!G76</f>
        <v>864000</v>
      </c>
      <c r="H76" s="199">
        <f>'תקציב החברה לפיתוח 2020'!H76</f>
        <v>804306</v>
      </c>
      <c r="I76" s="199">
        <f>'תקציב החברה לפיתוח 2020'!I76</f>
        <v>0</v>
      </c>
      <c r="J76" s="199">
        <f>'תקציב החברה לפיתוח 2020'!J76</f>
        <v>21262.06</v>
      </c>
      <c r="K76" s="199">
        <f>'תקציב החברה לפיתוח 2020'!K76</f>
        <v>21262.06</v>
      </c>
      <c r="L76" s="199">
        <f>'תקציב החברה לפיתוח 2020'!L76</f>
        <v>825568.06</v>
      </c>
      <c r="M76" s="199">
        <f>'תקציב החברה לפיתוח 2020'!M76</f>
        <v>38431.939999999944</v>
      </c>
      <c r="N76" s="199">
        <f>'תקציב החברה לפיתוח 2020'!N76</f>
        <v>5417000</v>
      </c>
      <c r="O76" s="199">
        <f>'תקציב החברה לפיתוח 2020'!O76</f>
        <v>0</v>
      </c>
      <c r="P76" s="199">
        <f>'תקציב החברה לפיתוח 2020'!P76</f>
        <v>38431.939999999944</v>
      </c>
      <c r="Q76" s="199">
        <f>'תקציב החברה לפיתוח 2020'!Q76</f>
        <v>0</v>
      </c>
      <c r="R76" s="199">
        <f>'תקציב החברה לפיתוח 2020'!R76</f>
        <v>0</v>
      </c>
      <c r="S76" s="199">
        <f>'תקציב החברה לפיתוח 2020'!S76</f>
        <v>0</v>
      </c>
      <c r="T76" s="199">
        <f>'תקציב החברה לפיתוח 2020'!T76</f>
        <v>0</v>
      </c>
      <c r="U76" s="199">
        <f>'תקציב החברה לפיתוח 2020'!U76</f>
        <v>5417000</v>
      </c>
      <c r="V76" s="199">
        <f>'תקציב החברה לפיתוח 2020'!V76</f>
        <v>5417000</v>
      </c>
      <c r="W76" s="199">
        <f>'תקציב החברה לפיתוח 2020'!W76</f>
        <v>0</v>
      </c>
      <c r="X76" s="199">
        <f>'תקציב החברה לפיתוח 2020'!X76</f>
        <v>0</v>
      </c>
      <c r="Y76" s="199">
        <f>'תקציב החברה לפיתוח 2020'!Y76</f>
        <v>0</v>
      </c>
      <c r="Z76" s="199">
        <f>'תקציב החברה לפיתוח 2020'!Z76</f>
        <v>0</v>
      </c>
      <c r="AA76" s="341" t="str">
        <f>'תקציב החברה לפיתוח 2020'!AA76</f>
        <v xml:space="preserve">שיפוץ אולם ספורט היובל כולל פיתוח המבואה והמתחם. </v>
      </c>
      <c r="AB76" s="707">
        <f>'תקציב החברה לפיתוח 2020'!AB76</f>
        <v>829000</v>
      </c>
      <c r="AE76" s="624"/>
      <c r="AF76" s="627"/>
    </row>
    <row r="77" spans="1:37" ht="27.6">
      <c r="A77" s="198">
        <f t="shared" si="1"/>
        <v>72</v>
      </c>
      <c r="B77" s="707">
        <f>'תקציב החברה לפיתוח 2020'!B77</f>
        <v>2073</v>
      </c>
      <c r="C77" s="341" t="str">
        <f>'תקציב החברה לפיתוח 2020'!C77</f>
        <v xml:space="preserve">אולם ספורט ויצמן  תכנון וביצוע </v>
      </c>
      <c r="D77" s="199">
        <f>'תקציב החברה לפיתוח 2020'!D77</f>
        <v>11350000</v>
      </c>
      <c r="E77" s="199">
        <f>'תקציב החברה לפיתוח 2020'!E77</f>
        <v>11350000</v>
      </c>
      <c r="F77" s="199">
        <f>'תקציב החברה לפיתוח 2020'!F77</f>
        <v>0</v>
      </c>
      <c r="G77" s="199">
        <f>'תקציב החברה לפיתוח 2020'!G77</f>
        <v>350000</v>
      </c>
      <c r="H77" s="199">
        <f>'תקציב החברה לפיתוח 2020'!H77</f>
        <v>23564</v>
      </c>
      <c r="I77" s="199">
        <f>'תקציב החברה לפיתוח 2020'!I77</f>
        <v>0</v>
      </c>
      <c r="J77" s="199">
        <f>'תקציב החברה לפיתוח 2020'!J77</f>
        <v>93436.2</v>
      </c>
      <c r="K77" s="199">
        <f>'תקציב החברה לפיתוח 2020'!K77</f>
        <v>93436.2</v>
      </c>
      <c r="L77" s="199">
        <f>'תקציב החברה לפיתוח 2020'!L77</f>
        <v>117000.2</v>
      </c>
      <c r="M77" s="199">
        <f>'תקציב החברה לפיתוח 2020'!M77</f>
        <v>732999.8</v>
      </c>
      <c r="N77" s="199">
        <f>'תקציב החברה לפיתוח 2020'!N77</f>
        <v>10500000</v>
      </c>
      <c r="O77" s="199">
        <f>'תקציב החברה לפיתוח 2020'!O77</f>
        <v>0</v>
      </c>
      <c r="P77" s="199">
        <f>'תקציב החברה לפיתוח 2020'!P77</f>
        <v>232999.8</v>
      </c>
      <c r="Q77" s="199">
        <f>'תקציב החברה לפיתוח 2020'!Q77</f>
        <v>500000</v>
      </c>
      <c r="R77" s="199">
        <f>'תקציב החברה לפיתוח 2020'!R77</f>
        <v>0</v>
      </c>
      <c r="S77" s="199">
        <f>'תקציב החברה לפיתוח 2020'!S77</f>
        <v>500000</v>
      </c>
      <c r="T77" s="199">
        <f>'תקציב החברה לפיתוח 2020'!T77</f>
        <v>0</v>
      </c>
      <c r="U77" s="199">
        <f>'תקציב החברה לפיתוח 2020'!U77</f>
        <v>10500000</v>
      </c>
      <c r="V77" s="199">
        <f>'תקציב החברה לפיתוח 2020'!V77</f>
        <v>10500000</v>
      </c>
      <c r="W77" s="199">
        <f>'תקציב החברה לפיתוח 2020'!W77</f>
        <v>0</v>
      </c>
      <c r="X77" s="199">
        <f>'תקציב החברה לפיתוח 2020'!X77</f>
        <v>0</v>
      </c>
      <c r="Y77" s="199">
        <f>'תקציב החברה לפיתוח 2020'!Y77</f>
        <v>0</v>
      </c>
      <c r="Z77" s="199">
        <f>'תקציב החברה לפיתוח 2020'!Z77</f>
        <v>0</v>
      </c>
      <c r="AA77" s="341" t="str">
        <f>'תקציב החברה לפיתוח 2020'!AA77</f>
        <v>בניית אולם ספורט בבי"ס ויצמן. ב - 2020: ביצוע.</v>
      </c>
      <c r="AB77" s="707">
        <f>'תקציב החברה לפיתוח 2020'!AB77</f>
        <v>829000</v>
      </c>
      <c r="AE77" s="624"/>
      <c r="AF77" s="627"/>
    </row>
    <row r="78" spans="1:37" ht="27.6">
      <c r="A78" s="198">
        <f t="shared" si="1"/>
        <v>73</v>
      </c>
      <c r="B78" s="707">
        <f>'תקציב החברה לפיתוח 2020'!B78</f>
        <v>2076</v>
      </c>
      <c r="C78" s="341" t="str">
        <f>'תקציב החברה לפיתוח 2020'!C78</f>
        <v>עבודות פיתוח בכנ"ס אברהם אבינו</v>
      </c>
      <c r="D78" s="199">
        <f>'תקציב החברה לפיתוח 2020'!D78</f>
        <v>1450000</v>
      </c>
      <c r="E78" s="199">
        <f>'תקציב החברה לפיתוח 2020'!E78</f>
        <v>1450000</v>
      </c>
      <c r="F78" s="199">
        <f>'תקציב החברה לפיתוח 2020'!F78</f>
        <v>0</v>
      </c>
      <c r="G78" s="199">
        <f>'תקציב החברה לפיתוח 2020'!G78</f>
        <v>250000</v>
      </c>
      <c r="H78" s="199">
        <f>'תקציב החברה לפיתוח 2020'!H78</f>
        <v>10108</v>
      </c>
      <c r="I78" s="199">
        <f>'תקציב החברה לפיתוח 2020'!I78</f>
        <v>0</v>
      </c>
      <c r="J78" s="199">
        <f>'תקציב החברה לפיתוח 2020'!J78</f>
        <v>239890.95</v>
      </c>
      <c r="K78" s="199">
        <f>'תקציב החברה לפיתוח 2020'!K78</f>
        <v>239890.95</v>
      </c>
      <c r="L78" s="199">
        <f>'תקציב החברה לפיתוח 2020'!L78</f>
        <v>249998.95</v>
      </c>
      <c r="M78" s="199">
        <f>'תקציב החברה לפיתוח 2020'!M78</f>
        <v>1200001.05</v>
      </c>
      <c r="N78" s="199">
        <f>'תקציב החברה לפיתוח 2020'!N78</f>
        <v>0</v>
      </c>
      <c r="O78" s="199">
        <f>'תקציב החברה לפיתוח 2020'!O78</f>
        <v>0</v>
      </c>
      <c r="P78" s="199">
        <f>'תקציב החברה לפיתוח 2020'!P78</f>
        <v>1.0499999999883585</v>
      </c>
      <c r="Q78" s="199">
        <f>'תקציב החברה לפיתוח 2020'!Q78</f>
        <v>1200000</v>
      </c>
      <c r="R78" s="199">
        <f>'תקציב החברה לפיתוח 2020'!R78</f>
        <v>0</v>
      </c>
      <c r="S78" s="199">
        <f>'תקציב החברה לפיתוח 2020'!S78</f>
        <v>1200000</v>
      </c>
      <c r="T78" s="199">
        <f>'תקציב החברה לפיתוח 2020'!T78</f>
        <v>0</v>
      </c>
      <c r="U78" s="199">
        <f>'תקציב החברה לפיתוח 2020'!U78</f>
        <v>0</v>
      </c>
      <c r="V78" s="199">
        <f>'תקציב החברה לפיתוח 2020'!V78</f>
        <v>0</v>
      </c>
      <c r="W78" s="199">
        <f>'תקציב החברה לפיתוח 2020'!W78</f>
        <v>0</v>
      </c>
      <c r="X78" s="199">
        <f>'תקציב החברה לפיתוח 2020'!X78</f>
        <v>0</v>
      </c>
      <c r="Y78" s="199">
        <f>'תקציב החברה לפיתוח 2020'!Y78</f>
        <v>0</v>
      </c>
      <c r="Z78" s="199">
        <f>'תקציב החברה לפיתוח 2020'!Z78</f>
        <v>0</v>
      </c>
      <c r="AA78" s="341" t="str">
        <f>'תקציב החברה לפיתוח 2020'!AA78</f>
        <v>עבודות פיתוח ביכנ"ס "אברהם אבינו" בשכונת יד התשעה.</v>
      </c>
      <c r="AB78" s="707">
        <f>'תקציב החברה לפיתוח 2020'!AB78</f>
        <v>850000</v>
      </c>
      <c r="AE78" s="624"/>
      <c r="AF78" s="627"/>
    </row>
    <row r="79" spans="1:37" s="5" customFormat="1" ht="27.6">
      <c r="A79" s="198">
        <f t="shared" si="1"/>
        <v>74</v>
      </c>
      <c r="B79" s="707">
        <f>'תקציב החברה לפיתוח 2020'!B79</f>
        <v>2078</v>
      </c>
      <c r="C79" s="341" t="str">
        <f>'תקציב החברה לפיתוח 2020'!C79</f>
        <v>נילי - עבודות פיתוח והסדרת תנועה</v>
      </c>
      <c r="D79" s="199">
        <f>'תקציב החברה לפיתוח 2020'!D79</f>
        <v>4200000</v>
      </c>
      <c r="E79" s="199">
        <f>'תקציב החברה לפיתוח 2020'!E79</f>
        <v>4200000</v>
      </c>
      <c r="F79" s="199">
        <f>'תקציב החברה לפיתוח 2020'!F79</f>
        <v>0</v>
      </c>
      <c r="G79" s="199">
        <f>'תקציב החברה לפיתוח 2020'!G79</f>
        <v>150000</v>
      </c>
      <c r="H79" s="199">
        <f>'תקציב החברה לפיתוח 2020'!H79</f>
        <v>0</v>
      </c>
      <c r="I79" s="199">
        <f>'תקציב החברה לפיתוח 2020'!I79</f>
        <v>0</v>
      </c>
      <c r="J79" s="199">
        <f>'תקציב החברה לפיתוח 2020'!J79</f>
        <v>0</v>
      </c>
      <c r="K79" s="199">
        <f>'תקציב החברה לפיתוח 2020'!K79</f>
        <v>0</v>
      </c>
      <c r="L79" s="199">
        <f>'תקציב החברה לפיתוח 2020'!L79</f>
        <v>0</v>
      </c>
      <c r="M79" s="199">
        <f>'תקציב החברה לפיתוח 2020'!M79</f>
        <v>1960000</v>
      </c>
      <c r="N79" s="199">
        <f>'תקציב החברה לפיתוח 2020'!N79</f>
        <v>0</v>
      </c>
      <c r="O79" s="199">
        <f>'תקציב החברה לפיתוח 2020'!O79</f>
        <v>2240000</v>
      </c>
      <c r="P79" s="199">
        <f>'תקציב החברה לפיתוח 2020'!P79</f>
        <v>150000</v>
      </c>
      <c r="Q79" s="199">
        <f>'תקציב החברה לפיתוח 2020'!Q79</f>
        <v>0</v>
      </c>
      <c r="R79" s="199">
        <f>'תקציב החברה לפיתוח 2020'!R79</f>
        <v>1810000</v>
      </c>
      <c r="S79" s="199">
        <f>'תקציב החברה לפיתוח 2020'!S79</f>
        <v>1810000</v>
      </c>
      <c r="T79" s="199">
        <f>'תקציב החברה לפיתוח 2020'!T79</f>
        <v>0</v>
      </c>
      <c r="U79" s="199">
        <f>'תקציב החברה לפיתוח 2020'!U79</f>
        <v>0</v>
      </c>
      <c r="V79" s="199">
        <f>'תקציב החברה לפיתוח 2020'!V79</f>
        <v>0</v>
      </c>
      <c r="W79" s="199">
        <f>'תקציב החברה לפיתוח 2020'!W79</f>
        <v>0</v>
      </c>
      <c r="X79" s="199">
        <f>'תקציב החברה לפיתוח 2020'!X79</f>
        <v>0</v>
      </c>
      <c r="Y79" s="199">
        <f>'תקציב החברה לפיתוח 2020'!Y79</f>
        <v>0</v>
      </c>
      <c r="Z79" s="199">
        <f>'תקציב החברה לפיתוח 2020'!Z79</f>
        <v>0</v>
      </c>
      <c r="AA79" s="341" t="str">
        <f>'תקציב החברה לפיתוח 2020'!AA79</f>
        <v>לאור החלטת בימ"ש שהעיריה תבצע שינויים גיאומטרים וקיר.</v>
      </c>
      <c r="AB79" s="707">
        <f>'תקציב החברה לפיתוח 2020'!AB79</f>
        <v>742000</v>
      </c>
      <c r="AC79" s="191"/>
      <c r="AD79" s="191"/>
      <c r="AE79" s="624"/>
      <c r="AF79" s="627"/>
    </row>
    <row r="80" spans="1:37" ht="41.4">
      <c r="A80" s="198">
        <f t="shared" si="1"/>
        <v>75</v>
      </c>
      <c r="B80" s="707">
        <f>'תקציב החברה לפיתוח 2020'!B80</f>
        <v>2079</v>
      </c>
      <c r="C80" s="341" t="str">
        <f>'תקציב החברה לפיתוח 2020'!C80</f>
        <v>שיפוץ בית הורים</v>
      </c>
      <c r="D80" s="199">
        <f>'תקציב החברה לפיתוח 2020'!D80</f>
        <v>2500000</v>
      </c>
      <c r="E80" s="199">
        <f>'תקציב החברה לפיתוח 2020'!E80</f>
        <v>500000</v>
      </c>
      <c r="F80" s="199">
        <f>'תקציב החברה לפיתוח 2020'!F80</f>
        <v>2000000</v>
      </c>
      <c r="G80" s="199">
        <f>'תקציב החברה לפיתוח 2020'!G80</f>
        <v>500000</v>
      </c>
      <c r="H80" s="199">
        <f>'תקציב החברה לפיתוח 2020'!H80</f>
        <v>27936</v>
      </c>
      <c r="I80" s="199">
        <f>'תקציב החברה לפיתוח 2020'!I80</f>
        <v>0</v>
      </c>
      <c r="J80" s="199">
        <f>'תקציב החברה לפיתוח 2020'!J80</f>
        <v>472062.82</v>
      </c>
      <c r="K80" s="199">
        <f>'תקציב החברה לפיתוח 2020'!K80</f>
        <v>472062.82</v>
      </c>
      <c r="L80" s="199">
        <f>'תקציב החברה לפיתוח 2020'!L80</f>
        <v>499998.82</v>
      </c>
      <c r="M80" s="199">
        <f>'תקציב החברה לפיתוח 2020'!M80</f>
        <v>1.1799999999930151</v>
      </c>
      <c r="N80" s="199">
        <f>'תקציב החברה לפיתוח 2020'!N80</f>
        <v>1000000</v>
      </c>
      <c r="O80" s="199">
        <f>'תקציב החברה לפיתוח 2020'!O80</f>
        <v>1000000</v>
      </c>
      <c r="P80" s="199">
        <f>'תקציב החברה לפיתוח 2020'!P80</f>
        <v>1.1799999999930151</v>
      </c>
      <c r="Q80" s="199">
        <f>'תקציב החברה לפיתוח 2020'!Q80</f>
        <v>0</v>
      </c>
      <c r="R80" s="199">
        <f>'תקציב החברה לפיתוח 2020'!R80</f>
        <v>0</v>
      </c>
      <c r="S80" s="199">
        <f>'תקציב החברה לפיתוח 2020'!S80</f>
        <v>0</v>
      </c>
      <c r="T80" s="199">
        <f>'תקציב החברה לפיתוח 2020'!T80</f>
        <v>0</v>
      </c>
      <c r="U80" s="199">
        <f>'תקציב החברה לפיתוח 2020'!U80</f>
        <v>1000000</v>
      </c>
      <c r="V80" s="199">
        <f>'תקציב החברה לפיתוח 2020'!V80</f>
        <v>1000000</v>
      </c>
      <c r="W80" s="199">
        <f>'תקציב החברה לפיתוח 2020'!W80</f>
        <v>0</v>
      </c>
      <c r="X80" s="199">
        <f>'תקציב החברה לפיתוח 2020'!X80</f>
        <v>0</v>
      </c>
      <c r="Y80" s="199">
        <f>'תקציב החברה לפיתוח 2020'!Y80</f>
        <v>0</v>
      </c>
      <c r="Z80" s="199">
        <f>'תקציב החברה לפיתוח 2020'!Z80</f>
        <v>0</v>
      </c>
      <c r="AA80" s="341" t="str">
        <f>'תקציב החברה לפיתוח 2020'!AA80</f>
        <v>תכנון עבודות שיפוץ בית ההורים ברחוב אנה פרנק. בשנת 2020 עבודות שדרוג ושיפוץ כללי.</v>
      </c>
      <c r="AB80" s="707">
        <f>'תקציב החברה לפיתוח 2020'!AB80</f>
        <v>840000</v>
      </c>
      <c r="AE80" s="624"/>
      <c r="AF80" s="627"/>
      <c r="AK80" s="205"/>
    </row>
    <row r="81" spans="1:37" ht="27.6">
      <c r="A81" s="198">
        <f t="shared" si="1"/>
        <v>76</v>
      </c>
      <c r="B81" s="707">
        <f>'תקציב החברה לפיתוח 2020'!B81</f>
        <v>2080</v>
      </c>
      <c r="C81" s="341" t="str">
        <f>'תקציב החברה לפיתוח 2020'!C81</f>
        <v>הכשרת החוף הנפרד</v>
      </c>
      <c r="D81" s="199">
        <f>'תקציב החברה לפיתוח 2020'!D81</f>
        <v>2400000</v>
      </c>
      <c r="E81" s="199">
        <f>'תקציב החברה לפיתוח 2020'!E81</f>
        <v>2050000</v>
      </c>
      <c r="F81" s="199">
        <f>'תקציב החברה לפיתוח 2020'!F81</f>
        <v>350000</v>
      </c>
      <c r="G81" s="199">
        <f>'תקציב החברה לפיתוח 2020'!G81</f>
        <v>2050000</v>
      </c>
      <c r="H81" s="199">
        <f>'תקציב החברה לפיתוח 2020'!H81</f>
        <v>1430935</v>
      </c>
      <c r="I81" s="199">
        <f>'תקציב החברה לפיתוח 2020'!I81</f>
        <v>0</v>
      </c>
      <c r="J81" s="199">
        <f>'תקציב החברה לפיתוח 2020'!J81</f>
        <v>569918.30000000005</v>
      </c>
      <c r="K81" s="199">
        <f>'תקציב החברה לפיתוח 2020'!K81</f>
        <v>569918.30000000005</v>
      </c>
      <c r="L81" s="199">
        <f>'תקציב החברה לפיתוח 2020'!L81</f>
        <v>2000853.3</v>
      </c>
      <c r="M81" s="199">
        <f>'תקציב החברה לפיתוח 2020'!M81</f>
        <v>49146.699999999953</v>
      </c>
      <c r="N81" s="199">
        <f>'תקציב החברה לפיתוח 2020'!N81</f>
        <v>350000</v>
      </c>
      <c r="O81" s="199">
        <f>'תקציב החברה לפיתוח 2020'!O81</f>
        <v>0</v>
      </c>
      <c r="P81" s="199">
        <f>'תקציב החברה לפיתוח 2020'!P81</f>
        <v>49146.699999999953</v>
      </c>
      <c r="Q81" s="199">
        <f>'תקציב החברה לפיתוח 2020'!Q81</f>
        <v>0</v>
      </c>
      <c r="R81" s="199">
        <f>'תקציב החברה לפיתוח 2020'!R81</f>
        <v>0</v>
      </c>
      <c r="S81" s="199">
        <f>'תקציב החברה לפיתוח 2020'!S81</f>
        <v>0</v>
      </c>
      <c r="T81" s="199">
        <f>'תקציב החברה לפיתוח 2020'!T81</f>
        <v>0</v>
      </c>
      <c r="U81" s="199">
        <f>'תקציב החברה לפיתוח 2020'!U81</f>
        <v>350000</v>
      </c>
      <c r="V81" s="199">
        <f>'תקציב החברה לפיתוח 2020'!V81</f>
        <v>350000</v>
      </c>
      <c r="W81" s="199">
        <f>'תקציב החברה לפיתוח 2020'!W81</f>
        <v>0</v>
      </c>
      <c r="X81" s="199">
        <f>'תקציב החברה לפיתוח 2020'!X81</f>
        <v>0</v>
      </c>
      <c r="Y81" s="199">
        <f>'תקציב החברה לפיתוח 2020'!Y81</f>
        <v>0</v>
      </c>
      <c r="Z81" s="199">
        <f>'תקציב החברה לפיתוח 2020'!Z81</f>
        <v>0</v>
      </c>
      <c r="AA81" s="341" t="str">
        <f>'תקציב החברה לפיתוח 2020'!AA81</f>
        <v xml:space="preserve">עבודות הכשרת החוף הנפרד, מעברים ושיפוץ כולל גשר מעבר. </v>
      </c>
      <c r="AB81" s="707">
        <f>'תקציב החברה לפיתוח 2020'!AB81</f>
        <v>747000</v>
      </c>
      <c r="AE81" s="624"/>
      <c r="AF81" s="627"/>
      <c r="AK81" s="205"/>
    </row>
    <row r="82" spans="1:37" ht="27.6">
      <c r="A82" s="198">
        <f t="shared" si="1"/>
        <v>77</v>
      </c>
      <c r="B82" s="707">
        <f>'תקציב החברה לפיתוח 2020'!B82</f>
        <v>2097</v>
      </c>
      <c r="C82" s="341" t="str">
        <f>'תקציב החברה לפיתוח 2020'!C82</f>
        <v>בית ספר בן גוריון</v>
      </c>
      <c r="D82" s="199">
        <f>'תקציב החברה לפיתוח 2020'!D82</f>
        <v>79000000</v>
      </c>
      <c r="E82" s="199">
        <f>'תקציב החברה לפיתוח 2020'!E82</f>
        <v>41000000</v>
      </c>
      <c r="F82" s="199">
        <f>'תקציב החברה לפיתוח 2020'!F82</f>
        <v>38000000</v>
      </c>
      <c r="G82" s="199">
        <f>'תקציב החברה לפיתוח 2020'!G82</f>
        <v>400000</v>
      </c>
      <c r="H82" s="199">
        <f>'תקציב החברה לפיתוח 2020'!H82</f>
        <v>223459</v>
      </c>
      <c r="I82" s="199">
        <f>'תקציב החברה לפיתוח 2020'!I82</f>
        <v>0</v>
      </c>
      <c r="J82" s="199">
        <f>'תקציב החברה לפיתוח 2020'!J82</f>
        <v>176539.19</v>
      </c>
      <c r="K82" s="199">
        <f>'תקציב החברה לפיתוח 2020'!K82</f>
        <v>176539.19</v>
      </c>
      <c r="L82" s="199">
        <f>'תקציב החברה לפיתוח 2020'!L82</f>
        <v>399998.19</v>
      </c>
      <c r="M82" s="199">
        <f>'תקציב החברה לפיתוח 2020'!M82</f>
        <v>600001.81000000006</v>
      </c>
      <c r="N82" s="199">
        <f>'תקציב החברה לפיתוח 2020'!N82</f>
        <v>5000000</v>
      </c>
      <c r="O82" s="199">
        <f>'תקציב החברה לפיתוח 2020'!O82</f>
        <v>73000000</v>
      </c>
      <c r="P82" s="199">
        <f>'תקציב החברה לפיתוח 2020'!P82</f>
        <v>1.8099999999976717</v>
      </c>
      <c r="Q82" s="199">
        <f>'תקציב החברה לפיתוח 2020'!Q82</f>
        <v>600000</v>
      </c>
      <c r="R82" s="199">
        <f>'תקציב החברה לפיתוח 2020'!R82</f>
        <v>0</v>
      </c>
      <c r="S82" s="199">
        <f>'תקציב החברה לפיתוח 2020'!S82</f>
        <v>600000</v>
      </c>
      <c r="T82" s="199">
        <f>'תקציב החברה לפיתוח 2020'!T82</f>
        <v>0</v>
      </c>
      <c r="U82" s="199">
        <f>'תקציב החברה לפיתוח 2020'!U82</f>
        <v>5000000</v>
      </c>
      <c r="V82" s="199">
        <f>'תקציב החברה לפיתוח 2020'!V82</f>
        <v>5000000</v>
      </c>
      <c r="W82" s="199">
        <f>'תקציב החברה לפיתוח 2020'!W82</f>
        <v>0</v>
      </c>
      <c r="X82" s="199">
        <f>'תקציב החברה לפיתוח 2020'!X82</f>
        <v>0</v>
      </c>
      <c r="Y82" s="199">
        <f>'תקציב החברה לפיתוח 2020'!Y82</f>
        <v>0</v>
      </c>
      <c r="Z82" s="199">
        <f>'תקציב החברה לפיתוח 2020'!Z82</f>
        <v>0</v>
      </c>
      <c r="AA82" s="341" t="str">
        <f>'תקציב החברה לפיתוח 2020'!AA82</f>
        <v xml:space="preserve">תכנון שיפוץ/הריסה ובניה מחדש של בי"ס. ב - 2020: המשך תכנון. </v>
      </c>
      <c r="AB82" s="707">
        <f>'תקציב החברה לפיתוח 2020'!AB82</f>
        <v>810000</v>
      </c>
      <c r="AE82" s="624"/>
      <c r="AF82" s="627"/>
      <c r="AK82" s="205"/>
    </row>
    <row r="83" spans="1:37" ht="27.6">
      <c r="A83" s="198">
        <f t="shared" si="1"/>
        <v>78</v>
      </c>
      <c r="B83" s="707">
        <f>'תקציב החברה לפיתוח 2020'!B83</f>
        <v>2099</v>
      </c>
      <c r="C83" s="341" t="str">
        <f>'תקציב החברה לפיתוח 2020'!C83</f>
        <v>סינמטק בבנין עיריה חדש</v>
      </c>
      <c r="D83" s="199">
        <f>'תקציב החברה לפיתוח 2020'!D83</f>
        <v>12000000</v>
      </c>
      <c r="E83" s="199">
        <f>'תקציב החברה לפיתוח 2020'!E83</f>
        <v>12000000</v>
      </c>
      <c r="F83" s="199">
        <f>'תקציב החברה לפיתוח 2020'!F83</f>
        <v>0</v>
      </c>
      <c r="G83" s="199">
        <f>'תקציב החברה לפיתוח 2020'!G83</f>
        <v>500000</v>
      </c>
      <c r="H83" s="199">
        <f>'תקציב החברה לפיתוח 2020'!H83</f>
        <v>152277</v>
      </c>
      <c r="I83" s="199">
        <f>'תקציב החברה לפיתוח 2020'!I83</f>
        <v>0</v>
      </c>
      <c r="J83" s="199">
        <f>'תקציב החברה לפיתוח 2020'!J83</f>
        <v>295121.33</v>
      </c>
      <c r="K83" s="199">
        <f>'תקציב החברה לפיתוח 2020'!K83</f>
        <v>295121.33</v>
      </c>
      <c r="L83" s="199">
        <f>'תקציב החברה לפיתוח 2020'!L83</f>
        <v>447398.33</v>
      </c>
      <c r="M83" s="199">
        <f>'תקציב החברה לפיתוח 2020'!M83</f>
        <v>2552601.67</v>
      </c>
      <c r="N83" s="199">
        <f>'תקציב החברה לפיתוח 2020'!N83</f>
        <v>3000000</v>
      </c>
      <c r="O83" s="199">
        <f>'תקציב החברה לפיתוח 2020'!O83</f>
        <v>6000000</v>
      </c>
      <c r="P83" s="199">
        <f>'תקציב החברה לפיתוח 2020'!P83</f>
        <v>52601.669999999984</v>
      </c>
      <c r="Q83" s="199">
        <f>'תקציב החברה לפיתוח 2020'!Q83</f>
        <v>5500000</v>
      </c>
      <c r="R83" s="199">
        <f>'תקציב החברה לפיתוח 2020'!R83</f>
        <v>0</v>
      </c>
      <c r="S83" s="199">
        <f>'תקציב החברה לפיתוח 2020'!S83</f>
        <v>5500000</v>
      </c>
      <c r="T83" s="199">
        <f>'תקציב החברה לפיתוח 2020'!T83</f>
        <v>3000000</v>
      </c>
      <c r="U83" s="199">
        <f>'תקציב החברה לפיתוח 2020'!U83</f>
        <v>0</v>
      </c>
      <c r="V83" s="199">
        <f>'תקציב החברה לפיתוח 2020'!V83</f>
        <v>0</v>
      </c>
      <c r="W83" s="199">
        <f>'תקציב החברה לפיתוח 2020'!W83</f>
        <v>0</v>
      </c>
      <c r="X83" s="199">
        <f>'תקציב החברה לפיתוח 2020'!X83</f>
        <v>0</v>
      </c>
      <c r="Y83" s="199">
        <f>'תקציב החברה לפיתוח 2020'!Y83</f>
        <v>0</v>
      </c>
      <c r="Z83" s="199">
        <f>'תקציב החברה לפיתוח 2020'!Z83</f>
        <v>0</v>
      </c>
      <c r="AA83" s="341" t="str">
        <f>'תקציב החברה לפיתוח 2020'!AA83</f>
        <v>הכשרת סינמטק בבניין העיריה החדש.</v>
      </c>
      <c r="AB83" s="707">
        <f>'תקציב החברה לפיתוח 2020'!AB83</f>
        <v>826000</v>
      </c>
      <c r="AE83" s="624"/>
      <c r="AF83" s="627"/>
      <c r="AK83" s="205"/>
    </row>
    <row r="84" spans="1:37" ht="41.4">
      <c r="A84" s="198">
        <f t="shared" si="1"/>
        <v>79</v>
      </c>
      <c r="B84" s="707">
        <f>'תקציב החברה לפיתוח 2020'!B84</f>
        <v>2101</v>
      </c>
      <c r="C84" s="198" t="s">
        <v>1292</v>
      </c>
      <c r="D84" s="199">
        <f>'תקציב החברה לפיתוח 2020'!D84</f>
        <v>9850000</v>
      </c>
      <c r="E84" s="199">
        <f>'תקציב החברה לפיתוח 2020'!E84</f>
        <v>9850000</v>
      </c>
      <c r="F84" s="199">
        <f>'תקציב החברה לפיתוח 2020'!F84</f>
        <v>0</v>
      </c>
      <c r="G84" s="199">
        <f>'תקציב החברה לפיתוח 2020'!G84</f>
        <v>0</v>
      </c>
      <c r="H84" s="199">
        <f>'תקציב החברה לפיתוח 2020'!H84</f>
        <v>0</v>
      </c>
      <c r="I84" s="199">
        <f>'תקציב החברה לפיתוח 2020'!I84</f>
        <v>0</v>
      </c>
      <c r="J84" s="199">
        <f>'תקציב החברה לפיתוח 2020'!J84</f>
        <v>0</v>
      </c>
      <c r="K84" s="199">
        <f>'תקציב החברה לפיתוח 2020'!K84</f>
        <v>0</v>
      </c>
      <c r="L84" s="199">
        <f>'תקציב החברה לפיתוח 2020'!L84</f>
        <v>0</v>
      </c>
      <c r="M84" s="199">
        <f>'תקציב החברה לפיתוח 2020'!M84</f>
        <v>0</v>
      </c>
      <c r="N84" s="199">
        <f>'תקציב החברה לפיתוח 2020'!N84</f>
        <v>1500000</v>
      </c>
      <c r="O84" s="199">
        <f>'תקציב החברה לפיתוח 2020'!O84</f>
        <v>8350000</v>
      </c>
      <c r="P84" s="199">
        <f>'תקציב החברה לפיתוח 2020'!P84</f>
        <v>0</v>
      </c>
      <c r="Q84" s="199">
        <f>'תקציב החברה לפיתוח 2020'!Q84</f>
        <v>0</v>
      </c>
      <c r="R84" s="199">
        <f>'תקציב החברה לפיתוח 2020'!R84</f>
        <v>0</v>
      </c>
      <c r="S84" s="199">
        <f>'תקציב החברה לפיתוח 2020'!S84</f>
        <v>0</v>
      </c>
      <c r="T84" s="199">
        <f>'תקציב החברה לפיתוח 2020'!T84</f>
        <v>0</v>
      </c>
      <c r="U84" s="199">
        <f>'תקציב החברה לפיתוח 2020'!U84</f>
        <v>1500000</v>
      </c>
      <c r="V84" s="199">
        <f>'תקציב החברה לפיתוח 2020'!V84</f>
        <v>1500000</v>
      </c>
      <c r="W84" s="199">
        <f>'תקציב החברה לפיתוח 2020'!W84</f>
        <v>0</v>
      </c>
      <c r="X84" s="199">
        <f>'תקציב החברה לפיתוח 2020'!X84</f>
        <v>0</v>
      </c>
      <c r="Y84" s="199">
        <f>'תקציב החברה לפיתוח 2020'!Y84</f>
        <v>0</v>
      </c>
      <c r="Z84" s="199">
        <f>'תקציב החברה לפיתוח 2020'!Z84</f>
        <v>0</v>
      </c>
      <c r="AA84" s="341" t="str">
        <f>'תקציב החברה לפיתוח 2020'!AA84</f>
        <v>תכנון ראשוני הקמת מעון לאנשים עם מוגבלויות ביד התשעה.</v>
      </c>
      <c r="AB84" s="707">
        <f>'תקציב החברה לפיתוח 2020'!AB84</f>
        <v>840000</v>
      </c>
      <c r="AE84" s="624"/>
      <c r="AF84" s="627"/>
      <c r="AK84" s="205"/>
    </row>
    <row r="85" spans="1:37" ht="27.6">
      <c r="A85" s="198">
        <f t="shared" si="1"/>
        <v>80</v>
      </c>
      <c r="B85" s="707">
        <f>'תקציב החברה לפיתוח 2020'!B85</f>
        <v>2102</v>
      </c>
      <c r="C85" s="341" t="str">
        <f>'תקציב החברה לפיתוח 2020'!C85</f>
        <v>מועדון טלוויזיה קהילתית בשכונת צמרות</v>
      </c>
      <c r="D85" s="199">
        <f>'תקציב החברה לפיתוח 2020'!D85</f>
        <v>1750000</v>
      </c>
      <c r="E85" s="199">
        <f>'תקציב החברה לפיתוח 2020'!E85</f>
        <v>1750000</v>
      </c>
      <c r="F85" s="199">
        <f>'תקציב החברה לפיתוח 2020'!F85</f>
        <v>0</v>
      </c>
      <c r="G85" s="199">
        <f>'תקציב החברה לפיתוח 2020'!G85</f>
        <v>150000</v>
      </c>
      <c r="H85" s="199">
        <f>'תקציב החברה לפיתוח 2020'!H85</f>
        <v>15453</v>
      </c>
      <c r="I85" s="199">
        <f>'תקציב החברה לפיתוח 2020'!I85</f>
        <v>0</v>
      </c>
      <c r="J85" s="199">
        <f>'תקציב החברה לפיתוח 2020'!J85</f>
        <v>124222.29</v>
      </c>
      <c r="K85" s="199">
        <f>'תקציב החברה לפיתוח 2020'!K85</f>
        <v>124222.29</v>
      </c>
      <c r="L85" s="199">
        <f>'תקציב החברה לפיתוח 2020'!L85</f>
        <v>139675.28999999998</v>
      </c>
      <c r="M85" s="199">
        <f>'תקציב החברה לפיתוח 2020'!M85</f>
        <v>1610324.71</v>
      </c>
      <c r="N85" s="199">
        <f>'תקציב החברה לפיתוח 2020'!N85</f>
        <v>0</v>
      </c>
      <c r="O85" s="199">
        <f>'תקציב החברה לפיתוח 2020'!O85</f>
        <v>0</v>
      </c>
      <c r="P85" s="199">
        <f>'תקציב החברה לפיתוח 2020'!P85</f>
        <v>10324.710000000021</v>
      </c>
      <c r="Q85" s="199">
        <f>'תקציב החברה לפיתוח 2020'!Q85</f>
        <v>1600000</v>
      </c>
      <c r="R85" s="199">
        <f>'תקציב החברה לפיתוח 2020'!R85</f>
        <v>0</v>
      </c>
      <c r="S85" s="199">
        <f>'תקציב החברה לפיתוח 2020'!S85</f>
        <v>1600000</v>
      </c>
      <c r="T85" s="199">
        <f>'תקציב החברה לפיתוח 2020'!T85</f>
        <v>0</v>
      </c>
      <c r="U85" s="199">
        <f>'תקציב החברה לפיתוח 2020'!U85</f>
        <v>0</v>
      </c>
      <c r="V85" s="199">
        <f>'תקציב החברה לפיתוח 2020'!V85</f>
        <v>0</v>
      </c>
      <c r="W85" s="199">
        <f>'תקציב החברה לפיתוח 2020'!W85</f>
        <v>0</v>
      </c>
      <c r="X85" s="199">
        <f>'תקציב החברה לפיתוח 2020'!X85</f>
        <v>0</v>
      </c>
      <c r="Y85" s="199">
        <f>'תקציב החברה לפיתוח 2020'!Y85</f>
        <v>0</v>
      </c>
      <c r="Z85" s="199">
        <f>'תקציב החברה לפיתוח 2020'!Z85</f>
        <v>0</v>
      </c>
      <c r="AA85" s="341" t="str">
        <f>'תקציב החברה לפיתוח 2020'!AA85</f>
        <v>הקמת מועדון טלויזיה קהילתית במרכז יום לקשיש בצמרות.</v>
      </c>
      <c r="AB85" s="707">
        <f>'תקציב החברה לפיתוח 2020'!AB85</f>
        <v>820000</v>
      </c>
      <c r="AE85" s="624"/>
      <c r="AF85" s="627"/>
      <c r="AK85" s="205"/>
    </row>
    <row r="86" spans="1:37" ht="27.6">
      <c r="A86" s="198">
        <f t="shared" si="1"/>
        <v>81</v>
      </c>
      <c r="B86" s="707">
        <f>'תקציב החברה לפיתוח 2020'!B86</f>
        <v>2103</v>
      </c>
      <c r="C86" s="341" t="str">
        <f>'תקציב החברה לפיתוח 2020'!C86</f>
        <v xml:space="preserve">שדרוג המרחב הציבורי באיזור התעשיה </v>
      </c>
      <c r="D86" s="199">
        <f>'תקציב החברה לפיתוח 2020'!D86</f>
        <v>2500000</v>
      </c>
      <c r="E86" s="199">
        <f>'תקציב החברה לפיתוח 2020'!E86</f>
        <v>2500000</v>
      </c>
      <c r="F86" s="199">
        <f>'תקציב החברה לפיתוח 2020'!F86</f>
        <v>0</v>
      </c>
      <c r="G86" s="199">
        <f>'תקציב החברה לפיתוח 2020'!G86</f>
        <v>350000</v>
      </c>
      <c r="H86" s="199">
        <f>'תקציב החברה לפיתוח 2020'!H86</f>
        <v>0</v>
      </c>
      <c r="I86" s="199">
        <f>'תקציב החברה לפיתוח 2020'!I86</f>
        <v>0</v>
      </c>
      <c r="J86" s="199">
        <f>'תקציב החברה לפיתוח 2020'!J86</f>
        <v>0</v>
      </c>
      <c r="K86" s="199">
        <f>'תקציב החברה לפיתוח 2020'!K86</f>
        <v>0</v>
      </c>
      <c r="L86" s="199">
        <f>'תקציב החברה לפיתוח 2020'!L86</f>
        <v>0</v>
      </c>
      <c r="M86" s="199">
        <f>'תקציב החברה לפיתוח 2020'!M86</f>
        <v>1000000</v>
      </c>
      <c r="N86" s="199">
        <f>'תקציב החברה לפיתוח 2020'!N86</f>
        <v>500000</v>
      </c>
      <c r="O86" s="199">
        <f>'תקציב החברה לפיתוח 2020'!O86</f>
        <v>1000000</v>
      </c>
      <c r="P86" s="199">
        <f>'תקציב החברה לפיתוח 2020'!P86</f>
        <v>350000</v>
      </c>
      <c r="Q86" s="199">
        <f>'תקציב החברה לפיתוח 2020'!Q86</f>
        <v>650000</v>
      </c>
      <c r="R86" s="199">
        <f>'תקציב החברה לפיתוח 2020'!R86</f>
        <v>0</v>
      </c>
      <c r="S86" s="199">
        <f>'תקציב החברה לפיתוח 2020'!S86</f>
        <v>650000</v>
      </c>
      <c r="T86" s="199">
        <f>'תקציב החברה לפיתוח 2020'!T86</f>
        <v>0</v>
      </c>
      <c r="U86" s="199">
        <f>'תקציב החברה לפיתוח 2020'!U86</f>
        <v>500000</v>
      </c>
      <c r="V86" s="199">
        <f>'תקציב החברה לפיתוח 2020'!V86</f>
        <v>0</v>
      </c>
      <c r="W86" s="199">
        <f>'תקציב החברה לפיתוח 2020'!W86</f>
        <v>500000</v>
      </c>
      <c r="X86" s="199">
        <f>'תקציב החברה לפיתוח 2020'!X86</f>
        <v>0</v>
      </c>
      <c r="Y86" s="199">
        <f>'תקציב החברה לפיתוח 2020'!Y86</f>
        <v>0</v>
      </c>
      <c r="Z86" s="199">
        <f>'תקציב החברה לפיתוח 2020'!Z86</f>
        <v>0</v>
      </c>
      <c r="AA86" s="341" t="str">
        <f>'תקציב החברה לפיתוח 2020'!AA86</f>
        <v>סל עבודות לשדרוג במרחב הציבורי כולל ריהוט רחוב באיזור התעשיה.</v>
      </c>
      <c r="AB86" s="707">
        <f>'תקציב החברה לפיתוח 2020'!AB86</f>
        <v>848000</v>
      </c>
      <c r="AE86" s="624"/>
      <c r="AF86" s="627"/>
      <c r="AK86" s="205"/>
    </row>
    <row r="87" spans="1:37" s="5" customFormat="1" ht="55.2">
      <c r="A87" s="198">
        <f t="shared" si="1"/>
        <v>82</v>
      </c>
      <c r="B87" s="707">
        <f>'תקציב החברה לפיתוח 2020'!B87</f>
        <v>2104</v>
      </c>
      <c r="C87" s="341" t="str">
        <f>'תקציב החברה לפיתוח 2020'!C87</f>
        <v>החלפת קו ניקוז בדוד המלך</v>
      </c>
      <c r="D87" s="199">
        <f>'תקציב החברה לפיתוח 2020'!D87</f>
        <v>3500000</v>
      </c>
      <c r="E87" s="199">
        <f>'תקציב החברה לפיתוח 2020'!E87</f>
        <v>18500000</v>
      </c>
      <c r="F87" s="199">
        <f>'תקציב החברה לפיתוח 2020'!F87</f>
        <v>-15000000</v>
      </c>
      <c r="G87" s="199">
        <f>'תקציב החברה לפיתוח 2020'!G87</f>
        <v>0</v>
      </c>
      <c r="H87" s="199">
        <f>'תקציב החברה לפיתוח 2020'!H87</f>
        <v>0</v>
      </c>
      <c r="I87" s="199">
        <f>'תקציב החברה לפיתוח 2020'!I87</f>
        <v>0</v>
      </c>
      <c r="J87" s="199">
        <f>'תקציב החברה לפיתוח 2020'!J87</f>
        <v>0</v>
      </c>
      <c r="K87" s="199">
        <f>'תקציב החברה לפיתוח 2020'!K87</f>
        <v>0</v>
      </c>
      <c r="L87" s="199">
        <f>'תקציב החברה לפיתוח 2020'!L87</f>
        <v>0</v>
      </c>
      <c r="M87" s="199">
        <f>'תקציב החברה לפיתוח 2020'!M87</f>
        <v>0</v>
      </c>
      <c r="N87" s="199">
        <f>'תקציב החברה לפיתוח 2020'!N87</f>
        <v>2500000</v>
      </c>
      <c r="O87" s="199">
        <f>'תקציב החברה לפיתוח 2020'!O87</f>
        <v>1000000</v>
      </c>
      <c r="P87" s="199">
        <f>'תקציב החברה לפיתוח 2020'!P87</f>
        <v>0</v>
      </c>
      <c r="Q87" s="199">
        <f>'תקציב החברה לפיתוח 2020'!Q87</f>
        <v>0</v>
      </c>
      <c r="R87" s="199">
        <f>'תקציב החברה לפיתוח 2020'!R87</f>
        <v>0</v>
      </c>
      <c r="S87" s="199">
        <f>'תקציב החברה לפיתוח 2020'!S87</f>
        <v>0</v>
      </c>
      <c r="T87" s="199">
        <f>'תקציב החברה לפיתוח 2020'!T87</f>
        <v>0</v>
      </c>
      <c r="U87" s="199">
        <f>'תקציב החברה לפיתוח 2020'!U87</f>
        <v>2500000</v>
      </c>
      <c r="V87" s="199">
        <f>'תקציב החברה לפיתוח 2020'!V87</f>
        <v>2500000</v>
      </c>
      <c r="W87" s="199">
        <f>'תקציב החברה לפיתוח 2020'!W87</f>
        <v>0</v>
      </c>
      <c r="X87" s="199">
        <f>'תקציב החברה לפיתוח 2020'!X87</f>
        <v>0</v>
      </c>
      <c r="Y87" s="199">
        <f>'תקציב החברה לפיתוח 2020'!Y87</f>
        <v>0</v>
      </c>
      <c r="Z87" s="199">
        <f>'תקציב החברה לפיתוח 2020'!Z87</f>
        <v>0</v>
      </c>
      <c r="AA87" s="341" t="str">
        <f>'תקציב החברה לפיתוח 2020'!AA87</f>
        <v>הגדלת קו הניקוז ברח' דוד המלך בקטע קרן היסוד - מדינת היהודים בתאום עם עבודות מים וביוב של תאגיד המים.</v>
      </c>
      <c r="AB87" s="707">
        <f>'תקציב החברה לפיתוח 2020'!AB87</f>
        <v>742000</v>
      </c>
      <c r="AC87" s="191"/>
      <c r="AD87" s="191"/>
      <c r="AE87" s="624"/>
      <c r="AF87" s="627"/>
    </row>
    <row r="88" spans="1:37" s="6" customFormat="1" ht="41.4">
      <c r="A88" s="198">
        <f t="shared" si="1"/>
        <v>83</v>
      </c>
      <c r="B88" s="707">
        <f>'תקציב החברה לפיתוח 2020'!B88</f>
        <v>2106</v>
      </c>
      <c r="C88" s="341" t="str">
        <f>'תקציב החברה לפיתוח 2020'!C88</f>
        <v>אוצר הצמחים ,הראשונים ואבן אודם</v>
      </c>
      <c r="D88" s="199">
        <f>'תקציב החברה לפיתוח 2020'!D88</f>
        <v>15000000</v>
      </c>
      <c r="E88" s="199">
        <f>'תקציב החברה לפיתוח 2020'!E88</f>
        <v>15000000</v>
      </c>
      <c r="F88" s="199">
        <f>'תקציב החברה לפיתוח 2020'!F88</f>
        <v>0</v>
      </c>
      <c r="G88" s="199">
        <f>'תקציב החברה לפיתוח 2020'!G88</f>
        <v>0</v>
      </c>
      <c r="H88" s="199">
        <f>'תקציב החברה לפיתוח 2020'!H88</f>
        <v>0</v>
      </c>
      <c r="I88" s="199">
        <f>'תקציב החברה לפיתוח 2020'!I88</f>
        <v>0</v>
      </c>
      <c r="J88" s="199">
        <f>'תקציב החברה לפיתוח 2020'!J88</f>
        <v>0</v>
      </c>
      <c r="K88" s="199">
        <f>'תקציב החברה לפיתוח 2020'!K88</f>
        <v>0</v>
      </c>
      <c r="L88" s="199">
        <f>'תקציב החברה לפיתוח 2020'!L88</f>
        <v>0</v>
      </c>
      <c r="M88" s="199">
        <f>'תקציב החברה לפיתוח 2020'!M88</f>
        <v>0</v>
      </c>
      <c r="N88" s="199">
        <f>'תקציב החברה לפיתוח 2020'!N88</f>
        <v>0</v>
      </c>
      <c r="O88" s="199">
        <f>'תקציב החברה לפיתוח 2020'!O88</f>
        <v>15000000</v>
      </c>
      <c r="P88" s="199">
        <f>'תקציב החברה לפיתוח 2020'!P88</f>
        <v>0</v>
      </c>
      <c r="Q88" s="199">
        <f>'תקציב החברה לפיתוח 2020'!Q88</f>
        <v>0</v>
      </c>
      <c r="R88" s="199">
        <f>'תקציב החברה לפיתוח 2020'!R88</f>
        <v>0</v>
      </c>
      <c r="S88" s="199">
        <f>'תקציב החברה לפיתוח 2020'!S88</f>
        <v>0</v>
      </c>
      <c r="T88" s="199">
        <f>'תקציב החברה לפיתוח 2020'!T88</f>
        <v>0</v>
      </c>
      <c r="U88" s="199">
        <f>'תקציב החברה לפיתוח 2020'!U88</f>
        <v>0</v>
      </c>
      <c r="V88" s="199">
        <f>'תקציב החברה לפיתוח 2020'!V88</f>
        <v>0</v>
      </c>
      <c r="W88" s="199">
        <f>'תקציב החברה לפיתוח 2020'!W88</f>
        <v>0</v>
      </c>
      <c r="X88" s="199">
        <f>'תקציב החברה לפיתוח 2020'!X88</f>
        <v>0</v>
      </c>
      <c r="Y88" s="199">
        <f>'תקציב החברה לפיתוח 2020'!Y88</f>
        <v>0</v>
      </c>
      <c r="Z88" s="199">
        <f>'תקציב החברה לפיתוח 2020'!Z88</f>
        <v>0</v>
      </c>
      <c r="AA88" s="341" t="str">
        <f>'תקציב החברה לפיתוח 2020'!AA88</f>
        <v xml:space="preserve">פיתוח מתחם הרחובות אוצר הצמחים, אבן אודם, הראשונים. 
</v>
      </c>
      <c r="AB88" s="707">
        <f>'תקציב החברה לפיתוח 2020'!AB88</f>
        <v>742000</v>
      </c>
      <c r="AC88" s="191"/>
      <c r="AD88" s="191"/>
      <c r="AE88" s="624"/>
      <c r="AF88" s="627"/>
    </row>
    <row r="89" spans="1:37" s="6" customFormat="1" ht="41.4">
      <c r="A89" s="198">
        <f t="shared" si="1"/>
        <v>84</v>
      </c>
      <c r="B89" s="707">
        <f>'תקציב החברה לפיתוח 2020'!B89</f>
        <v>2108</v>
      </c>
      <c r="C89" s="341" t="str">
        <f>'תקציב החברה לפיתוח 2020'!C89</f>
        <v>תכנון שצ"פים במתחם הר' 1960</v>
      </c>
      <c r="D89" s="199">
        <f>'תקציב החברה לפיתוח 2020'!D89</f>
        <v>14100000</v>
      </c>
      <c r="E89" s="199">
        <f>'תקציב החברה לפיתוח 2020'!E89</f>
        <v>14100000</v>
      </c>
      <c r="F89" s="199">
        <f>'תקציב החברה לפיתוח 2020'!F89</f>
        <v>0</v>
      </c>
      <c r="G89" s="199">
        <f>'תקציב החברה לפיתוח 2020'!G89</f>
        <v>0</v>
      </c>
      <c r="H89" s="199">
        <f>'תקציב החברה לפיתוח 2020'!H89</f>
        <v>0</v>
      </c>
      <c r="I89" s="199">
        <f>'תקציב החברה לפיתוח 2020'!I89</f>
        <v>0</v>
      </c>
      <c r="J89" s="199">
        <f>'תקציב החברה לפיתוח 2020'!J89</f>
        <v>0</v>
      </c>
      <c r="K89" s="199">
        <f>'תקציב החברה לפיתוח 2020'!K89</f>
        <v>0</v>
      </c>
      <c r="L89" s="199">
        <f>'תקציב החברה לפיתוח 2020'!L89</f>
        <v>0</v>
      </c>
      <c r="M89" s="199">
        <f>'תקציב החברה לפיתוח 2020'!M89</f>
        <v>0</v>
      </c>
      <c r="N89" s="199">
        <f>'תקציב החברה לפיתוח 2020'!N89</f>
        <v>1200000</v>
      </c>
      <c r="O89" s="199">
        <f>'תקציב החברה לפיתוח 2020'!O89</f>
        <v>12900000</v>
      </c>
      <c r="P89" s="199">
        <f>'תקציב החברה לפיתוח 2020'!P89</f>
        <v>0</v>
      </c>
      <c r="Q89" s="199">
        <f>'תקציב החברה לפיתוח 2020'!Q89</f>
        <v>0</v>
      </c>
      <c r="R89" s="199">
        <f>'תקציב החברה לפיתוח 2020'!R89</f>
        <v>0</v>
      </c>
      <c r="S89" s="199">
        <f>'תקציב החברה לפיתוח 2020'!S89</f>
        <v>0</v>
      </c>
      <c r="T89" s="199">
        <f>'תקציב החברה לפיתוח 2020'!T89</f>
        <v>0</v>
      </c>
      <c r="U89" s="199">
        <f>'תקציב החברה לפיתוח 2020'!U89</f>
        <v>1200000</v>
      </c>
      <c r="V89" s="199">
        <f>'תקציב החברה לפיתוח 2020'!V89</f>
        <v>1200000</v>
      </c>
      <c r="W89" s="199">
        <f>'תקציב החברה לפיתוח 2020'!W89</f>
        <v>0</v>
      </c>
      <c r="X89" s="199">
        <f>'תקציב החברה לפיתוח 2020'!X89</f>
        <v>0</v>
      </c>
      <c r="Y89" s="199">
        <f>'תקציב החברה לפיתוח 2020'!Y89</f>
        <v>0</v>
      </c>
      <c r="Z89" s="199">
        <f>'תקציב החברה לפיתוח 2020'!Z89</f>
        <v>0</v>
      </c>
      <c r="AA89" s="341" t="str">
        <f>'תקציב החברה לפיתוח 2020'!AA89</f>
        <v>תכנון שצ"פים במתחם  הר' 1960 : קורן,דן שומרון ,דורי ומשה שמיר. עבר מהנדסה.</v>
      </c>
      <c r="AB89" s="707">
        <f>'תקציב החברה לפיתוח 2020'!AB89</f>
        <v>746000</v>
      </c>
      <c r="AC89" s="619"/>
      <c r="AD89" s="52"/>
      <c r="AE89" s="5"/>
      <c r="AF89" s="5"/>
    </row>
    <row r="90" spans="1:37" s="5" customFormat="1" ht="35.1" customHeight="1">
      <c r="A90" s="198">
        <f t="shared" si="1"/>
        <v>85</v>
      </c>
      <c r="B90" s="707">
        <f>'תקציב החברה לפיתוח 2020'!B90</f>
        <v>2109</v>
      </c>
      <c r="C90" s="341" t="str">
        <f>'תקציב החברה לפיתוח 2020'!C90</f>
        <v>רחוב הפרטיזנים</v>
      </c>
      <c r="D90" s="199">
        <f>'תקציב החברה לפיתוח 2020'!D90</f>
        <v>2000000</v>
      </c>
      <c r="E90" s="199">
        <f>'תקציב החברה לפיתוח 2020'!E90</f>
        <v>2000000</v>
      </c>
      <c r="F90" s="199">
        <f>'תקציב החברה לפיתוח 2020'!F90</f>
        <v>0</v>
      </c>
      <c r="G90" s="199">
        <f>'תקציב החברה לפיתוח 2020'!G90</f>
        <v>0</v>
      </c>
      <c r="H90" s="199">
        <f>'תקציב החברה לפיתוח 2020'!H90</f>
        <v>0</v>
      </c>
      <c r="I90" s="199">
        <f>'תקציב החברה לפיתוח 2020'!I90</f>
        <v>0</v>
      </c>
      <c r="J90" s="199">
        <f>'תקציב החברה לפיתוח 2020'!J90</f>
        <v>0</v>
      </c>
      <c r="K90" s="199">
        <f>'תקציב החברה לפיתוח 2020'!K90</f>
        <v>0</v>
      </c>
      <c r="L90" s="199">
        <f>'תקציב החברה לפיתוח 2020'!L90</f>
        <v>0</v>
      </c>
      <c r="M90" s="199">
        <f>'תקציב החברה לפיתוח 2020'!M90</f>
        <v>0</v>
      </c>
      <c r="N90" s="199">
        <f>'תקציב החברה לפיתוח 2020'!N90</f>
        <v>0</v>
      </c>
      <c r="O90" s="199">
        <f>'תקציב החברה לפיתוח 2020'!O90</f>
        <v>2000000</v>
      </c>
      <c r="P90" s="199">
        <f>'תקציב החברה לפיתוח 2020'!P90</f>
        <v>0</v>
      </c>
      <c r="Q90" s="199">
        <f>'תקציב החברה לפיתוח 2020'!Q90</f>
        <v>0</v>
      </c>
      <c r="R90" s="199">
        <f>'תקציב החברה לפיתוח 2020'!R90</f>
        <v>0</v>
      </c>
      <c r="S90" s="199">
        <f>'תקציב החברה לפיתוח 2020'!S90</f>
        <v>0</v>
      </c>
      <c r="T90" s="199">
        <f>'תקציב החברה לפיתוח 2020'!T90</f>
        <v>0</v>
      </c>
      <c r="U90" s="199">
        <f>'תקציב החברה לפיתוח 2020'!U90</f>
        <v>0</v>
      </c>
      <c r="V90" s="199">
        <f>'תקציב החברה לפיתוח 2020'!V90</f>
        <v>0</v>
      </c>
      <c r="W90" s="199">
        <f>'תקציב החברה לפיתוח 2020'!W90</f>
        <v>0</v>
      </c>
      <c r="X90" s="199">
        <f>'תקציב החברה לפיתוח 2020'!X90</f>
        <v>0</v>
      </c>
      <c r="Y90" s="199">
        <f>'תקציב החברה לפיתוח 2020'!Y90</f>
        <v>0</v>
      </c>
      <c r="Z90" s="199">
        <f>'תקציב החברה לפיתוח 2020'!Z90</f>
        <v>0</v>
      </c>
      <c r="AA90" s="341" t="str">
        <f>'תקציב החברה לפיתוח 2020'!AA90</f>
        <v>תכנון פיתוח רחוב הפרטיזנים. עבר מהנדסה.</v>
      </c>
      <c r="AB90" s="707">
        <f>'תקציב החברה לפיתוח 2020'!AB90</f>
        <v>742000</v>
      </c>
      <c r="AC90" s="619"/>
      <c r="AD90" s="52"/>
    </row>
    <row r="91" spans="1:37" s="5" customFormat="1" ht="19.95" customHeight="1">
      <c r="A91" s="198">
        <f t="shared" si="1"/>
        <v>86</v>
      </c>
      <c r="B91" s="707">
        <f>'תקציב החברה לפיתוח 2020'!B91</f>
        <v>2110</v>
      </c>
      <c r="C91" s="341" t="str">
        <f>'תקציב החברה לפיתוח 2020'!C91</f>
        <v>שיכון דרום הר' 2312</v>
      </c>
      <c r="D91" s="199">
        <f>'תקציב החברה לפיתוח 2020'!D91</f>
        <v>16000000</v>
      </c>
      <c r="E91" s="199">
        <f>'תקציב החברה לפיתוח 2020'!E91</f>
        <v>16000000</v>
      </c>
      <c r="F91" s="199">
        <f>'תקציב החברה לפיתוח 2020'!F91</f>
        <v>0</v>
      </c>
      <c r="G91" s="199">
        <f>'תקציב החברה לפיתוח 2020'!G91</f>
        <v>0</v>
      </c>
      <c r="H91" s="199">
        <f>'תקציב החברה לפיתוח 2020'!H91</f>
        <v>0</v>
      </c>
      <c r="I91" s="199">
        <f>'תקציב החברה לפיתוח 2020'!I91</f>
        <v>0</v>
      </c>
      <c r="J91" s="199">
        <f>'תקציב החברה לפיתוח 2020'!J91</f>
        <v>0</v>
      </c>
      <c r="K91" s="199">
        <f>'תקציב החברה לפיתוח 2020'!K91</f>
        <v>0</v>
      </c>
      <c r="L91" s="199">
        <f>'תקציב החברה לפיתוח 2020'!L91</f>
        <v>0</v>
      </c>
      <c r="M91" s="199">
        <f>'תקציב החברה לפיתוח 2020'!M91</f>
        <v>0</v>
      </c>
      <c r="N91" s="199">
        <f>'תקציב החברה לפיתוח 2020'!N91</f>
        <v>0</v>
      </c>
      <c r="O91" s="199">
        <f>'תקציב החברה לפיתוח 2020'!O91</f>
        <v>16000000</v>
      </c>
      <c r="P91" s="199">
        <f>'תקציב החברה לפיתוח 2020'!P91</f>
        <v>0</v>
      </c>
      <c r="Q91" s="199">
        <f>'תקציב החברה לפיתוח 2020'!Q91</f>
        <v>0</v>
      </c>
      <c r="R91" s="199">
        <f>'תקציב החברה לפיתוח 2020'!R91</f>
        <v>0</v>
      </c>
      <c r="S91" s="199">
        <f>'תקציב החברה לפיתוח 2020'!S91</f>
        <v>0</v>
      </c>
      <c r="T91" s="199">
        <f>'תקציב החברה לפיתוח 2020'!T91</f>
        <v>0</v>
      </c>
      <c r="U91" s="199">
        <f>'תקציב החברה לפיתוח 2020'!U91</f>
        <v>0</v>
      </c>
      <c r="V91" s="199">
        <f>'תקציב החברה לפיתוח 2020'!V91</f>
        <v>0</v>
      </c>
      <c r="W91" s="199">
        <f>'תקציב החברה לפיתוח 2020'!W91</f>
        <v>0</v>
      </c>
      <c r="X91" s="199">
        <f>'תקציב החברה לפיתוח 2020'!X91</f>
        <v>0</v>
      </c>
      <c r="Y91" s="199">
        <f>'תקציב החברה לפיתוח 2020'!Y91</f>
        <v>0</v>
      </c>
      <c r="Z91" s="199">
        <f>'תקציב החברה לפיתוח 2020'!Z91</f>
        <v>0</v>
      </c>
      <c r="AA91" s="341" t="str">
        <f>'תקציב החברה לפיתוח 2020'!AA91</f>
        <v>תכנון פיתוח מתחם שיכון דרום.</v>
      </c>
      <c r="AB91" s="707">
        <f>'תקציב החברה לפיתוח 2020'!AB91</f>
        <v>742000</v>
      </c>
      <c r="AC91" s="191"/>
      <c r="AD91" s="191"/>
      <c r="AE91" s="624"/>
      <c r="AF91" s="627"/>
    </row>
    <row r="92" spans="1:37" s="5" customFormat="1" ht="41.4">
      <c r="A92" s="198">
        <f t="shared" si="1"/>
        <v>87</v>
      </c>
      <c r="B92" s="707">
        <f>'תקציב החברה לפיתוח 2020'!B92</f>
        <v>2111</v>
      </c>
      <c r="C92" s="341" t="str">
        <f>'תקציב החברה לפיתוח 2020'!C92</f>
        <v>הר מירון בר כוכבא הר' 2266</v>
      </c>
      <c r="D92" s="199">
        <f>'תקציב החברה לפיתוח 2020'!D92</f>
        <v>10240000</v>
      </c>
      <c r="E92" s="199">
        <f>'תקציב החברה לפיתוח 2020'!E92</f>
        <v>10240000</v>
      </c>
      <c r="F92" s="199">
        <f>'תקציב החברה לפיתוח 2020'!F92</f>
        <v>0</v>
      </c>
      <c r="G92" s="199">
        <f>'תקציב החברה לפיתוח 2020'!G92</f>
        <v>0</v>
      </c>
      <c r="H92" s="199">
        <f>'תקציב החברה לפיתוח 2020'!H92</f>
        <v>0</v>
      </c>
      <c r="I92" s="199">
        <f>'תקציב החברה לפיתוח 2020'!I92</f>
        <v>0</v>
      </c>
      <c r="J92" s="199">
        <f>'תקציב החברה לפיתוח 2020'!J92</f>
        <v>0</v>
      </c>
      <c r="K92" s="199">
        <f>'תקציב החברה לפיתוח 2020'!K92</f>
        <v>0</v>
      </c>
      <c r="L92" s="199">
        <f>'תקציב החברה לפיתוח 2020'!L92</f>
        <v>0</v>
      </c>
      <c r="M92" s="199">
        <f>'תקציב החברה לפיתוח 2020'!M92</f>
        <v>0</v>
      </c>
      <c r="N92" s="199">
        <f>'תקציב החברה לפיתוח 2020'!N92</f>
        <v>0</v>
      </c>
      <c r="O92" s="199">
        <f>'תקציב החברה לפיתוח 2020'!O92</f>
        <v>10240000</v>
      </c>
      <c r="P92" s="199">
        <f>'תקציב החברה לפיתוח 2020'!P92</f>
        <v>0</v>
      </c>
      <c r="Q92" s="199">
        <f>'תקציב החברה לפיתוח 2020'!Q92</f>
        <v>0</v>
      </c>
      <c r="R92" s="199">
        <f>'תקציב החברה לפיתוח 2020'!R92</f>
        <v>0</v>
      </c>
      <c r="S92" s="199">
        <f>'תקציב החברה לפיתוח 2020'!S92</f>
        <v>0</v>
      </c>
      <c r="T92" s="199">
        <f>'תקציב החברה לפיתוח 2020'!T92</f>
        <v>0</v>
      </c>
      <c r="U92" s="199">
        <f>'תקציב החברה לפיתוח 2020'!U92</f>
        <v>0</v>
      </c>
      <c r="V92" s="199">
        <f>'תקציב החברה לפיתוח 2020'!V92</f>
        <v>0</v>
      </c>
      <c r="W92" s="199">
        <f>'תקציב החברה לפיתוח 2020'!W92</f>
        <v>0</v>
      </c>
      <c r="X92" s="199">
        <f>'תקציב החברה לפיתוח 2020'!X92</f>
        <v>0</v>
      </c>
      <c r="Y92" s="199">
        <f>'תקציב החברה לפיתוח 2020'!Y92</f>
        <v>0</v>
      </c>
      <c r="Z92" s="199">
        <f>'תקציב החברה לפיתוח 2020'!Z92</f>
        <v>0</v>
      </c>
      <c r="AA92" s="341" t="str">
        <f>'תקציב החברה לפיתוח 2020'!AA92</f>
        <v xml:space="preserve">תכנון פיתוח הרחובות הר מירון בר כוכבא בעקבות אישור תוכנית התחדשות עירונית. עבר מהנדסה. </v>
      </c>
      <c r="AB92" s="707">
        <f>'תקציב החברה לפיתוח 2020'!AB92</f>
        <v>742000</v>
      </c>
      <c r="AC92" s="619"/>
      <c r="AD92" s="52"/>
    </row>
    <row r="93" spans="1:37" s="6" customFormat="1" ht="55.2">
      <c r="A93" s="198">
        <f t="shared" si="1"/>
        <v>88</v>
      </c>
      <c r="B93" s="707">
        <f>'תקציב החברה לפיתוח 2020'!B93</f>
        <v>2115</v>
      </c>
      <c r="C93" s="341" t="str">
        <f>'תקציב החברה לפיתוח 2020'!C93</f>
        <v>תוכנית מתאר איזור התעסוקה הר/2440</v>
      </c>
      <c r="D93" s="199">
        <f>'תקציב החברה לפיתוח 2020'!D93</f>
        <v>3100000</v>
      </c>
      <c r="E93" s="199">
        <f>'תקציב החברה לפיתוח 2020'!E93</f>
        <v>3100000</v>
      </c>
      <c r="F93" s="199">
        <f>'תקציב החברה לפיתוח 2020'!F93</f>
        <v>0</v>
      </c>
      <c r="G93" s="199">
        <f>'תקציב החברה לפיתוח 2020'!G93</f>
        <v>500000</v>
      </c>
      <c r="H93" s="199">
        <f>'תקציב החברה לפיתוח 2020'!H93</f>
        <v>0</v>
      </c>
      <c r="I93" s="199">
        <f>'תקציב החברה לפיתוח 2020'!I93</f>
        <v>0</v>
      </c>
      <c r="J93" s="199">
        <f>'תקציב החברה לפיתוח 2020'!J93</f>
        <v>0</v>
      </c>
      <c r="K93" s="199">
        <f>'תקציב החברה לפיתוח 2020'!K93</f>
        <v>0</v>
      </c>
      <c r="L93" s="199">
        <f>'תקציב החברה לפיתוח 2020'!L93</f>
        <v>0</v>
      </c>
      <c r="M93" s="199">
        <f>'תקציב החברה לפיתוח 2020'!M93</f>
        <v>500000</v>
      </c>
      <c r="N93" s="199">
        <f>'תקציב החברה לפיתוח 2020'!N93</f>
        <v>1500000</v>
      </c>
      <c r="O93" s="199">
        <f>'תקציב החברה לפיתוח 2020'!O93</f>
        <v>1100000</v>
      </c>
      <c r="P93" s="199">
        <f>'תקציב החברה לפיתוח 2020'!P93</f>
        <v>500000</v>
      </c>
      <c r="Q93" s="199">
        <f>'תקציב החברה לפיתוח 2020'!Q93</f>
        <v>0</v>
      </c>
      <c r="R93" s="199">
        <f>'תקציב החברה לפיתוח 2020'!R93</f>
        <v>0</v>
      </c>
      <c r="S93" s="199">
        <f>'תקציב החברה לפיתוח 2020'!S93</f>
        <v>0</v>
      </c>
      <c r="T93" s="199">
        <f>'תקציב החברה לפיתוח 2020'!T93</f>
        <v>0</v>
      </c>
      <c r="U93" s="199">
        <f>'תקציב החברה לפיתוח 2020'!U93</f>
        <v>1500000</v>
      </c>
      <c r="V93" s="199">
        <f>'תקציב החברה לפיתוח 2020'!V93</f>
        <v>1500000</v>
      </c>
      <c r="W93" s="199">
        <f>'תקציב החברה לפיתוח 2020'!W93</f>
        <v>0</v>
      </c>
      <c r="X93" s="199">
        <f>'תקציב החברה לפיתוח 2020'!X93</f>
        <v>0</v>
      </c>
      <c r="Y93" s="199">
        <f>'תקציב החברה לפיתוח 2020'!Y93</f>
        <v>0</v>
      </c>
      <c r="Z93" s="199">
        <f>'תקציב החברה לפיתוח 2020'!Z93</f>
        <v>0</v>
      </c>
      <c r="AA93" s="341" t="str">
        <f>'תקציב החברה לפיתוח 2020'!AA93</f>
        <v xml:space="preserve">הפיכת תוכנית אסטרטגית  לתוכנית סטטוטורית, לתוכנית מתאר בועדה המחוזית בהתאם ליו"ר הועדה המחוזית. </v>
      </c>
      <c r="AB93" s="707">
        <f>'תקציב החברה לפיתוח 2020'!AB93</f>
        <v>732000</v>
      </c>
      <c r="AC93" s="191"/>
      <c r="AD93" s="191"/>
      <c r="AE93" s="624"/>
      <c r="AF93" s="627"/>
    </row>
    <row r="94" spans="1:37" s="6" customFormat="1" ht="41.4">
      <c r="A94" s="198">
        <f t="shared" si="1"/>
        <v>89</v>
      </c>
      <c r="B94" s="707">
        <f>'תקציב החברה לפיתוח 2020'!B94</f>
        <v>2118</v>
      </c>
      <c r="C94" s="341" t="str">
        <f>'תקציב החברה לפיתוח 2020'!C94</f>
        <v>שצ"פ דליה רביקוביץ בשכונת אלתרמן (הר/1920)</v>
      </c>
      <c r="D94" s="199">
        <f>'תקציב החברה לפיתוח 2020'!D94</f>
        <v>1800000</v>
      </c>
      <c r="E94" s="199">
        <f>'תקציב החברה לפיתוח 2020'!E94</f>
        <v>1800000</v>
      </c>
      <c r="F94" s="199">
        <f>'תקציב החברה לפיתוח 2020'!F94</f>
        <v>0</v>
      </c>
      <c r="G94" s="199">
        <f>'תקציב החברה לפיתוח 2020'!G94</f>
        <v>100000</v>
      </c>
      <c r="H94" s="199">
        <f>'תקציב החברה לפיתוח 2020'!H94</f>
        <v>0</v>
      </c>
      <c r="I94" s="199">
        <f>'תקציב החברה לפיתוח 2020'!I94</f>
        <v>0</v>
      </c>
      <c r="J94" s="199">
        <f>'תקציב החברה לפיתוח 2020'!J94</f>
        <v>0</v>
      </c>
      <c r="K94" s="199">
        <f>'תקציב החברה לפיתוח 2020'!K94</f>
        <v>0</v>
      </c>
      <c r="L94" s="199">
        <f>'תקציב החברה לפיתוח 2020'!L94</f>
        <v>0</v>
      </c>
      <c r="M94" s="199">
        <f>'תקציב החברה לפיתוח 2020'!M94</f>
        <v>100000</v>
      </c>
      <c r="N94" s="199">
        <f>'תקציב החברה לפיתוח 2020'!N94</f>
        <v>1700000</v>
      </c>
      <c r="O94" s="199">
        <f>'תקציב החברה לפיתוח 2020'!O94</f>
        <v>0</v>
      </c>
      <c r="P94" s="199">
        <f>'תקציב החברה לפיתוח 2020'!P94</f>
        <v>100000</v>
      </c>
      <c r="Q94" s="199">
        <f>'תקציב החברה לפיתוח 2020'!Q94</f>
        <v>0</v>
      </c>
      <c r="R94" s="199">
        <f>'תקציב החברה לפיתוח 2020'!R94</f>
        <v>0</v>
      </c>
      <c r="S94" s="199">
        <f>'תקציב החברה לפיתוח 2020'!S94</f>
        <v>0</v>
      </c>
      <c r="T94" s="199">
        <f>'תקציב החברה לפיתוח 2020'!T94</f>
        <v>0</v>
      </c>
      <c r="U94" s="199">
        <f>'תקציב החברה לפיתוח 2020'!U94</f>
        <v>1700000</v>
      </c>
      <c r="V94" s="199">
        <f>'תקציב החברה לפיתוח 2020'!V94</f>
        <v>1700000</v>
      </c>
      <c r="W94" s="199">
        <f>'תקציב החברה לפיתוח 2020'!W94</f>
        <v>0</v>
      </c>
      <c r="X94" s="199">
        <f>'תקציב החברה לפיתוח 2020'!X94</f>
        <v>0</v>
      </c>
      <c r="Y94" s="199">
        <f>'תקציב החברה לפיתוח 2020'!Y94</f>
        <v>0</v>
      </c>
      <c r="Z94" s="199">
        <f>'תקציב החברה לפיתוח 2020'!Z94</f>
        <v>0</v>
      </c>
      <c r="AA94" s="341" t="str">
        <f>'תקציב החברה לפיתוח 2020'!AA94</f>
        <v xml:space="preserve">ביצוע שצ"פ בקטע רח' דליה רביקוביץ פינת אסתר רהב. עבר מהנדסה. </v>
      </c>
      <c r="AB94" s="707">
        <f>'תקציב החברה לפיתוח 2020'!AB94</f>
        <v>746000</v>
      </c>
      <c r="AC94" s="191"/>
      <c r="AD94" s="191"/>
    </row>
    <row r="95" spans="1:37" s="5" customFormat="1" ht="55.2">
      <c r="A95" s="198">
        <f t="shared" si="1"/>
        <v>90</v>
      </c>
      <c r="B95" s="707">
        <f>'תקציב החברה לפיתוח 2020'!B95</f>
        <v>2122</v>
      </c>
      <c r="C95" s="341" t="str">
        <f>'תקציב החברה לפיתוח 2020'!C95</f>
        <v>צומת הרב גורן מוהליבר - בטיחות</v>
      </c>
      <c r="D95" s="199">
        <f>'תקציב החברה לפיתוח 2020'!D95</f>
        <v>300000</v>
      </c>
      <c r="E95" s="199">
        <f>'תקציב החברה לפיתוח 2020'!E95</f>
        <v>300000</v>
      </c>
      <c r="F95" s="199">
        <f>'תקציב החברה לפיתוח 2020'!F95</f>
        <v>0</v>
      </c>
      <c r="G95" s="199">
        <f>'תקציב החברה לפיתוח 2020'!G95</f>
        <v>300000</v>
      </c>
      <c r="H95" s="199">
        <f>'תקציב החברה לפיתוח 2020'!H95</f>
        <v>0</v>
      </c>
      <c r="I95" s="199">
        <f>'תקציב החברה לפיתוח 2020'!I95</f>
        <v>0</v>
      </c>
      <c r="J95" s="199">
        <f>'תקציב החברה לפיתוח 2020'!J95</f>
        <v>0</v>
      </c>
      <c r="K95" s="199">
        <f>'תקציב החברה לפיתוח 2020'!K95</f>
        <v>0</v>
      </c>
      <c r="L95" s="199">
        <f>'תקציב החברה לפיתוח 2020'!L95</f>
        <v>0</v>
      </c>
      <c r="M95" s="199">
        <f>'תקציב החברה לפיתוח 2020'!M95</f>
        <v>300000</v>
      </c>
      <c r="N95" s="199">
        <f>'תקציב החברה לפיתוח 2020'!N95</f>
        <v>0</v>
      </c>
      <c r="O95" s="199">
        <f>'תקציב החברה לפיתוח 2020'!O95</f>
        <v>0</v>
      </c>
      <c r="P95" s="199">
        <f>'תקציב החברה לפיתוח 2020'!P95</f>
        <v>300000</v>
      </c>
      <c r="Q95" s="199">
        <f>'תקציב החברה לפיתוח 2020'!Q95</f>
        <v>0</v>
      </c>
      <c r="R95" s="199">
        <f>'תקציב החברה לפיתוח 2020'!R95</f>
        <v>0</v>
      </c>
      <c r="S95" s="199">
        <f>'תקציב החברה לפיתוח 2020'!S95</f>
        <v>0</v>
      </c>
      <c r="T95" s="199">
        <f>'תקציב החברה לפיתוח 2020'!T95</f>
        <v>0</v>
      </c>
      <c r="U95" s="199">
        <f>'תקציב החברה לפיתוח 2020'!U95</f>
        <v>0</v>
      </c>
      <c r="V95" s="199">
        <f>'תקציב החברה לפיתוח 2020'!V95</f>
        <v>0</v>
      </c>
      <c r="W95" s="199">
        <f>'תקציב החברה לפיתוח 2020'!W95</f>
        <v>0</v>
      </c>
      <c r="X95" s="199">
        <f>'תקציב החברה לפיתוח 2020'!X95</f>
        <v>0</v>
      </c>
      <c r="Y95" s="199">
        <f>'תקציב החברה לפיתוח 2020'!Y95</f>
        <v>0</v>
      </c>
      <c r="Z95" s="199">
        <f>'תקציב החברה לפיתוח 2020'!Z95</f>
        <v>0</v>
      </c>
      <c r="AA95" s="341" t="str">
        <f>'תקציב החברה לפיתוח 2020'!AA95</f>
        <v>תכנון צומת הרב גורן מוהליבר עקב ריבוי תאונות דרכים עפ"י נתוני הרלב"ד. מימון מ. התחבורה. עבר מהנדסה.</v>
      </c>
      <c r="AB95" s="707">
        <f>'תקציב החברה לפיתוח 2020'!AB95</f>
        <v>742000</v>
      </c>
      <c r="AC95" s="191"/>
      <c r="AD95" s="191"/>
    </row>
    <row r="96" spans="1:37" s="5" customFormat="1" ht="19.95" customHeight="1">
      <c r="A96" s="198">
        <f t="shared" si="1"/>
        <v>91</v>
      </c>
      <c r="B96" s="707">
        <f>'תקציב החברה לפיתוח 2020'!B96</f>
        <v>2126</v>
      </c>
      <c r="C96" s="341" t="str">
        <f>'תקציב החברה לפיתוח 2020'!C96</f>
        <v>כיכר העוגן השונית</v>
      </c>
      <c r="D96" s="199">
        <f>'תקציב החברה לפיתוח 2020'!D96</f>
        <v>1375000</v>
      </c>
      <c r="E96" s="199">
        <f>'תקציב החברה לפיתוח 2020'!E96</f>
        <v>1375000</v>
      </c>
      <c r="F96" s="199">
        <f>'תקציב החברה לפיתוח 2020'!F96</f>
        <v>0</v>
      </c>
      <c r="G96" s="199">
        <f>'תקציב החברה לפיתוח 2020'!G96</f>
        <v>0</v>
      </c>
      <c r="H96" s="199">
        <f>'תקציב החברה לפיתוח 2020'!H96</f>
        <v>0</v>
      </c>
      <c r="I96" s="199">
        <f>'תקציב החברה לפיתוח 2020'!I96</f>
        <v>0</v>
      </c>
      <c r="J96" s="199">
        <f>'תקציב החברה לפיתוח 2020'!J96</f>
        <v>0</v>
      </c>
      <c r="K96" s="199">
        <f>'תקציב החברה לפיתוח 2020'!K96</f>
        <v>0</v>
      </c>
      <c r="L96" s="199">
        <f>'תקציב החברה לפיתוח 2020'!L96</f>
        <v>0</v>
      </c>
      <c r="M96" s="199">
        <f>'תקציב החברה לפיתוח 2020'!M96</f>
        <v>0</v>
      </c>
      <c r="N96" s="199">
        <f>'תקציב החברה לפיתוח 2020'!N96</f>
        <v>1375000</v>
      </c>
      <c r="O96" s="199">
        <f>'תקציב החברה לפיתוח 2020'!O96</f>
        <v>0</v>
      </c>
      <c r="P96" s="199">
        <f>'תקציב החברה לפיתוח 2020'!P96</f>
        <v>0</v>
      </c>
      <c r="Q96" s="199">
        <f>'תקציב החברה לפיתוח 2020'!Q96</f>
        <v>0</v>
      </c>
      <c r="R96" s="199">
        <f>'תקציב החברה לפיתוח 2020'!R96</f>
        <v>0</v>
      </c>
      <c r="S96" s="199">
        <f>'תקציב החברה לפיתוח 2020'!S96</f>
        <v>0</v>
      </c>
      <c r="T96" s="199">
        <f>'תקציב החברה לפיתוח 2020'!T96</f>
        <v>0</v>
      </c>
      <c r="U96" s="199">
        <f>'תקציב החברה לפיתוח 2020'!U96</f>
        <v>1375000</v>
      </c>
      <c r="V96" s="199">
        <f>'תקציב החברה לפיתוח 2020'!V96</f>
        <v>473755</v>
      </c>
      <c r="W96" s="199">
        <f>'תקציב החברה לפיתוח 2020'!W96</f>
        <v>0</v>
      </c>
      <c r="X96" s="199">
        <f>'תקציב החברה לפיתוח 2020'!X96</f>
        <v>0</v>
      </c>
      <c r="Y96" s="199">
        <f>'תקציב החברה לפיתוח 2020'!Y96</f>
        <v>0</v>
      </c>
      <c r="Z96" s="199">
        <f>'תקציב החברה לפיתוח 2020'!Z96</f>
        <v>901245</v>
      </c>
      <c r="AA96" s="341" t="str">
        <f>'תקציב החברה לפיתוח 2020'!AA96</f>
        <v xml:space="preserve">מימון מ. התחבורה. עבר מהנדסה. </v>
      </c>
      <c r="AB96" s="707">
        <f>'תקציב החברה לפיתוח 2020'!AB96</f>
        <v>742000</v>
      </c>
      <c r="AC96" s="191"/>
      <c r="AD96" s="191"/>
    </row>
    <row r="97" spans="1:37" s="6" customFormat="1" ht="62.4" customHeight="1">
      <c r="A97" s="198">
        <f t="shared" si="1"/>
        <v>92</v>
      </c>
      <c r="B97" s="707">
        <f>'תקציב החברה לפיתוח 2020'!B97</f>
        <v>2127</v>
      </c>
      <c r="C97" s="341" t="str">
        <f>'תקציב החברה לפיתוח 2020'!C97</f>
        <v>הגנה על מצוקי הים</v>
      </c>
      <c r="D97" s="199">
        <f>'תקציב החברה לפיתוח 2020'!D97</f>
        <v>1000000</v>
      </c>
      <c r="E97" s="199">
        <f>'תקציב החברה לפיתוח 2020'!E97</f>
        <v>1000000</v>
      </c>
      <c r="F97" s="199">
        <f>'תקציב החברה לפיתוח 2020'!F97</f>
        <v>0</v>
      </c>
      <c r="G97" s="199">
        <f>'תקציב החברה לפיתוח 2020'!G97</f>
        <v>250000</v>
      </c>
      <c r="H97" s="199">
        <f>'תקציב החברה לפיתוח 2020'!H97</f>
        <v>0</v>
      </c>
      <c r="I97" s="199">
        <f>'תקציב החברה לפיתוח 2020'!I97</f>
        <v>0</v>
      </c>
      <c r="J97" s="199">
        <f>'תקציב החברה לפיתוח 2020'!J97</f>
        <v>0</v>
      </c>
      <c r="K97" s="199">
        <f>'תקציב החברה לפיתוח 2020'!K97</f>
        <v>0</v>
      </c>
      <c r="L97" s="199">
        <f>'תקציב החברה לפיתוח 2020'!L97</f>
        <v>0</v>
      </c>
      <c r="M97" s="199">
        <f>'תקציב החברה לפיתוח 2020'!M97</f>
        <v>1000000</v>
      </c>
      <c r="N97" s="199">
        <f>'תקציב החברה לפיתוח 2020'!N97</f>
        <v>0</v>
      </c>
      <c r="O97" s="199">
        <f>'תקציב החברה לפיתוח 2020'!O97</f>
        <v>0</v>
      </c>
      <c r="P97" s="199">
        <f>'תקציב החברה לפיתוח 2020'!P97</f>
        <v>250000</v>
      </c>
      <c r="Q97" s="199">
        <f>'תקציב החברה לפיתוח 2020'!Q97</f>
        <v>0</v>
      </c>
      <c r="R97" s="199">
        <f>'תקציב החברה לפיתוח 2020'!R97</f>
        <v>750000</v>
      </c>
      <c r="S97" s="199">
        <f>'תקציב החברה לפיתוח 2020'!S97</f>
        <v>750000</v>
      </c>
      <c r="T97" s="199">
        <f>'תקציב החברה לפיתוח 2020'!T97</f>
        <v>0</v>
      </c>
      <c r="U97" s="199">
        <f>'תקציב החברה לפיתוח 2020'!U97</f>
        <v>0</v>
      </c>
      <c r="V97" s="199">
        <f>'תקציב החברה לפיתוח 2020'!V97</f>
        <v>0</v>
      </c>
      <c r="W97" s="199">
        <f>'תקציב החברה לפיתוח 2020'!W97</f>
        <v>0</v>
      </c>
      <c r="X97" s="199">
        <f>'תקציב החברה לפיתוח 2020'!X97</f>
        <v>0</v>
      </c>
      <c r="Y97" s="199">
        <f>'תקציב החברה לפיתוח 2020'!Y97</f>
        <v>0</v>
      </c>
      <c r="Z97" s="199">
        <f>'תקציב החברה לפיתוח 2020'!Z97</f>
        <v>0</v>
      </c>
      <c r="AA97" s="341" t="str">
        <f>'תקציב החברה לפיתוח 2020'!AA97</f>
        <v xml:space="preserve">גיבוש תוכנית פעולות לעבודות הגנה על מצוקי חופי הים . ב - 2020 תכנון. בהמשך הביצוע במימון חלקי של מ. הפנים. </v>
      </c>
      <c r="AB97" s="707">
        <f>'תקציב החברה לפיתוח 2020'!AB97</f>
        <v>732000</v>
      </c>
      <c r="AC97" s="191"/>
      <c r="AD97" s="191"/>
      <c r="AE97" s="624"/>
      <c r="AF97" s="627"/>
    </row>
    <row r="98" spans="1:37" s="6" customFormat="1" ht="27.6">
      <c r="A98" s="198">
        <f t="shared" si="1"/>
        <v>93</v>
      </c>
      <c r="B98" s="707">
        <f>'תקציב החברה לפיתוח 2020'!B98</f>
        <v>2130</v>
      </c>
      <c r="C98" s="341" t="str">
        <f>'תקציב החברה לפיתוח 2020'!C98</f>
        <v>עיצוב חצר לימודית בי"ס גורדון</v>
      </c>
      <c r="D98" s="199">
        <f>'תקציב החברה לפיתוח 2020'!D98</f>
        <v>500000</v>
      </c>
      <c r="E98" s="199">
        <f>'תקציב החברה לפיתוח 2020'!E98</f>
        <v>500000</v>
      </c>
      <c r="F98" s="199">
        <f>'תקציב החברה לפיתוח 2020'!F98</f>
        <v>0</v>
      </c>
      <c r="G98" s="199">
        <f>'תקציב החברה לפיתוח 2020'!G98</f>
        <v>0</v>
      </c>
      <c r="H98" s="199">
        <f>'תקציב החברה לפיתוח 2020'!H98</f>
        <v>0</v>
      </c>
      <c r="I98" s="199">
        <f>'תקציב החברה לפיתוח 2020'!I98</f>
        <v>0</v>
      </c>
      <c r="J98" s="199">
        <f>'תקציב החברה לפיתוח 2020'!J98</f>
        <v>0</v>
      </c>
      <c r="K98" s="199">
        <f>'תקציב החברה לפיתוח 2020'!K98</f>
        <v>0</v>
      </c>
      <c r="L98" s="199">
        <f>'תקציב החברה לפיתוח 2020'!L98</f>
        <v>0</v>
      </c>
      <c r="M98" s="199">
        <f>'תקציב החברה לפיתוח 2020'!M98</f>
        <v>500000</v>
      </c>
      <c r="N98" s="199">
        <f>'תקציב החברה לפיתוח 2020'!N98</f>
        <v>0</v>
      </c>
      <c r="O98" s="199">
        <f>'תקציב החברה לפיתוח 2020'!O98</f>
        <v>0</v>
      </c>
      <c r="P98" s="199">
        <f>'תקציב החברה לפיתוח 2020'!P98</f>
        <v>0</v>
      </c>
      <c r="Q98" s="199">
        <f>'תקציב החברה לפיתוח 2020'!Q98</f>
        <v>0</v>
      </c>
      <c r="R98" s="199">
        <f>'תקציב החברה לפיתוח 2020'!R98</f>
        <v>500000</v>
      </c>
      <c r="S98" s="199">
        <f>'תקציב החברה לפיתוח 2020'!S98</f>
        <v>500000</v>
      </c>
      <c r="T98" s="199">
        <f>'תקציב החברה לפיתוח 2020'!T98</f>
        <v>0</v>
      </c>
      <c r="U98" s="199">
        <f>'תקציב החברה לפיתוח 2020'!U98</f>
        <v>0</v>
      </c>
      <c r="V98" s="199">
        <f>'תקציב החברה לפיתוח 2020'!V98</f>
        <v>0</v>
      </c>
      <c r="W98" s="199">
        <f>'תקציב החברה לפיתוח 2020'!W98</f>
        <v>0</v>
      </c>
      <c r="X98" s="199">
        <f>'תקציב החברה לפיתוח 2020'!X98</f>
        <v>0</v>
      </c>
      <c r="Y98" s="199">
        <f>'תקציב החברה לפיתוח 2020'!Y98</f>
        <v>0</v>
      </c>
      <c r="Z98" s="199">
        <f>'תקציב החברה לפיתוח 2020'!Z98</f>
        <v>0</v>
      </c>
      <c r="AA98" s="341" t="str">
        <f>'תקציב החברה לפיתוח 2020'!AA98</f>
        <v>עיצוב חצר לימודית בי"ס גורדון. מימון חלקי מ. החינוך.</v>
      </c>
      <c r="AB98" s="707">
        <f>'תקציב החברה לפיתוח 2020'!AB98</f>
        <v>732000</v>
      </c>
      <c r="AC98" s="191"/>
      <c r="AD98" s="191"/>
      <c r="AE98" s="624"/>
      <c r="AF98" s="627"/>
    </row>
    <row r="99" spans="1:37" s="5" customFormat="1" ht="41.4">
      <c r="A99" s="198">
        <f t="shared" si="1"/>
        <v>94</v>
      </c>
      <c r="B99" s="707">
        <f>'תקציב החברה לפיתוח 2020'!B99</f>
        <v>2147</v>
      </c>
      <c r="C99" s="341" t="str">
        <f>'תקציב החברה לפיתוח 2020'!C99</f>
        <v>השלמת 6 כיתות בנבון</v>
      </c>
      <c r="D99" s="199">
        <f>'תקציב החברה לפיתוח 2020'!D99</f>
        <v>5030000</v>
      </c>
      <c r="E99" s="199">
        <f>'תקציב החברה לפיתוח 2020'!E99</f>
        <v>0</v>
      </c>
      <c r="F99" s="199">
        <f>'תקציב החברה לפיתוח 2020'!F99</f>
        <v>5030000</v>
      </c>
      <c r="G99" s="199">
        <f>'תקציב החברה לפיתוח 2020'!G99</f>
        <v>0</v>
      </c>
      <c r="H99" s="199">
        <f>'תקציב החברה לפיתוח 2020'!H99</f>
        <v>0</v>
      </c>
      <c r="I99" s="199">
        <f>'תקציב החברה לפיתוח 2020'!I99</f>
        <v>0</v>
      </c>
      <c r="J99" s="199">
        <f>'תקציב החברה לפיתוח 2020'!J99</f>
        <v>0</v>
      </c>
      <c r="K99" s="199">
        <f>'תקציב החברה לפיתוח 2020'!K99</f>
        <v>0</v>
      </c>
      <c r="L99" s="199">
        <f>'תקציב החברה לפיתוח 2020'!L99</f>
        <v>0</v>
      </c>
      <c r="M99" s="199">
        <f>'תקציב החברה לפיתוח 2020'!M99</f>
        <v>0</v>
      </c>
      <c r="N99" s="199">
        <f>'תקציב החברה לפיתוח 2020'!N99</f>
        <v>4030000</v>
      </c>
      <c r="O99" s="199">
        <f>'תקציב החברה לפיתוח 2020'!O99</f>
        <v>1000000</v>
      </c>
      <c r="P99" s="199">
        <f>'תקציב החברה לפיתוח 2020'!P99</f>
        <v>0</v>
      </c>
      <c r="Q99" s="199">
        <f>'תקציב החברה לפיתוח 2020'!Q99</f>
        <v>0</v>
      </c>
      <c r="R99" s="199">
        <f>'תקציב החברה לפיתוח 2020'!R99</f>
        <v>0</v>
      </c>
      <c r="S99" s="199">
        <f>'תקציב החברה לפיתוח 2020'!S99</f>
        <v>0</v>
      </c>
      <c r="T99" s="199">
        <f>'תקציב החברה לפיתוח 2020'!T99</f>
        <v>0</v>
      </c>
      <c r="U99" s="199">
        <f>'תקציב החברה לפיתוח 2020'!U99</f>
        <v>4030000</v>
      </c>
      <c r="V99" s="199">
        <f>'תקציב החברה לפיתוח 2020'!V99</f>
        <v>4030000</v>
      </c>
      <c r="W99" s="199">
        <f>'תקציב החברה לפיתוח 2020'!W99</f>
        <v>0</v>
      </c>
      <c r="X99" s="199">
        <f>'תקציב החברה לפיתוח 2020'!X99</f>
        <v>0</v>
      </c>
      <c r="Y99" s="199">
        <f>'תקציב החברה לפיתוח 2020'!Y99</f>
        <v>0</v>
      </c>
      <c r="Z99" s="199">
        <f>'תקציב החברה לפיתוח 2020'!Z99</f>
        <v>0</v>
      </c>
      <c r="AA99" s="341" t="str">
        <f>'תקציב החברה לפיתוח 2020'!AA99</f>
        <v xml:space="preserve">הוספת 6 כיתות כולל מיקלוט במתחם בי"ס נבון. הצטיידות בחינוך. </v>
      </c>
      <c r="AB99" s="707">
        <f>'תקציב החברה לפיתוח 2020'!AB99</f>
        <v>810000</v>
      </c>
      <c r="AC99" s="191"/>
      <c r="AD99" s="191"/>
    </row>
    <row r="100" spans="1:37" s="5" customFormat="1" ht="27.6" customHeight="1">
      <c r="A100" s="198">
        <f t="shared" si="1"/>
        <v>95</v>
      </c>
      <c r="B100" s="707">
        <f>'תקציב החברה לפיתוח 2020'!B100</f>
        <v>2148</v>
      </c>
      <c r="C100" s="341" t="str">
        <f>'תקציב החברה לפיתוח 2020'!C100</f>
        <v>מתקן חניה עילי בספיר</v>
      </c>
      <c r="D100" s="199">
        <f>'תקציב החברה לפיתוח 2020'!D100</f>
        <v>1200000</v>
      </c>
      <c r="E100" s="199">
        <f>'תקציב החברה לפיתוח 2020'!E100</f>
        <v>0</v>
      </c>
      <c r="F100" s="199">
        <f>'תקציב החברה לפיתוח 2020'!F100</f>
        <v>1200000</v>
      </c>
      <c r="G100" s="199">
        <f>'תקציב החברה לפיתוח 2020'!G100</f>
        <v>0</v>
      </c>
      <c r="H100" s="199">
        <f>'תקציב החברה לפיתוח 2020'!H100</f>
        <v>0</v>
      </c>
      <c r="I100" s="199">
        <f>'תקציב החברה לפיתוח 2020'!I100</f>
        <v>0</v>
      </c>
      <c r="J100" s="199">
        <f>'תקציב החברה לפיתוח 2020'!J100</f>
        <v>0</v>
      </c>
      <c r="K100" s="199">
        <f>'תקציב החברה לפיתוח 2020'!K100</f>
        <v>0</v>
      </c>
      <c r="L100" s="199">
        <f>'תקציב החברה לפיתוח 2020'!L100</f>
        <v>0</v>
      </c>
      <c r="M100" s="199">
        <f>'תקציב החברה לפיתוח 2020'!M100</f>
        <v>0</v>
      </c>
      <c r="N100" s="199">
        <f>'תקציב החברה לפיתוח 2020'!N100</f>
        <v>1200000</v>
      </c>
      <c r="O100" s="199">
        <f>'תקציב החברה לפיתוח 2020'!O100</f>
        <v>0</v>
      </c>
      <c r="P100" s="199">
        <f>'תקציב החברה לפיתוח 2020'!P100</f>
        <v>0</v>
      </c>
      <c r="Q100" s="199">
        <f>'תקציב החברה לפיתוח 2020'!Q100</f>
        <v>0</v>
      </c>
      <c r="R100" s="199">
        <f>'תקציב החברה לפיתוח 2020'!R100</f>
        <v>0</v>
      </c>
      <c r="S100" s="199">
        <f>'תקציב החברה לפיתוח 2020'!S100</f>
        <v>0</v>
      </c>
      <c r="T100" s="199">
        <f>'תקציב החברה לפיתוח 2020'!T100</f>
        <v>0</v>
      </c>
      <c r="U100" s="199">
        <f>'תקציב החברה לפיתוח 2020'!U100</f>
        <v>1200000</v>
      </c>
      <c r="V100" s="199">
        <f>'תקציב החברה לפיתוח 2020'!V100</f>
        <v>1200000</v>
      </c>
      <c r="W100" s="199">
        <f>'תקציב החברה לפיתוח 2020'!W100</f>
        <v>0</v>
      </c>
      <c r="X100" s="199">
        <f>'תקציב החברה לפיתוח 2020'!X100</f>
        <v>0</v>
      </c>
      <c r="Y100" s="199">
        <f>'תקציב החברה לפיתוח 2020'!Y100</f>
        <v>0</v>
      </c>
      <c r="Z100" s="199">
        <f>'תקציב החברה לפיתוח 2020'!Z100</f>
        <v>0</v>
      </c>
      <c r="AA100" s="341" t="str">
        <f>'תקציב החברה לפיתוח 2020'!AA100</f>
        <v>הקמת מתקן חניה עילי בחניון ספיר.</v>
      </c>
      <c r="AB100" s="707">
        <f>'תקציב החברה לפיתוח 2020'!AB100</f>
        <v>742000</v>
      </c>
      <c r="AC100" s="191"/>
      <c r="AD100" s="191"/>
    </row>
    <row r="101" spans="1:37" s="5" customFormat="1" ht="55.2">
      <c r="A101" s="198">
        <f t="shared" si="1"/>
        <v>96</v>
      </c>
      <c r="B101" s="707">
        <f>'תקציב החברה לפיתוח 2020'!B101</f>
        <v>2149</v>
      </c>
      <c r="C101" s="341" t="str">
        <f>'תקציב החברה לפיתוח 2020'!C101</f>
        <v>גנ"י חדשים</v>
      </c>
      <c r="D101" s="199">
        <f>'תקציב החברה לפיתוח 2020'!D101</f>
        <v>30000000</v>
      </c>
      <c r="E101" s="199">
        <f>'תקציב החברה לפיתוח 2020'!E101</f>
        <v>0</v>
      </c>
      <c r="F101" s="199">
        <f>'תקציב החברה לפיתוח 2020'!F101</f>
        <v>30000000</v>
      </c>
      <c r="G101" s="199">
        <f>'תקציב החברה לפיתוח 2020'!G101</f>
        <v>0</v>
      </c>
      <c r="H101" s="199">
        <f>'תקציב החברה לפיתוח 2020'!H101</f>
        <v>0</v>
      </c>
      <c r="I101" s="199">
        <f>'תקציב החברה לפיתוח 2020'!I101</f>
        <v>0</v>
      </c>
      <c r="J101" s="199">
        <f>'תקציב החברה לפיתוח 2020'!J101</f>
        <v>0</v>
      </c>
      <c r="K101" s="199">
        <f>'תקציב החברה לפיתוח 2020'!K101</f>
        <v>0</v>
      </c>
      <c r="L101" s="199">
        <f>'תקציב החברה לפיתוח 2020'!L101</f>
        <v>0</v>
      </c>
      <c r="M101" s="199">
        <f>'תקציב החברה לפיתוח 2020'!M101</f>
        <v>0</v>
      </c>
      <c r="N101" s="199">
        <f>'תקציב החברה לפיתוח 2020'!N101</f>
        <v>2000000</v>
      </c>
      <c r="O101" s="199">
        <f>'תקציב החברה לפיתוח 2020'!O101</f>
        <v>28000000</v>
      </c>
      <c r="P101" s="199">
        <f>'תקציב החברה לפיתוח 2020'!P101</f>
        <v>0</v>
      </c>
      <c r="Q101" s="199">
        <f>'תקציב החברה לפיתוח 2020'!Q101</f>
        <v>0</v>
      </c>
      <c r="R101" s="199">
        <f>'תקציב החברה לפיתוח 2020'!R101</f>
        <v>0</v>
      </c>
      <c r="S101" s="199">
        <f>'תקציב החברה לפיתוח 2020'!S101</f>
        <v>0</v>
      </c>
      <c r="T101" s="199">
        <f>'תקציב החברה לפיתוח 2020'!T101</f>
        <v>0</v>
      </c>
      <c r="U101" s="199">
        <f>'תקציב החברה לפיתוח 2020'!U101</f>
        <v>2000000</v>
      </c>
      <c r="V101" s="199">
        <f>'תקציב החברה לפיתוח 2020'!V101</f>
        <v>2000000</v>
      </c>
      <c r="W101" s="199">
        <f>'תקציב החברה לפיתוח 2020'!W101</f>
        <v>0</v>
      </c>
      <c r="X101" s="199">
        <f>'תקציב החברה לפיתוח 2020'!X101</f>
        <v>0</v>
      </c>
      <c r="Y101" s="199">
        <f>'תקציב החברה לפיתוח 2020'!Y101</f>
        <v>0</v>
      </c>
      <c r="Z101" s="199">
        <f>'תקציב החברה לפיתוח 2020'!Z101</f>
        <v>0</v>
      </c>
      <c r="AA101" s="341" t="str">
        <f>'תקציב החברה לפיתוח 2020'!AA101</f>
        <v xml:space="preserve">מתחמים (2) בשז"ר ומתחמים (2) באיזור לב טוב. כל מתחם 3 גנ"י. לפי אומדן של 7.5 מלשח למתחם. ב - 2020 תכנון. </v>
      </c>
      <c r="AB101" s="707">
        <f>'תקציב החברה לפיתוח 2020'!AB101</f>
        <v>810000</v>
      </c>
      <c r="AC101" s="191"/>
      <c r="AD101" s="191"/>
    </row>
    <row r="102" spans="1:37" s="5" customFormat="1" ht="49.8" customHeight="1">
      <c r="A102" s="198">
        <f t="shared" si="1"/>
        <v>97</v>
      </c>
      <c r="B102" s="707">
        <f>'תקציב החברה לפיתוח 2020'!B102</f>
        <v>2150</v>
      </c>
      <c r="C102" s="341" t="str">
        <f>'תקציב החברה לפיתוח 2020'!C102</f>
        <v>חורשת האקליפטוסים במתחם הר 1960</v>
      </c>
      <c r="D102" s="199">
        <f>'תקציב החברה לפיתוח 2020'!D102</f>
        <v>3500000</v>
      </c>
      <c r="E102" s="199">
        <f>'תקציב החברה לפיתוח 2020'!E102</f>
        <v>0</v>
      </c>
      <c r="F102" s="199">
        <f>'תקציב החברה לפיתוח 2020'!F102</f>
        <v>3500000</v>
      </c>
      <c r="G102" s="199">
        <f>'תקציב החברה לפיתוח 2020'!G102</f>
        <v>0</v>
      </c>
      <c r="H102" s="199">
        <f>'תקציב החברה לפיתוח 2020'!H102</f>
        <v>0</v>
      </c>
      <c r="I102" s="199">
        <f>'תקציב החברה לפיתוח 2020'!I102</f>
        <v>0</v>
      </c>
      <c r="J102" s="199">
        <f>'תקציב החברה לפיתוח 2020'!J102</f>
        <v>0</v>
      </c>
      <c r="K102" s="199">
        <f>'תקציב החברה לפיתוח 2020'!K102</f>
        <v>0</v>
      </c>
      <c r="L102" s="199">
        <f>'תקציב החברה לפיתוח 2020'!L102</f>
        <v>0</v>
      </c>
      <c r="M102" s="199">
        <f>'תקציב החברה לפיתוח 2020'!M102</f>
        <v>0</v>
      </c>
      <c r="N102" s="199">
        <f>'תקציב החברה לפיתוח 2020'!N102</f>
        <v>3500000</v>
      </c>
      <c r="O102" s="199">
        <f>'תקציב החברה לפיתוח 2020'!O102</f>
        <v>0</v>
      </c>
      <c r="P102" s="199">
        <f>'תקציב החברה לפיתוח 2020'!P102</f>
        <v>0</v>
      </c>
      <c r="Q102" s="199">
        <f>'תקציב החברה לפיתוח 2020'!Q102</f>
        <v>0</v>
      </c>
      <c r="R102" s="199">
        <f>'תקציב החברה לפיתוח 2020'!R102</f>
        <v>0</v>
      </c>
      <c r="S102" s="199">
        <f>'תקציב החברה לפיתוח 2020'!S102</f>
        <v>0</v>
      </c>
      <c r="T102" s="199">
        <f>'תקציב החברה לפיתוח 2020'!T102</f>
        <v>0</v>
      </c>
      <c r="U102" s="199">
        <f>'תקציב החברה לפיתוח 2020'!U102</f>
        <v>3500000</v>
      </c>
      <c r="V102" s="199">
        <f>'תקציב החברה לפיתוח 2020'!V102</f>
        <v>3500000</v>
      </c>
      <c r="W102" s="199">
        <f>'תקציב החברה לפיתוח 2020'!W102</f>
        <v>0</v>
      </c>
      <c r="X102" s="199">
        <f>'תקציב החברה לפיתוח 2020'!X102</f>
        <v>0</v>
      </c>
      <c r="Y102" s="199">
        <f>'תקציב החברה לפיתוח 2020'!Y102</f>
        <v>0</v>
      </c>
      <c r="Z102" s="199">
        <f>'תקציב החברה לפיתוח 2020'!Z102</f>
        <v>0</v>
      </c>
      <c r="AA102" s="341" t="str">
        <f>'תקציב החברה לפיתוח 2020'!AA102</f>
        <v>ביצוע שצ"פ מלכי יהודה (האקליפטוס) תב"ע 1960. עבר מהנדסה.</v>
      </c>
      <c r="AB102" s="707">
        <f>'תקציב החברה לפיתוח 2020'!AB102</f>
        <v>746000</v>
      </c>
      <c r="AC102" s="191"/>
      <c r="AD102" s="191"/>
    </row>
    <row r="103" spans="1:37" s="5" customFormat="1" ht="25.05" customHeight="1">
      <c r="A103" s="198">
        <f t="shared" si="1"/>
        <v>98</v>
      </c>
      <c r="B103" s="707">
        <f>'תקציב החברה לפיתוח 2020'!B103</f>
        <v>2151</v>
      </c>
      <c r="C103" s="341" t="str">
        <f>'תקציב החברה לפיתוח 2020'!C103</f>
        <v>מתחם בזק</v>
      </c>
      <c r="D103" s="199">
        <f>'תקציב החברה לפיתוח 2020'!D103</f>
        <v>2000000</v>
      </c>
      <c r="E103" s="199">
        <f>'תקציב החברה לפיתוח 2020'!E103</f>
        <v>0</v>
      </c>
      <c r="F103" s="199">
        <f>'תקציב החברה לפיתוח 2020'!F103</f>
        <v>2000000</v>
      </c>
      <c r="G103" s="199">
        <f>'תקציב החברה לפיתוח 2020'!G103</f>
        <v>0</v>
      </c>
      <c r="H103" s="199">
        <f>'תקציב החברה לפיתוח 2020'!H103</f>
        <v>0</v>
      </c>
      <c r="I103" s="199">
        <f>'תקציב החברה לפיתוח 2020'!I103</f>
        <v>0</v>
      </c>
      <c r="J103" s="199">
        <f>'תקציב החברה לפיתוח 2020'!J103</f>
        <v>0</v>
      </c>
      <c r="K103" s="199">
        <f>'תקציב החברה לפיתוח 2020'!K103</f>
        <v>0</v>
      </c>
      <c r="L103" s="199">
        <f>'תקציב החברה לפיתוח 2020'!L103</f>
        <v>0</v>
      </c>
      <c r="M103" s="199">
        <f>'תקציב החברה לפיתוח 2020'!M103</f>
        <v>0</v>
      </c>
      <c r="N103" s="199">
        <f>'תקציב החברה לפיתוח 2020'!N103</f>
        <v>2000000</v>
      </c>
      <c r="O103" s="199">
        <f>'תקציב החברה לפיתוח 2020'!O103</f>
        <v>0</v>
      </c>
      <c r="P103" s="199">
        <f>'תקציב החברה לפיתוח 2020'!P103</f>
        <v>0</v>
      </c>
      <c r="Q103" s="199">
        <f>'תקציב החברה לפיתוח 2020'!Q103</f>
        <v>0</v>
      </c>
      <c r="R103" s="199">
        <f>'תקציב החברה לפיתוח 2020'!R103</f>
        <v>0</v>
      </c>
      <c r="S103" s="199">
        <f>'תקציב החברה לפיתוח 2020'!S103</f>
        <v>0</v>
      </c>
      <c r="T103" s="199">
        <f>'תקציב החברה לפיתוח 2020'!T103</f>
        <v>0</v>
      </c>
      <c r="U103" s="199">
        <f>'תקציב החברה לפיתוח 2020'!U103</f>
        <v>2000000</v>
      </c>
      <c r="V103" s="199">
        <f>'תקציב החברה לפיתוח 2020'!V103</f>
        <v>2000000</v>
      </c>
      <c r="W103" s="199">
        <f>'תקציב החברה לפיתוח 2020'!W103</f>
        <v>0</v>
      </c>
      <c r="X103" s="199">
        <f>'תקציב החברה לפיתוח 2020'!X103</f>
        <v>0</v>
      </c>
      <c r="Y103" s="199">
        <f>'תקציב החברה לפיתוח 2020'!Y103</f>
        <v>0</v>
      </c>
      <c r="Z103" s="199">
        <f>'תקציב החברה לפיתוח 2020'!Z103</f>
        <v>0</v>
      </c>
      <c r="AA103" s="341" t="str">
        <f>'תקציב החברה לפיתוח 2020'!AA103</f>
        <v>תכנון ראשוני של פיתוח מתחם "בזק".</v>
      </c>
      <c r="AB103" s="707">
        <f>'תקציב החברה לפיתוח 2020'!AB103</f>
        <v>742000</v>
      </c>
      <c r="AC103" s="191"/>
      <c r="AD103" s="191"/>
    </row>
    <row r="104" spans="1:37" s="5" customFormat="1" ht="19.95" customHeight="1">
      <c r="A104" s="198">
        <f t="shared" si="1"/>
        <v>99</v>
      </c>
      <c r="B104" s="707">
        <f>'תקציב החברה לפיתוח 2020'!B104</f>
        <v>2152</v>
      </c>
      <c r="C104" s="341" t="str">
        <f>'תקציב החברה לפיתוח 2020'!C104</f>
        <v>בית ספר בן צבי</v>
      </c>
      <c r="D104" s="199">
        <f>'תקציב החברה לפיתוח 2020'!D104</f>
        <v>500000</v>
      </c>
      <c r="E104" s="199">
        <f>'תקציב החברה לפיתוח 2020'!E104</f>
        <v>0</v>
      </c>
      <c r="F104" s="199">
        <f>'תקציב החברה לפיתוח 2020'!F104</f>
        <v>500000</v>
      </c>
      <c r="G104" s="199">
        <f>'תקציב החברה לפיתוח 2020'!G104</f>
        <v>0</v>
      </c>
      <c r="H104" s="199">
        <f>'תקציב החברה לפיתוח 2020'!H104</f>
        <v>0</v>
      </c>
      <c r="I104" s="199">
        <f>'תקציב החברה לפיתוח 2020'!I104</f>
        <v>0</v>
      </c>
      <c r="J104" s="199">
        <f>'תקציב החברה לפיתוח 2020'!J104</f>
        <v>0</v>
      </c>
      <c r="K104" s="199">
        <f>'תקציב החברה לפיתוח 2020'!K104</f>
        <v>0</v>
      </c>
      <c r="L104" s="199">
        <f>'תקציב החברה לפיתוח 2020'!L104</f>
        <v>0</v>
      </c>
      <c r="M104" s="199">
        <f>'תקציב החברה לפיתוח 2020'!M104</f>
        <v>0</v>
      </c>
      <c r="N104" s="199">
        <f>'תקציב החברה לפיתוח 2020'!N104</f>
        <v>500000</v>
      </c>
      <c r="O104" s="199">
        <f>'תקציב החברה לפיתוח 2020'!O104</f>
        <v>0</v>
      </c>
      <c r="P104" s="199">
        <f>'תקציב החברה לפיתוח 2020'!P104</f>
        <v>0</v>
      </c>
      <c r="Q104" s="199">
        <f>'תקציב החברה לפיתוח 2020'!Q104</f>
        <v>0</v>
      </c>
      <c r="R104" s="199">
        <f>'תקציב החברה לפיתוח 2020'!R104</f>
        <v>0</v>
      </c>
      <c r="S104" s="199">
        <f>'תקציב החברה לפיתוח 2020'!S104</f>
        <v>0</v>
      </c>
      <c r="T104" s="199">
        <f>'תקציב החברה לפיתוח 2020'!T104</f>
        <v>0</v>
      </c>
      <c r="U104" s="199">
        <f>'תקציב החברה לפיתוח 2020'!U104</f>
        <v>500000</v>
      </c>
      <c r="V104" s="199">
        <f>'תקציב החברה לפיתוח 2020'!V104</f>
        <v>500000</v>
      </c>
      <c r="W104" s="199">
        <f>'תקציב החברה לפיתוח 2020'!W104</f>
        <v>0</v>
      </c>
      <c r="X104" s="199">
        <f>'תקציב החברה לפיתוח 2020'!X104</f>
        <v>0</v>
      </c>
      <c r="Y104" s="199">
        <f>'תקציב החברה לפיתוח 2020'!Y104</f>
        <v>0</v>
      </c>
      <c r="Z104" s="199">
        <f>'תקציב החברה לפיתוח 2020'!Z104</f>
        <v>0</v>
      </c>
      <c r="AA104" s="341" t="str">
        <f>'תקציב החברה לפיתוח 2020'!AA104</f>
        <v>תכנון ראשוני בי"ס בן צבי.</v>
      </c>
      <c r="AB104" s="707">
        <f>'תקציב החברה לפיתוח 2020'!AB104</f>
        <v>810000</v>
      </c>
      <c r="AC104" s="191"/>
      <c r="AD104" s="191"/>
    </row>
    <row r="105" spans="1:37" s="5" customFormat="1" ht="27.6">
      <c r="A105" s="198">
        <f t="shared" si="1"/>
        <v>100</v>
      </c>
      <c r="B105" s="707">
        <f>'תקציב החברה לפיתוח 2020'!B105</f>
        <v>2153</v>
      </c>
      <c r="C105" s="341" t="str">
        <f>'תקציב החברה לפיתוח 2020'!C105</f>
        <v>הקמת ארנה</v>
      </c>
      <c r="D105" s="199">
        <f>'תקציב החברה לפיתוח 2020'!D105</f>
        <v>1000000</v>
      </c>
      <c r="E105" s="199">
        <f>'תקציב החברה לפיתוח 2020'!E105</f>
        <v>0</v>
      </c>
      <c r="F105" s="199">
        <f>'תקציב החברה לפיתוח 2020'!F105</f>
        <v>1000000</v>
      </c>
      <c r="G105" s="199">
        <f>'תקציב החברה לפיתוח 2020'!G105</f>
        <v>0</v>
      </c>
      <c r="H105" s="199">
        <f>'תקציב החברה לפיתוח 2020'!H105</f>
        <v>0</v>
      </c>
      <c r="I105" s="199">
        <f>'תקציב החברה לפיתוח 2020'!I105</f>
        <v>0</v>
      </c>
      <c r="J105" s="199">
        <f>'תקציב החברה לפיתוח 2020'!J105</f>
        <v>0</v>
      </c>
      <c r="K105" s="199">
        <f>'תקציב החברה לפיתוח 2020'!K105</f>
        <v>0</v>
      </c>
      <c r="L105" s="199">
        <f>'תקציב החברה לפיתוח 2020'!L105</f>
        <v>0</v>
      </c>
      <c r="M105" s="199">
        <f>'תקציב החברה לפיתוח 2020'!M105</f>
        <v>0</v>
      </c>
      <c r="N105" s="199">
        <f>'תקציב החברה לפיתוח 2020'!N105</f>
        <v>1000000</v>
      </c>
      <c r="O105" s="199">
        <f>'תקציב החברה לפיתוח 2020'!O105</f>
        <v>0</v>
      </c>
      <c r="P105" s="199">
        <f>'תקציב החברה לפיתוח 2020'!P105</f>
        <v>0</v>
      </c>
      <c r="Q105" s="199">
        <f>'תקציב החברה לפיתוח 2020'!Q105</f>
        <v>0</v>
      </c>
      <c r="R105" s="199">
        <f>'תקציב החברה לפיתוח 2020'!R105</f>
        <v>0</v>
      </c>
      <c r="S105" s="199">
        <f>'תקציב החברה לפיתוח 2020'!S105</f>
        <v>0</v>
      </c>
      <c r="T105" s="199">
        <f>'תקציב החברה לפיתוח 2020'!T105</f>
        <v>0</v>
      </c>
      <c r="U105" s="199">
        <f>'תקציב החברה לפיתוח 2020'!U105</f>
        <v>1000000</v>
      </c>
      <c r="V105" s="199">
        <f>'תקציב החברה לפיתוח 2020'!V105</f>
        <v>1000000</v>
      </c>
      <c r="W105" s="199">
        <f>'תקציב החברה לפיתוח 2020'!W105</f>
        <v>0</v>
      </c>
      <c r="X105" s="199">
        <f>'תקציב החברה לפיתוח 2020'!X105</f>
        <v>0</v>
      </c>
      <c r="Y105" s="199">
        <f>'תקציב החברה לפיתוח 2020'!Y105</f>
        <v>0</v>
      </c>
      <c r="Z105" s="199">
        <f>'תקציב החברה לפיתוח 2020'!Z105</f>
        <v>0</v>
      </c>
      <c r="AA105" s="341" t="str">
        <f>'תקציב החברה לפיתוח 2020'!AA105</f>
        <v>ב - 2020 : תכנון ראשוני הקמת ארנה באיזור האיצטדיון.</v>
      </c>
      <c r="AB105" s="707">
        <f>'תקציב החברה לפיתוח 2020'!AB105</f>
        <v>829000</v>
      </c>
      <c r="AC105" s="191"/>
      <c r="AD105" s="191"/>
    </row>
    <row r="106" spans="1:37" s="346" customFormat="1" ht="25.05" customHeight="1">
      <c r="A106" s="204"/>
      <c r="B106" s="771"/>
      <c r="C106" s="221" t="s">
        <v>279</v>
      </c>
      <c r="D106" s="206">
        <f t="shared" ref="D106:Z106" si="2">SUM(D6:D105)</f>
        <v>1723264125</v>
      </c>
      <c r="E106" s="206">
        <f t="shared" si="2"/>
        <v>1592330125</v>
      </c>
      <c r="F106" s="206">
        <f t="shared" si="2"/>
        <v>130934000</v>
      </c>
      <c r="G106" s="206">
        <f t="shared" si="2"/>
        <v>865322790</v>
      </c>
      <c r="H106" s="206">
        <f t="shared" si="2"/>
        <v>691460832.39999986</v>
      </c>
      <c r="I106" s="206">
        <f t="shared" si="2"/>
        <v>1022340.9400000001</v>
      </c>
      <c r="J106" s="206">
        <f t="shared" si="2"/>
        <v>46002635.810000002</v>
      </c>
      <c r="K106" s="206">
        <f t="shared" si="2"/>
        <v>47024976.750000007</v>
      </c>
      <c r="L106" s="206">
        <f t="shared" si="2"/>
        <v>738485809.15000045</v>
      </c>
      <c r="M106" s="206">
        <f t="shared" si="2"/>
        <v>236677980.84999996</v>
      </c>
      <c r="N106" s="206">
        <f t="shared" si="2"/>
        <v>186332000</v>
      </c>
      <c r="O106" s="206">
        <f t="shared" si="2"/>
        <v>561768335</v>
      </c>
      <c r="P106" s="206">
        <f t="shared" si="2"/>
        <v>126836980.85000004</v>
      </c>
      <c r="Q106" s="206">
        <f t="shared" si="2"/>
        <v>154391000</v>
      </c>
      <c r="R106" s="206">
        <f t="shared" si="2"/>
        <v>3060000</v>
      </c>
      <c r="S106" s="206">
        <f t="shared" si="2"/>
        <v>157451000</v>
      </c>
      <c r="T106" s="206">
        <f t="shared" si="2"/>
        <v>47610000</v>
      </c>
      <c r="U106" s="206">
        <f t="shared" si="2"/>
        <v>138722000</v>
      </c>
      <c r="V106" s="206">
        <f t="shared" si="2"/>
        <v>132490880</v>
      </c>
      <c r="W106" s="206">
        <f t="shared" si="2"/>
        <v>500000</v>
      </c>
      <c r="X106" s="206">
        <f t="shared" si="2"/>
        <v>0</v>
      </c>
      <c r="Y106" s="206">
        <f t="shared" si="2"/>
        <v>0</v>
      </c>
      <c r="Z106" s="206">
        <f t="shared" si="2"/>
        <v>5731120</v>
      </c>
      <c r="AA106" s="194">
        <f>SUM(AA6:AA78)</f>
        <v>0</v>
      </c>
      <c r="AB106" s="206"/>
      <c r="AC106" s="191"/>
      <c r="AD106" s="191"/>
      <c r="AE106" s="624"/>
      <c r="AF106" s="624"/>
      <c r="AG106" s="331"/>
      <c r="AH106" s="331"/>
      <c r="AK106" s="205"/>
    </row>
    <row r="107" spans="1:37" s="346" customFormat="1" ht="25.05" customHeight="1">
      <c r="A107" s="204"/>
      <c r="B107" s="771"/>
      <c r="C107" s="221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194"/>
      <c r="AB107" s="206"/>
      <c r="AC107" s="191"/>
      <c r="AD107" s="191"/>
      <c r="AE107" s="345"/>
      <c r="AF107" s="331"/>
      <c r="AG107" s="331"/>
      <c r="AH107" s="331"/>
      <c r="AK107" s="205"/>
    </row>
    <row r="108" spans="1:37" s="346" customFormat="1" ht="25.05" customHeight="1">
      <c r="A108" s="204"/>
      <c r="B108" s="771"/>
      <c r="C108" s="221" t="s">
        <v>211</v>
      </c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194"/>
      <c r="AB108" s="204"/>
      <c r="AC108" s="191"/>
      <c r="AD108" s="191"/>
      <c r="AE108" s="345"/>
      <c r="AF108" s="331"/>
      <c r="AG108" s="331"/>
      <c r="AH108" s="331"/>
      <c r="AK108" s="205"/>
    </row>
    <row r="109" spans="1:37" s="202" customFormat="1" ht="27.6">
      <c r="A109" s="198">
        <f>A105+1</f>
        <v>101</v>
      </c>
      <c r="B109" s="707">
        <f>'תקציב החברה לפיתוח 2020'!B109</f>
        <v>1547</v>
      </c>
      <c r="C109" s="341" t="str">
        <f>'תקציב החברה לפיתוח 2020'!C109</f>
        <v>פיתוח מתחם גליל ים הר' 1985 א'</v>
      </c>
      <c r="D109" s="199">
        <f>'תקציב החברה לפיתוח 2020'!D109</f>
        <v>144000000</v>
      </c>
      <c r="E109" s="199">
        <f>'תקציב החברה לפיתוח 2020'!E109</f>
        <v>144000000</v>
      </c>
      <c r="F109" s="199">
        <f>'תקציב החברה לפיתוח 2020'!F109</f>
        <v>0</v>
      </c>
      <c r="G109" s="199">
        <f>'תקציב החברה לפיתוח 2020'!G109</f>
        <v>102500000</v>
      </c>
      <c r="H109" s="199">
        <f>'תקציב החברה לפיתוח 2020'!H109</f>
        <v>89461541.560000002</v>
      </c>
      <c r="I109" s="199">
        <f>'תקציב החברה לפיתוח 2020'!I109</f>
        <v>1052805.8700000001</v>
      </c>
      <c r="J109" s="199">
        <f>'תקציב החברה לפיתוח 2020'!J109</f>
        <v>1495912.66</v>
      </c>
      <c r="K109" s="199">
        <f>'תקציב החברה לפיתוח 2020'!K109</f>
        <v>2548718.5300000003</v>
      </c>
      <c r="L109" s="199">
        <f>'תקציב החברה לפיתוח 2020'!L109</f>
        <v>92010260.090000004</v>
      </c>
      <c r="M109" s="199">
        <f>'תקציב החברה לפיתוח 2020'!M109</f>
        <v>39489739.909999996</v>
      </c>
      <c r="N109" s="199">
        <f>'תקציב החברה לפיתוח 2020'!N109</f>
        <v>12500000</v>
      </c>
      <c r="O109" s="199">
        <f>'תקציב החברה לפיתוח 2020'!O109</f>
        <v>0</v>
      </c>
      <c r="P109" s="199">
        <f>'תקציב החברה לפיתוח 2020'!P109</f>
        <v>10489739.909999996</v>
      </c>
      <c r="Q109" s="199">
        <f>'תקציב החברה לפיתוח 2020'!Q109</f>
        <v>29000000</v>
      </c>
      <c r="R109" s="199">
        <f>'תקציב החברה לפיתוח 2020'!R109</f>
        <v>0</v>
      </c>
      <c r="S109" s="199">
        <f>'תקציב החברה לפיתוח 2020'!S109</f>
        <v>29000000</v>
      </c>
      <c r="T109" s="199">
        <f>'תקציב החברה לפיתוח 2020'!T109</f>
        <v>0</v>
      </c>
      <c r="U109" s="199">
        <f>'תקציב החברה לפיתוח 2020'!U109</f>
        <v>12500000</v>
      </c>
      <c r="V109" s="199">
        <f>'תקציב החברה לפיתוח 2020'!V109</f>
        <v>0</v>
      </c>
      <c r="W109" s="199">
        <f>'תקציב החברה לפיתוח 2020'!W109</f>
        <v>0</v>
      </c>
      <c r="X109" s="199">
        <f>'תקציב החברה לפיתוח 2020'!X109</f>
        <v>0</v>
      </c>
      <c r="Y109" s="199">
        <f>'תקציב החברה לפיתוח 2020'!Y109</f>
        <v>2527483</v>
      </c>
      <c r="Z109" s="199">
        <f>'תקציב החברה לפיתוח 2020'!Z109</f>
        <v>9972517</v>
      </c>
      <c r="AA109" s="341" t="str">
        <f>'תקציב החברה לפיתוח 2020'!AA109</f>
        <v>עבודות פיתוח. מימון רמ"י במסגרת הסכם "הגג".</v>
      </c>
      <c r="AB109" s="707">
        <f>'תקציב החברה לפיתוח 2020'!AB109</f>
        <v>742000</v>
      </c>
      <c r="AC109" s="191"/>
      <c r="AD109" s="191"/>
      <c r="AF109" s="331"/>
      <c r="AG109" s="331"/>
      <c r="AH109" s="331"/>
      <c r="AK109" s="205"/>
    </row>
    <row r="110" spans="1:37" ht="35.1" customHeight="1">
      <c r="A110" s="198">
        <f t="shared" ref="A110:A123" si="3">1+A109</f>
        <v>102</v>
      </c>
      <c r="B110" s="707">
        <f>'תקציב החברה לפיתוח 2020'!B110</f>
        <v>1827</v>
      </c>
      <c r="C110" s="341" t="str">
        <f>'תקציב החברה לפיתוח 2020'!C110</f>
        <v xml:space="preserve">פארק גליל ים </v>
      </c>
      <c r="D110" s="199">
        <f>'תקציב החברה לפיתוח 2020'!D110</f>
        <v>100000000</v>
      </c>
      <c r="E110" s="199">
        <v>100000000</v>
      </c>
      <c r="F110" s="199">
        <f t="shared" ref="F110:F123" si="4">D110-E110</f>
        <v>0</v>
      </c>
      <c r="G110" s="199">
        <v>55268638</v>
      </c>
      <c r="H110" s="199">
        <v>50987035</v>
      </c>
      <c r="I110" s="199"/>
      <c r="J110" s="199">
        <v>984074.35</v>
      </c>
      <c r="K110" s="199">
        <f t="shared" ref="K110:K123" si="5">SUM(I110:J110)</f>
        <v>984074.35</v>
      </c>
      <c r="L110" s="199">
        <f>'תקציב החברה לפיתוח 2020'!L110</f>
        <v>51971109.350000001</v>
      </c>
      <c r="M110" s="199">
        <f>'תקציב החברה לפיתוח 2020'!M110</f>
        <v>11297528.649999999</v>
      </c>
      <c r="N110" s="199">
        <f>'תקציב החברה לפיתוח 2020'!N110</f>
        <v>36731362</v>
      </c>
      <c r="O110" s="199">
        <f>'תקציב החברה לפיתוח 2020'!O110</f>
        <v>0</v>
      </c>
      <c r="P110" s="199">
        <f>'תקציב החברה לפיתוח 2020'!P110</f>
        <v>3297528.6499999985</v>
      </c>
      <c r="Q110" s="199">
        <f>'תקציב החברה לפיתוח 2020'!Q110</f>
        <v>8000000</v>
      </c>
      <c r="R110" s="199">
        <f>'תקציב החברה לפיתוח 2020'!R110</f>
        <v>0</v>
      </c>
      <c r="S110" s="199">
        <f>'תקציב החברה לפיתוח 2020'!S110</f>
        <v>8000000</v>
      </c>
      <c r="T110" s="199">
        <f>'תקציב החברה לפיתוח 2020'!T110</f>
        <v>0</v>
      </c>
      <c r="U110" s="199">
        <f>'תקציב החברה לפיתוח 2020'!U110</f>
        <v>36731362</v>
      </c>
      <c r="V110" s="199">
        <f>'תקציב החברה לפיתוח 2020'!V110</f>
        <v>0</v>
      </c>
      <c r="W110" s="199">
        <f>'תקציב החברה לפיתוח 2020'!W110</f>
        <v>0</v>
      </c>
      <c r="X110" s="199">
        <f>'תקציב החברה לפיתוח 2020'!X110</f>
        <v>0</v>
      </c>
      <c r="Y110" s="199">
        <f>'תקציב החברה לפיתוח 2020'!Y110</f>
        <v>0</v>
      </c>
      <c r="Z110" s="199">
        <f>'תקציב החברה לפיתוח 2020'!Z110</f>
        <v>36731362</v>
      </c>
      <c r="AA110" s="341" t="str">
        <f>'תקציב החברה לפיתוח 2020'!AA110</f>
        <v>עבודות פיתוח. מימון רמ"י במסגרת הסכם "הגג".</v>
      </c>
      <c r="AB110" s="707">
        <f>'תקציב החברה לפיתוח 2020'!AB110</f>
        <v>746000</v>
      </c>
      <c r="AE110" s="210"/>
      <c r="AK110" s="205"/>
    </row>
    <row r="111" spans="1:37" s="202" customFormat="1" ht="27.6">
      <c r="A111" s="198">
        <f t="shared" si="3"/>
        <v>103</v>
      </c>
      <c r="B111" s="707">
        <f>'תקציב החברה לפיתוח 2020'!B111</f>
        <v>1905</v>
      </c>
      <c r="C111" s="341" t="str">
        <f>'תקציב החברה לפיתוח 2020'!C111</f>
        <v>שצ"פ מערב קיר אקוסטי גליל ים ב'</v>
      </c>
      <c r="D111" s="199">
        <f>'תקציב החברה לפיתוח 2020'!D111</f>
        <v>3366000</v>
      </c>
      <c r="E111" s="199">
        <v>3366000</v>
      </c>
      <c r="F111" s="199">
        <f t="shared" si="4"/>
        <v>0</v>
      </c>
      <c r="G111" s="199">
        <v>3366000</v>
      </c>
      <c r="H111" s="199">
        <v>0</v>
      </c>
      <c r="I111" s="199"/>
      <c r="J111" s="199"/>
      <c r="K111" s="199">
        <f t="shared" si="5"/>
        <v>0</v>
      </c>
      <c r="L111" s="199">
        <f>'תקציב החברה לפיתוח 2020'!L111</f>
        <v>0</v>
      </c>
      <c r="M111" s="199">
        <f>'תקציב החברה לפיתוח 2020'!M111</f>
        <v>3366000</v>
      </c>
      <c r="N111" s="199">
        <f>'תקציב החברה לפיתוח 2020'!N111</f>
        <v>0</v>
      </c>
      <c r="O111" s="199">
        <f>'תקציב החברה לפיתוח 2020'!O111</f>
        <v>0</v>
      </c>
      <c r="P111" s="199">
        <f>'תקציב החברה לפיתוח 2020'!P111</f>
        <v>3366000</v>
      </c>
      <c r="Q111" s="199">
        <f>'תקציב החברה לפיתוח 2020'!Q111</f>
        <v>0</v>
      </c>
      <c r="R111" s="199">
        <f>'תקציב החברה לפיתוח 2020'!R111</f>
        <v>0</v>
      </c>
      <c r="S111" s="199">
        <f>'תקציב החברה לפיתוח 2020'!S111</f>
        <v>0</v>
      </c>
      <c r="T111" s="199">
        <f>'תקציב החברה לפיתוח 2020'!T111</f>
        <v>0</v>
      </c>
      <c r="U111" s="199">
        <f>'תקציב החברה לפיתוח 2020'!U111</f>
        <v>0</v>
      </c>
      <c r="V111" s="199">
        <f>'תקציב החברה לפיתוח 2020'!V111</f>
        <v>0</v>
      </c>
      <c r="W111" s="199">
        <f>'תקציב החברה לפיתוח 2020'!W111</f>
        <v>0</v>
      </c>
      <c r="X111" s="199">
        <f>'תקציב החברה לפיתוח 2020'!X111</f>
        <v>0</v>
      </c>
      <c r="Y111" s="199">
        <f>'תקציב החברה לפיתוח 2020'!Y111</f>
        <v>0</v>
      </c>
      <c r="Z111" s="199">
        <f>'תקציב החברה לפיתוח 2020'!Z111</f>
        <v>0</v>
      </c>
      <c r="AA111" s="341" t="str">
        <f>'תקציב החברה לפיתוח 2020'!AA111</f>
        <v>מימון רמ"י במסגרת הסכם "הגג".</v>
      </c>
      <c r="AB111" s="707">
        <f>'תקציב החברה לפיתוח 2020'!AB111</f>
        <v>746000</v>
      </c>
      <c r="AC111" s="191"/>
      <c r="AD111" s="191"/>
      <c r="AF111" s="331"/>
      <c r="AG111" s="331"/>
      <c r="AH111" s="331"/>
    </row>
    <row r="112" spans="1:37" s="202" customFormat="1" ht="19.95" customHeight="1">
      <c r="A112" s="198">
        <f t="shared" si="3"/>
        <v>104</v>
      </c>
      <c r="B112" s="707">
        <f>'תקציב החברה לפיתוח 2020'!B112</f>
        <v>1906</v>
      </c>
      <c r="C112" s="341" t="str">
        <f>'תקציב החברה לפיתוח 2020'!C112</f>
        <v>כיתות גן 4 שטח 301 גליל ים א'</v>
      </c>
      <c r="D112" s="199">
        <f>'תקציב החברה לפיתוח 2020'!D112</f>
        <v>9708844</v>
      </c>
      <c r="E112" s="199">
        <v>10000000</v>
      </c>
      <c r="F112" s="199">
        <f t="shared" si="4"/>
        <v>-291156</v>
      </c>
      <c r="G112" s="199">
        <v>9708844</v>
      </c>
      <c r="H112" s="199">
        <v>9224905.7799999993</v>
      </c>
      <c r="I112" s="199"/>
      <c r="J112" s="199">
        <v>422602.59</v>
      </c>
      <c r="K112" s="199">
        <f t="shared" si="5"/>
        <v>422602.59</v>
      </c>
      <c r="L112" s="199">
        <f>'תקציב החברה לפיתוח 2020'!L112</f>
        <v>9647508.3699999992</v>
      </c>
      <c r="M112" s="199">
        <f>'תקציב החברה לפיתוח 2020'!M112</f>
        <v>61335.63000000082</v>
      </c>
      <c r="N112" s="199">
        <f>'תקציב החברה לפיתוח 2020'!N112</f>
        <v>0</v>
      </c>
      <c r="O112" s="199">
        <f>'תקציב החברה לפיתוח 2020'!O112</f>
        <v>0</v>
      </c>
      <c r="P112" s="199">
        <f>'תקציב החברה לפיתוח 2020'!P112</f>
        <v>61335.63000000082</v>
      </c>
      <c r="Q112" s="199">
        <f>'תקציב החברה לפיתוח 2020'!Q112</f>
        <v>0</v>
      </c>
      <c r="R112" s="199">
        <f>'תקציב החברה לפיתוח 2020'!R112</f>
        <v>0</v>
      </c>
      <c r="S112" s="199">
        <f>'תקציב החברה לפיתוח 2020'!S112</f>
        <v>0</v>
      </c>
      <c r="T112" s="199">
        <f>'תקציב החברה לפיתוח 2020'!T112</f>
        <v>0</v>
      </c>
      <c r="U112" s="199">
        <f>'תקציב החברה לפיתוח 2020'!U112</f>
        <v>0</v>
      </c>
      <c r="V112" s="199">
        <f>'תקציב החברה לפיתוח 2020'!V112</f>
        <v>0</v>
      </c>
      <c r="W112" s="199">
        <f>'תקציב החברה לפיתוח 2020'!W112</f>
        <v>0</v>
      </c>
      <c r="X112" s="199">
        <f>'תקציב החברה לפיתוח 2020'!X112</f>
        <v>0</v>
      </c>
      <c r="Y112" s="199">
        <f>'תקציב החברה לפיתוח 2020'!Y112</f>
        <v>0</v>
      </c>
      <c r="Z112" s="199">
        <f>'תקציב החברה לפיתוח 2020'!Z112</f>
        <v>0</v>
      </c>
      <c r="AA112" s="341">
        <f>'תקציב החברה לפיתוח 2020'!AA112</f>
        <v>0</v>
      </c>
      <c r="AB112" s="707">
        <f>'תקציב החברה לפיתוח 2020'!AB112</f>
        <v>810000</v>
      </c>
      <c r="AC112" s="191"/>
      <c r="AD112" s="191"/>
      <c r="AF112" s="331"/>
      <c r="AG112" s="331"/>
      <c r="AH112" s="331"/>
    </row>
    <row r="113" spans="1:37" s="202" customFormat="1" ht="19.95" customHeight="1">
      <c r="A113" s="198">
        <f t="shared" si="3"/>
        <v>105</v>
      </c>
      <c r="B113" s="707">
        <f>'תקציב החברה לפיתוח 2020'!B113</f>
        <v>1907</v>
      </c>
      <c r="C113" s="341" t="str">
        <f>'תקציב החברה לפיתוח 2020'!C113</f>
        <v>כיתות גן 4 שטח 302 גליל ים א'</v>
      </c>
      <c r="D113" s="199">
        <f>'תקציב החברה לפיתוח 2020'!D113</f>
        <v>9708844</v>
      </c>
      <c r="E113" s="199">
        <v>10000000</v>
      </c>
      <c r="F113" s="199">
        <f t="shared" si="4"/>
        <v>-291156</v>
      </c>
      <c r="G113" s="199">
        <v>9708844</v>
      </c>
      <c r="H113" s="199">
        <v>8237288.5</v>
      </c>
      <c r="I113" s="199"/>
      <c r="J113" s="199">
        <v>1303229.23</v>
      </c>
      <c r="K113" s="199">
        <f t="shared" si="5"/>
        <v>1303229.23</v>
      </c>
      <c r="L113" s="199">
        <f>'תקציב החברה לפיתוח 2020'!L113</f>
        <v>9540517.7300000004</v>
      </c>
      <c r="M113" s="199">
        <f>'תקציב החברה לפיתוח 2020'!M113</f>
        <v>168326.26999999955</v>
      </c>
      <c r="N113" s="199">
        <f>'תקציב החברה לפיתוח 2020'!N113</f>
        <v>0</v>
      </c>
      <c r="O113" s="199">
        <f>'תקציב החברה לפיתוח 2020'!O113</f>
        <v>0</v>
      </c>
      <c r="P113" s="199">
        <f>'תקציב החברה לפיתוח 2020'!P113</f>
        <v>168326.26999999955</v>
      </c>
      <c r="Q113" s="199">
        <f>'תקציב החברה לפיתוח 2020'!Q113</f>
        <v>0</v>
      </c>
      <c r="R113" s="199">
        <f>'תקציב החברה לפיתוח 2020'!R113</f>
        <v>0</v>
      </c>
      <c r="S113" s="199">
        <f>'תקציב החברה לפיתוח 2020'!S113</f>
        <v>0</v>
      </c>
      <c r="T113" s="199">
        <f>'תקציב החברה לפיתוח 2020'!T113</f>
        <v>0</v>
      </c>
      <c r="U113" s="199">
        <f>'תקציב החברה לפיתוח 2020'!U113</f>
        <v>0</v>
      </c>
      <c r="V113" s="199">
        <f>'תקציב החברה לפיתוח 2020'!V113</f>
        <v>0</v>
      </c>
      <c r="W113" s="199">
        <f>'תקציב החברה לפיתוח 2020'!W113</f>
        <v>0</v>
      </c>
      <c r="X113" s="199">
        <f>'תקציב החברה לפיתוח 2020'!X113</f>
        <v>0</v>
      </c>
      <c r="Y113" s="199">
        <f>'תקציב החברה לפיתוח 2020'!Y113</f>
        <v>0</v>
      </c>
      <c r="Z113" s="199">
        <f>'תקציב החברה לפיתוח 2020'!Z113</f>
        <v>0</v>
      </c>
      <c r="AA113" s="341">
        <f>'תקציב החברה לפיתוח 2020'!AA113</f>
        <v>0</v>
      </c>
      <c r="AB113" s="707">
        <f>'תקציב החברה לפיתוח 2020'!AB113</f>
        <v>810000</v>
      </c>
      <c r="AC113" s="191"/>
      <c r="AD113" s="191"/>
      <c r="AF113" s="331"/>
      <c r="AG113" s="331"/>
      <c r="AH113" s="331"/>
    </row>
    <row r="114" spans="1:37" s="202" customFormat="1" ht="41.4">
      <c r="A114" s="198">
        <f t="shared" si="3"/>
        <v>106</v>
      </c>
      <c r="B114" s="707">
        <f>'תקציב החברה לפיתוח 2020'!B114</f>
        <v>1908</v>
      </c>
      <c r="C114" s="341" t="str">
        <f>'תקציב החברה לפיתוח 2020'!C114</f>
        <v>כיתות מעון וגן שטח 303 גליל ים א'</v>
      </c>
      <c r="D114" s="199">
        <f>'תקציב החברה לפיתוח 2020'!D114</f>
        <v>19080000</v>
      </c>
      <c r="E114" s="199">
        <v>16900000</v>
      </c>
      <c r="F114" s="199">
        <f t="shared" si="4"/>
        <v>2180000</v>
      </c>
      <c r="G114" s="199">
        <v>10943329</v>
      </c>
      <c r="H114" s="199">
        <v>307961</v>
      </c>
      <c r="I114" s="199"/>
      <c r="J114" s="199">
        <v>95657.37</v>
      </c>
      <c r="K114" s="199">
        <f t="shared" si="5"/>
        <v>95657.37</v>
      </c>
      <c r="L114" s="199">
        <f>'תקציב החברה לפיתוח 2020'!L114</f>
        <v>403618.37</v>
      </c>
      <c r="M114" s="199">
        <f>'תקציב החברה לפיתוח 2020'!M114</f>
        <v>10539710.630000001</v>
      </c>
      <c r="N114" s="199">
        <f>'תקציב החברה לפיתוח 2020'!N114</f>
        <v>8136671</v>
      </c>
      <c r="O114" s="199">
        <f>'תקציב החברה לפיתוח 2020'!O114</f>
        <v>0</v>
      </c>
      <c r="P114" s="199">
        <f>'תקציב החברה לפיתוח 2020'!P114</f>
        <v>10539710.630000001</v>
      </c>
      <c r="Q114" s="199">
        <f>'תקציב החברה לפיתוח 2020'!Q114</f>
        <v>0</v>
      </c>
      <c r="R114" s="199">
        <f>'תקציב החברה לפיתוח 2020'!R114</f>
        <v>0</v>
      </c>
      <c r="S114" s="199">
        <f>'תקציב החברה לפיתוח 2020'!S114</f>
        <v>0</v>
      </c>
      <c r="T114" s="199">
        <f>'תקציב החברה לפיתוח 2020'!T114</f>
        <v>0</v>
      </c>
      <c r="U114" s="199">
        <f>'תקציב החברה לפיתוח 2020'!U114</f>
        <v>8136671</v>
      </c>
      <c r="V114" s="199">
        <f>'תקציב החברה לפיתוח 2020'!V114</f>
        <v>0</v>
      </c>
      <c r="W114" s="199">
        <f>'תקציב החברה לפיתוח 2020'!W114</f>
        <v>0</v>
      </c>
      <c r="X114" s="199">
        <f>'תקציב החברה לפיתוח 2020'!X114</f>
        <v>0</v>
      </c>
      <c r="Y114" s="199">
        <f>'תקציב החברה לפיתוח 2020'!Y114</f>
        <v>6736671</v>
      </c>
      <c r="Z114" s="199">
        <f>'תקציב החברה לפיתוח 2020'!Z114</f>
        <v>1400000</v>
      </c>
      <c r="AA114" s="341" t="str">
        <f>'תקציב החברה לפיתוח 2020'!AA114</f>
        <v xml:space="preserve"> כיתות גן (2) וכיתות מעון (5).מתוקצב 8.9 מלשח רמ"י. 2020:אומדן מימון מ.החינוך גנ"י. </v>
      </c>
      <c r="AB114" s="707">
        <f>'תקציב החברה לפיתוח 2020'!AB114</f>
        <v>810000</v>
      </c>
      <c r="AC114" s="191"/>
      <c r="AD114" s="191"/>
      <c r="AF114" s="331"/>
      <c r="AG114" s="331"/>
      <c r="AH114" s="331"/>
    </row>
    <row r="115" spans="1:37" ht="110.4">
      <c r="A115" s="198">
        <f t="shared" si="3"/>
        <v>107</v>
      </c>
      <c r="B115" s="707">
        <f>'תקציב החברה לפיתוח 2020'!B115</f>
        <v>1909</v>
      </c>
      <c r="C115" s="341" t="str">
        <f>'תקציב החברה לפיתוח 2020'!C115</f>
        <v xml:space="preserve">שטח 408 גליל ים ב'-גנ"י, בי"ס, ספריה </v>
      </c>
      <c r="D115" s="199">
        <f>'תקציב החברה לפיתוח 2020'!D115</f>
        <v>184500000</v>
      </c>
      <c r="E115" s="199">
        <v>147000000</v>
      </c>
      <c r="F115" s="199">
        <f t="shared" si="4"/>
        <v>37500000</v>
      </c>
      <c r="G115" s="199">
        <v>1650000</v>
      </c>
      <c r="H115" s="199">
        <v>1083363</v>
      </c>
      <c r="I115" s="199"/>
      <c r="J115" s="199">
        <v>566633.36</v>
      </c>
      <c r="K115" s="199">
        <f t="shared" si="5"/>
        <v>566633.36</v>
      </c>
      <c r="L115" s="199">
        <f>'תקציב החברה לפיתוח 2020'!L115</f>
        <v>1649996.3599999999</v>
      </c>
      <c r="M115" s="199">
        <f>'תקציב החברה לפיתוח 2020'!M115</f>
        <v>3.6400000001303852</v>
      </c>
      <c r="N115" s="199">
        <f>'תקציב החברה לפיתוח 2020'!N115</f>
        <v>55500000</v>
      </c>
      <c r="O115" s="199">
        <f>'תקציב החברה לפיתוח 2020'!O115</f>
        <v>127350000</v>
      </c>
      <c r="P115" s="199">
        <f>'תקציב החברה לפיתוח 2020'!P115</f>
        <v>3.6400000001303852</v>
      </c>
      <c r="Q115" s="199">
        <f>'תקציב החברה לפיתוח 2020'!Q115</f>
        <v>0</v>
      </c>
      <c r="R115" s="199">
        <f>'תקציב החברה לפיתוח 2020'!R115</f>
        <v>0</v>
      </c>
      <c r="S115" s="199">
        <f>'תקציב החברה לפיתוח 2020'!S115</f>
        <v>0</v>
      </c>
      <c r="T115" s="199">
        <f>'תקציב החברה לפיתוח 2020'!T115</f>
        <v>0</v>
      </c>
      <c r="U115" s="199">
        <f>'תקציב החברה לפיתוח 2020'!U115</f>
        <v>55500000</v>
      </c>
      <c r="V115" s="199">
        <f>'תקציב החברה לפיתוח 2020'!V115</f>
        <v>0</v>
      </c>
      <c r="W115" s="199">
        <f>'תקציב החברה לפיתוח 2020'!W115</f>
        <v>0</v>
      </c>
      <c r="X115" s="199">
        <f>'תקציב החברה לפיתוח 2020'!X115</f>
        <v>0</v>
      </c>
      <c r="Y115" s="199">
        <f>'תקציב החברה לפיתוח 2020'!Y115</f>
        <v>40000000</v>
      </c>
      <c r="Z115" s="199">
        <f>'תקציב החברה לפיתוח 2020'!Z115</f>
        <v>15500000</v>
      </c>
      <c r="AA115" s="341" t="str">
        <f>'תקציב החברה לפיתוח 2020'!AA115</f>
        <v>בניית בי"ס יסודי 18 כיתות, 5 כיתות גן, מועדון תנועת נוער, אולם ספורט בינוני (לקבל מימון מ. הספורט) , מגרש ספורט משולב, חדר שנאים , חניון תתקרקעי 2 מפלסים. לו"ז לאיכלוס 8/2022. 2020:אומדן מימון מ. החינוך בי"ס וגנ"י.</v>
      </c>
      <c r="AB115" s="707">
        <f>'תקציב החברה לפיתוח 2020'!AB115</f>
        <v>810000</v>
      </c>
      <c r="AE115" s="210"/>
    </row>
    <row r="116" spans="1:37" ht="27.6">
      <c r="A116" s="198">
        <f t="shared" si="3"/>
        <v>108</v>
      </c>
      <c r="B116" s="707">
        <f>'תקציב החברה לפיתוח 2020'!B116</f>
        <v>1911</v>
      </c>
      <c r="C116" s="341" t="str">
        <f>'תקציב החברה לפיתוח 2020'!C116</f>
        <v xml:space="preserve">כיתות מעון 5 יום 5 כיתות גן-. 404 גליל ים ב' </v>
      </c>
      <c r="D116" s="199">
        <f>'תקציב החברה לפיתוח 2020'!D116</f>
        <v>29050000</v>
      </c>
      <c r="E116" s="199">
        <v>27500000</v>
      </c>
      <c r="F116" s="199">
        <f t="shared" si="4"/>
        <v>1550000</v>
      </c>
      <c r="G116" s="199">
        <v>9182067</v>
      </c>
      <c r="H116" s="199">
        <v>319718</v>
      </c>
      <c r="I116" s="199"/>
      <c r="J116" s="199">
        <v>819544.96</v>
      </c>
      <c r="K116" s="199">
        <f t="shared" si="5"/>
        <v>819544.96</v>
      </c>
      <c r="L116" s="199">
        <f>'תקציב החברה לפיתוח 2020'!L116</f>
        <v>1139262.96</v>
      </c>
      <c r="M116" s="199">
        <f>'תקציב החברה לפיתוח 2020'!M116</f>
        <v>8042804.04</v>
      </c>
      <c r="N116" s="199">
        <f>'תקציב החברה לפיתוח 2020'!N116</f>
        <v>0</v>
      </c>
      <c r="O116" s="199">
        <f>'תקציב החברה לפיתוח 2020'!O116</f>
        <v>19867933</v>
      </c>
      <c r="P116" s="199">
        <f>'תקציב החברה לפיתוח 2020'!P116</f>
        <v>8042804.04</v>
      </c>
      <c r="Q116" s="199">
        <f>'תקציב החברה לפיתוח 2020'!Q116</f>
        <v>0</v>
      </c>
      <c r="R116" s="199">
        <f>'תקציב החברה לפיתוח 2020'!R116</f>
        <v>0</v>
      </c>
      <c r="S116" s="199">
        <f>'תקציב החברה לפיתוח 2020'!S116</f>
        <v>0</v>
      </c>
      <c r="T116" s="199">
        <f>'תקציב החברה לפיתוח 2020'!T116</f>
        <v>0</v>
      </c>
      <c r="U116" s="199">
        <f>'תקציב החברה לפיתוח 2020'!U116</f>
        <v>0</v>
      </c>
      <c r="V116" s="199">
        <f>'תקציב החברה לפיתוח 2020'!V116</f>
        <v>0</v>
      </c>
      <c r="W116" s="199">
        <f>'תקציב החברה לפיתוח 2020'!W116</f>
        <v>0</v>
      </c>
      <c r="X116" s="199">
        <f>'תקציב החברה לפיתוח 2020'!X116</f>
        <v>0</v>
      </c>
      <c r="Y116" s="199">
        <f>'תקציב החברה לפיתוח 2020'!Y116</f>
        <v>0</v>
      </c>
      <c r="Z116" s="199">
        <f>'תקציב החברה לפיתוח 2020'!Z116</f>
        <v>0</v>
      </c>
      <c r="AA116" s="341" t="str">
        <f>'תקציב החברה לפיתוח 2020'!AA116</f>
        <v xml:space="preserve">מתוקצב 7.4 מלשח רמ"י. </v>
      </c>
      <c r="AB116" s="707">
        <f>'תקציב החברה לפיתוח 2020'!AB116</f>
        <v>810000</v>
      </c>
      <c r="AE116" s="210"/>
      <c r="AK116" s="205"/>
    </row>
    <row r="117" spans="1:37" ht="82.8">
      <c r="A117" s="198">
        <f t="shared" si="3"/>
        <v>109</v>
      </c>
      <c r="B117" s="707">
        <f>'תקציב החברה לפיתוח 2020'!B117</f>
        <v>1912</v>
      </c>
      <c r="C117" s="341" t="str">
        <f>'תקציב החברה לפיתוח 2020'!C117</f>
        <v xml:space="preserve">קיריית החינוך ( מגרש 406)-ספריה, מרכז קהילתי </v>
      </c>
      <c r="D117" s="199">
        <f>'תקציב החברה לפיתוח 2020'!D117</f>
        <v>310000000</v>
      </c>
      <c r="E117" s="199">
        <v>310000000</v>
      </c>
      <c r="F117" s="199">
        <f t="shared" si="4"/>
        <v>0</v>
      </c>
      <c r="G117" s="199">
        <v>5000000</v>
      </c>
      <c r="H117" s="199">
        <v>1698890</v>
      </c>
      <c r="I117" s="199"/>
      <c r="J117" s="199">
        <v>749796.72</v>
      </c>
      <c r="K117" s="199">
        <f t="shared" si="5"/>
        <v>749796.72</v>
      </c>
      <c r="L117" s="199">
        <f>'תקציב החברה לפיתוח 2020'!L117</f>
        <v>2448686.7199999997</v>
      </c>
      <c r="M117" s="199">
        <f>'תקציב החברה לפיתוח 2020'!M117</f>
        <v>2551313.2800000003</v>
      </c>
      <c r="N117" s="199">
        <f>'תקציב החברה לפיתוח 2020'!N117</f>
        <v>50500000</v>
      </c>
      <c r="O117" s="199">
        <f>'תקציב החברה לפיתוח 2020'!O117</f>
        <v>254500000</v>
      </c>
      <c r="P117" s="199">
        <f>'תקציב החברה לפיתוח 2020'!P117</f>
        <v>2551313.2800000003</v>
      </c>
      <c r="Q117" s="199">
        <f>'תקציב החברה לפיתוח 2020'!Q117</f>
        <v>0</v>
      </c>
      <c r="R117" s="199">
        <f>'תקציב החברה לפיתוח 2020'!R117</f>
        <v>0</v>
      </c>
      <c r="S117" s="199">
        <f>'תקציב החברה לפיתוח 2020'!S117</f>
        <v>0</v>
      </c>
      <c r="T117" s="199">
        <f>'תקציב החברה לפיתוח 2020'!T117</f>
        <v>0</v>
      </c>
      <c r="U117" s="199">
        <f>'תקציב החברה לפיתוח 2020'!U117</f>
        <v>50500000</v>
      </c>
      <c r="V117" s="199">
        <f>'תקציב החברה לפיתוח 2020'!V117</f>
        <v>0</v>
      </c>
      <c r="W117" s="199">
        <f>'תקציב החברה לפיתוח 2020'!W117</f>
        <v>0</v>
      </c>
      <c r="X117" s="199">
        <f>'תקציב החברה לפיתוח 2020'!X117</f>
        <v>0</v>
      </c>
      <c r="Y117" s="199">
        <f>'תקציב החברה לפיתוח 2020'!Y117</f>
        <v>38500000</v>
      </c>
      <c r="Z117" s="199">
        <f>'תקציב החברה לפיתוח 2020'!Z117</f>
        <v>12000000</v>
      </c>
      <c r="AA117" s="341" t="str">
        <f>'תקציב החברה לפיתוח 2020'!AA117</f>
        <v>בניית בי"ס יסודי 18 כיתות,  אולם ספורט בינוני (לקבל מימון מ. הספורט) , מגרש ספורט , חדר שנאים, חניון תתקרקעי 2 מפלסים. 2020 : אומדן מימון מ. החינוך בי"ס.</v>
      </c>
      <c r="AB117" s="707">
        <f>'תקציב החברה לפיתוח 2020'!AB117</f>
        <v>810000</v>
      </c>
      <c r="AE117" s="210"/>
      <c r="AK117" s="205"/>
    </row>
    <row r="118" spans="1:37" ht="29.4" customHeight="1">
      <c r="A118" s="198">
        <f t="shared" si="3"/>
        <v>110</v>
      </c>
      <c r="B118" s="707">
        <f>'תקציב החברה לפיתוח 2020'!B118</f>
        <v>1914</v>
      </c>
      <c r="C118" s="341" t="str">
        <f>'תקציב החברה לפיתוח 2020'!C118</f>
        <v>גן 3 כיתות 401 גליל ים ב'</v>
      </c>
      <c r="D118" s="199">
        <f>'תקציב החברה לפיתוח 2020'!D118</f>
        <v>8100000</v>
      </c>
      <c r="E118" s="199">
        <v>7700000</v>
      </c>
      <c r="F118" s="199">
        <f t="shared" si="4"/>
        <v>400000</v>
      </c>
      <c r="G118" s="199">
        <v>1300000</v>
      </c>
      <c r="H118" s="199">
        <v>164878</v>
      </c>
      <c r="I118" s="199"/>
      <c r="J118" s="199">
        <v>33558.85</v>
      </c>
      <c r="K118" s="199">
        <f t="shared" si="5"/>
        <v>33558.85</v>
      </c>
      <c r="L118" s="199">
        <f>'תקציב החברה לפיתוח 2020'!L118</f>
        <v>198436.85</v>
      </c>
      <c r="M118" s="199">
        <f>'תקציב החברה לפיתוח 2020'!M118</f>
        <v>1101563.1499999999</v>
      </c>
      <c r="N118" s="199">
        <f>'תקציב החברה לפיתוח 2020'!N118</f>
        <v>6800000</v>
      </c>
      <c r="O118" s="199">
        <f>'תקציב החברה לפיתוח 2020'!O118</f>
        <v>0</v>
      </c>
      <c r="P118" s="199">
        <f>'תקציב החברה לפיתוח 2020'!P118</f>
        <v>1101563.1499999999</v>
      </c>
      <c r="Q118" s="199">
        <f>'תקציב החברה לפיתוח 2020'!Q118</f>
        <v>0</v>
      </c>
      <c r="R118" s="199">
        <f>'תקציב החברה לפיתוח 2020'!R118</f>
        <v>0</v>
      </c>
      <c r="S118" s="199">
        <f>'תקציב החברה לפיתוח 2020'!S118</f>
        <v>0</v>
      </c>
      <c r="T118" s="199">
        <f>'תקציב החברה לפיתוח 2020'!T118</f>
        <v>0</v>
      </c>
      <c r="U118" s="199">
        <f>'תקציב החברה לפיתוח 2020'!U118</f>
        <v>6800000</v>
      </c>
      <c r="V118" s="199">
        <f>'תקציב החברה לפיתוח 2020'!V118</f>
        <v>0</v>
      </c>
      <c r="W118" s="199">
        <f>'תקציב החברה לפיתוח 2020'!W118</f>
        <v>0</v>
      </c>
      <c r="X118" s="199">
        <f>'תקציב החברה לפיתוח 2020'!X118</f>
        <v>0</v>
      </c>
      <c r="Y118" s="199">
        <f>'תקציב החברה לפיתוח 2020'!Y118</f>
        <v>6800000</v>
      </c>
      <c r="Z118" s="199">
        <f>'תקציב החברה לפיתוח 2020'!Z118</f>
        <v>0</v>
      </c>
      <c r="AA118" s="341" t="str">
        <f>'תקציב החברה לפיתוח 2020'!AA118</f>
        <v>במקביל,תבר חדש הצטיידות בחינוך .</v>
      </c>
      <c r="AB118" s="707">
        <f>'תקציב החברה לפיתוח 2020'!AB118</f>
        <v>810000</v>
      </c>
      <c r="AE118" s="210"/>
    </row>
    <row r="119" spans="1:37" ht="36.6" customHeight="1">
      <c r="A119" s="198">
        <f t="shared" si="3"/>
        <v>111</v>
      </c>
      <c r="B119" s="707">
        <f>'תקציב החברה לפיתוח 2020'!B119</f>
        <v>1919</v>
      </c>
      <c r="C119" s="341" t="str">
        <f>'תקציב החברה לפיתוח 2020'!C119</f>
        <v>פיתוח גליל ים ב'</v>
      </c>
      <c r="D119" s="199">
        <f>'תקציב החברה לפיתוח 2020'!D119</f>
        <v>135100000</v>
      </c>
      <c r="E119" s="199">
        <v>135100000</v>
      </c>
      <c r="F119" s="199">
        <f t="shared" si="4"/>
        <v>0</v>
      </c>
      <c r="G119" s="199">
        <v>40098527</v>
      </c>
      <c r="H119" s="199">
        <v>29982470.539999999</v>
      </c>
      <c r="I119" s="199"/>
      <c r="J119" s="199">
        <v>1356715.84</v>
      </c>
      <c r="K119" s="199">
        <f t="shared" si="5"/>
        <v>1356715.84</v>
      </c>
      <c r="L119" s="199">
        <f>'תקציב החברה לפיתוח 2020'!L119</f>
        <v>31339186.379999999</v>
      </c>
      <c r="M119" s="199">
        <f>'תקציב החברה לפיתוח 2020'!M119</f>
        <v>9265591.620000001</v>
      </c>
      <c r="N119" s="199">
        <f>'תקציב החברה לפיתוח 2020'!N119</f>
        <v>0</v>
      </c>
      <c r="O119" s="199">
        <f>'תקציב החברה לפיתוח 2020'!O119</f>
        <v>94495222</v>
      </c>
      <c r="P119" s="199">
        <f>'תקציב החברה לפיתוח 2020'!P119</f>
        <v>8759340.620000001</v>
      </c>
      <c r="Q119" s="199">
        <f>'תקציב החברה לפיתוח 2020'!Q119</f>
        <v>506251</v>
      </c>
      <c r="R119" s="199">
        <f>'תקציב החברה לפיתוח 2020'!R119</f>
        <v>0</v>
      </c>
      <c r="S119" s="199">
        <f>'תקציב החברה לפיתוח 2020'!S119</f>
        <v>506251</v>
      </c>
      <c r="T119" s="199">
        <f>'תקציב החברה לפיתוח 2020'!T119</f>
        <v>0</v>
      </c>
      <c r="U119" s="199">
        <f>'תקציב החברה לפיתוח 2020'!U119</f>
        <v>0</v>
      </c>
      <c r="V119" s="199">
        <f>'תקציב החברה לפיתוח 2020'!V119</f>
        <v>0</v>
      </c>
      <c r="W119" s="199">
        <f>'תקציב החברה לפיתוח 2020'!W119</f>
        <v>0</v>
      </c>
      <c r="X119" s="199">
        <f>'תקציב החברה לפיתוח 2020'!X119</f>
        <v>0</v>
      </c>
      <c r="Y119" s="199">
        <f>'תקציב החברה לפיתוח 2020'!Y119</f>
        <v>-1170797</v>
      </c>
      <c r="Z119" s="199">
        <f>'תקציב החברה לפיתוח 2020'!Z119</f>
        <v>1170797</v>
      </c>
      <c r="AA119" s="341" t="str">
        <f>'תקציב החברה לפיתוח 2020'!AA119</f>
        <v>עבודות פיתוח. מימון רמ"י במסגרת הסכם "הגג". שינוי מימון  רמ"י.</v>
      </c>
      <c r="AB119" s="707">
        <f>'תקציב החברה לפיתוח 2020'!AB119</f>
        <v>742000</v>
      </c>
      <c r="AE119" s="210"/>
      <c r="AK119" s="192"/>
    </row>
    <row r="120" spans="1:37" ht="41.4">
      <c r="A120" s="198">
        <f t="shared" si="3"/>
        <v>112</v>
      </c>
      <c r="B120" s="707">
        <f>'תקציב החברה לפיתוח 2020'!B120</f>
        <v>1960</v>
      </c>
      <c r="C120" s="341" t="str">
        <f>'תקציב החברה לפיתוח 2020'!C120</f>
        <v>גן 3 כיתות 402 גליל ים ב'(כולל חניון)</v>
      </c>
      <c r="D120" s="199">
        <f>'תקציב החברה לפיתוח 2020'!D120</f>
        <v>24710000</v>
      </c>
      <c r="E120" s="199">
        <v>22300000</v>
      </c>
      <c r="F120" s="199">
        <f t="shared" si="4"/>
        <v>2410000</v>
      </c>
      <c r="G120" s="199">
        <v>750000</v>
      </c>
      <c r="H120" s="199">
        <v>230552</v>
      </c>
      <c r="I120" s="199"/>
      <c r="J120" s="199">
        <v>60315.839999999997</v>
      </c>
      <c r="K120" s="199">
        <f t="shared" si="5"/>
        <v>60315.839999999997</v>
      </c>
      <c r="L120" s="199">
        <f>'תקציב החברה לפיתוח 2020'!L120</f>
        <v>290867.83999999997</v>
      </c>
      <c r="M120" s="199">
        <f>'תקציב החברה לפיתוח 2020'!M120</f>
        <v>459132.16000000003</v>
      </c>
      <c r="N120" s="199">
        <f>'תקציב החברה לפיתוח 2020'!N120</f>
        <v>23960000</v>
      </c>
      <c r="O120" s="199">
        <f>'תקציב החברה לפיתוח 2020'!O120</f>
        <v>0</v>
      </c>
      <c r="P120" s="199">
        <f>'תקציב החברה לפיתוח 2020'!P120</f>
        <v>459132.16000000003</v>
      </c>
      <c r="Q120" s="199">
        <f>'תקציב החברה לפיתוח 2020'!Q120</f>
        <v>0</v>
      </c>
      <c r="R120" s="199">
        <f>'תקציב החברה לפיתוח 2020'!R120</f>
        <v>0</v>
      </c>
      <c r="S120" s="199">
        <f>'תקציב החברה לפיתוח 2020'!S120</f>
        <v>0</v>
      </c>
      <c r="T120" s="199">
        <f>'תקציב החברה לפיתוח 2020'!T120</f>
        <v>0</v>
      </c>
      <c r="U120" s="199">
        <f>'תקציב החברה לפיתוח 2020'!U120</f>
        <v>23960000</v>
      </c>
      <c r="V120" s="199">
        <f>'תקציב החברה לפיתוח 2020'!V120</f>
        <v>0</v>
      </c>
      <c r="W120" s="199">
        <f>'תקציב החברה לפיתוח 2020'!W120</f>
        <v>0</v>
      </c>
      <c r="X120" s="199">
        <f>'תקציב החברה לפיתוח 2020'!X120</f>
        <v>0</v>
      </c>
      <c r="Y120" s="199">
        <f>'תקציב החברה לפיתוח 2020'!Y120</f>
        <v>5040000</v>
      </c>
      <c r="Z120" s="199">
        <f>'תקציב החברה לפיתוח 2020'!Z120</f>
        <v>18920000</v>
      </c>
      <c r="AA120" s="341" t="str">
        <f>'תקציב החברה לפיתוח 2020'!AA120</f>
        <v>בניית החניון במימון  חברת אפריקה ישראל. גנ"י: אומדן מימון מ. החינוך.</v>
      </c>
      <c r="AB120" s="707">
        <f>'תקציב החברה לפיתוח 2020'!AB120</f>
        <v>810000</v>
      </c>
      <c r="AE120" s="210"/>
      <c r="AK120" s="205"/>
    </row>
    <row r="121" spans="1:37" ht="27.6">
      <c r="A121" s="198">
        <f t="shared" si="3"/>
        <v>113</v>
      </c>
      <c r="B121" s="707">
        <f>'תקציב החברה לפיתוח 2020'!B121</f>
        <v>1961</v>
      </c>
      <c r="C121" s="341" t="str">
        <f>'תקציב החברה לפיתוח 2020'!C121</f>
        <v>גשר מעל כביש 20</v>
      </c>
      <c r="D121" s="199">
        <f>'תקציב החברה לפיתוח 2020'!D121</f>
        <v>128000000</v>
      </c>
      <c r="E121" s="199">
        <v>3000000</v>
      </c>
      <c r="F121" s="199">
        <f t="shared" si="4"/>
        <v>125000000</v>
      </c>
      <c r="G121" s="199">
        <v>1500000</v>
      </c>
      <c r="H121" s="199">
        <v>0</v>
      </c>
      <c r="I121" s="199"/>
      <c r="J121" s="199"/>
      <c r="K121" s="199">
        <f t="shared" si="5"/>
        <v>0</v>
      </c>
      <c r="L121" s="199">
        <f>'תקציב החברה לפיתוח 2020'!L121</f>
        <v>0</v>
      </c>
      <c r="M121" s="199">
        <f>'תקציב החברה לפיתוח 2020'!M121</f>
        <v>0</v>
      </c>
      <c r="N121" s="199">
        <f>'תקציב החברה לפיתוח 2020'!N121</f>
        <v>4500000</v>
      </c>
      <c r="O121" s="199">
        <f>'תקציב החברה לפיתוח 2020'!O121</f>
        <v>123500000</v>
      </c>
      <c r="P121" s="199">
        <f>'תקציב החברה לפיתוח 2020'!P121</f>
        <v>1500000</v>
      </c>
      <c r="Q121" s="199">
        <f>'תקציב החברה לפיתוח 2020'!Q121</f>
        <v>0</v>
      </c>
      <c r="R121" s="199">
        <f>'תקציב החברה לפיתוח 2020'!R121</f>
        <v>0</v>
      </c>
      <c r="S121" s="199">
        <f>'תקציב החברה לפיתוח 2020'!S121</f>
        <v>0</v>
      </c>
      <c r="T121" s="199">
        <f>'תקציב החברה לפיתוח 2020'!T121</f>
        <v>1500000</v>
      </c>
      <c r="U121" s="199">
        <f>'תקציב החברה לפיתוח 2020'!U121</f>
        <v>3000000</v>
      </c>
      <c r="V121" s="199">
        <f>'תקציב החברה לפיתוח 2020'!V121</f>
        <v>3000000</v>
      </c>
      <c r="W121" s="199">
        <f>'תקציב החברה לפיתוח 2020'!W121</f>
        <v>0</v>
      </c>
      <c r="X121" s="199">
        <f>'תקציב החברה לפיתוח 2020'!X121</f>
        <v>0</v>
      </c>
      <c r="Y121" s="199">
        <f>'תקציב החברה לפיתוח 2020'!Y121</f>
        <v>0</v>
      </c>
      <c r="Z121" s="199">
        <f>'תקציב החברה לפיתוח 2020'!Z121</f>
        <v>0</v>
      </c>
      <c r="AA121" s="341" t="str">
        <f>'תקציב החברה לפיתוח 2020'!AA121</f>
        <v>פיתוח הגשר מעל כביש 20 איזור גליל ים. תקציב מקרנות הרשות.</v>
      </c>
      <c r="AB121" s="707">
        <f>'תקציב החברה לפיתוח 2020'!AB121</f>
        <v>742000</v>
      </c>
      <c r="AE121" s="210"/>
      <c r="AK121" s="205"/>
    </row>
    <row r="122" spans="1:37" ht="27.6">
      <c r="A122" s="198">
        <f t="shared" si="3"/>
        <v>114</v>
      </c>
      <c r="B122" s="707">
        <f>'תקציב החברה לפיתוח 2020'!B122</f>
        <v>1962</v>
      </c>
      <c r="C122" s="341" t="str">
        <f>'תקציב החברה לפיתוח 2020'!C122</f>
        <v>גשר הולכי רגל מעל שבעת הכוכבים</v>
      </c>
      <c r="D122" s="199">
        <f>'תקציב החברה לפיתוח 2020'!D122</f>
        <v>20000000</v>
      </c>
      <c r="E122" s="199">
        <v>20000000</v>
      </c>
      <c r="F122" s="199">
        <f t="shared" si="4"/>
        <v>0</v>
      </c>
      <c r="G122" s="199">
        <v>1000000</v>
      </c>
      <c r="H122" s="199">
        <v>0</v>
      </c>
      <c r="I122" s="199"/>
      <c r="J122" s="199"/>
      <c r="K122" s="199">
        <f t="shared" si="5"/>
        <v>0</v>
      </c>
      <c r="L122" s="199">
        <f>'תקציב החברה לפיתוח 2020'!L122</f>
        <v>0</v>
      </c>
      <c r="M122" s="199">
        <f>'תקציב החברה לפיתוח 2020'!M122</f>
        <v>1000000</v>
      </c>
      <c r="N122" s="199">
        <f>'תקציב החברה לפיתוח 2020'!N122</f>
        <v>1000000</v>
      </c>
      <c r="O122" s="199">
        <f>'תקציב החברה לפיתוח 2020'!O122</f>
        <v>18000000</v>
      </c>
      <c r="P122" s="199">
        <f>'תקציב החברה לפיתוח 2020'!P122</f>
        <v>1000000</v>
      </c>
      <c r="Q122" s="199">
        <f>'תקציב החברה לפיתוח 2020'!Q122</f>
        <v>0</v>
      </c>
      <c r="R122" s="199">
        <f>'תקציב החברה לפיתוח 2020'!R122</f>
        <v>0</v>
      </c>
      <c r="S122" s="199">
        <f>'תקציב החברה לפיתוח 2020'!S122</f>
        <v>0</v>
      </c>
      <c r="T122" s="199">
        <f>'תקציב החברה לפיתוח 2020'!T122</f>
        <v>0</v>
      </c>
      <c r="U122" s="199">
        <f>'תקציב החברה לפיתוח 2020'!U122</f>
        <v>1000000</v>
      </c>
      <c r="V122" s="199">
        <f>'תקציב החברה לפיתוח 2020'!V122</f>
        <v>0</v>
      </c>
      <c r="W122" s="199">
        <f>'תקציב החברה לפיתוח 2020'!W122</f>
        <v>0</v>
      </c>
      <c r="X122" s="199">
        <f>'תקציב החברה לפיתוח 2020'!X122</f>
        <v>0</v>
      </c>
      <c r="Y122" s="199">
        <f>'תקציב החברה לפיתוח 2020'!Y122</f>
        <v>1000000</v>
      </c>
      <c r="Z122" s="199">
        <f>'תקציב החברה לפיתוח 2020'!Z122</f>
        <v>0</v>
      </c>
      <c r="AA122" s="341">
        <f>'תקציב החברה לפיתוח 2020'!AA122</f>
        <v>0</v>
      </c>
      <c r="AB122" s="707">
        <f>'תקציב החברה לפיתוח 2020'!AB122</f>
        <v>742000</v>
      </c>
      <c r="AE122" s="210"/>
      <c r="AK122" s="192"/>
    </row>
    <row r="123" spans="1:37" ht="27.6">
      <c r="A123" s="198">
        <f t="shared" si="3"/>
        <v>115</v>
      </c>
      <c r="B123" s="707">
        <f>'תקציב החברה לפיתוח 2020'!B123</f>
        <v>1965</v>
      </c>
      <c r="C123" s="341" t="str">
        <f>'תקציב החברה לפיתוח 2020'!C123</f>
        <v>בית ספר יסודי 18 כיתות מגרש 304 גלילי ים א'</v>
      </c>
      <c r="D123" s="199">
        <f>'תקציב החברה לפיתוח 2020'!D123</f>
        <v>35000000</v>
      </c>
      <c r="E123" s="199">
        <v>35000000</v>
      </c>
      <c r="F123" s="199">
        <f t="shared" si="4"/>
        <v>0</v>
      </c>
      <c r="G123" s="199">
        <v>100000</v>
      </c>
      <c r="H123" s="199">
        <v>4961</v>
      </c>
      <c r="I123" s="199"/>
      <c r="J123" s="199">
        <v>95037.93</v>
      </c>
      <c r="K123" s="199">
        <f t="shared" si="5"/>
        <v>95037.93</v>
      </c>
      <c r="L123" s="199">
        <f>'תקציב החברה לפיתוח 2020'!L123</f>
        <v>99998.93</v>
      </c>
      <c r="M123" s="199">
        <f>'תקציב החברה לפיתוח 2020'!M123</f>
        <v>1.0700000000069849</v>
      </c>
      <c r="N123" s="199">
        <f>'תקציב החברה לפיתוח 2020'!N123</f>
        <v>1000000</v>
      </c>
      <c r="O123" s="199">
        <f>'תקציב החברה לפיתוח 2020'!O123</f>
        <v>33900000</v>
      </c>
      <c r="P123" s="199">
        <f>'תקציב החברה לפיתוח 2020'!P123</f>
        <v>1.0700000000069849</v>
      </c>
      <c r="Q123" s="199">
        <f>'תקציב החברה לפיתוח 2020'!Q123</f>
        <v>0</v>
      </c>
      <c r="R123" s="199">
        <f>'תקציב החברה לפיתוח 2020'!R123</f>
        <v>0</v>
      </c>
      <c r="S123" s="199">
        <f>'תקציב החברה לפיתוח 2020'!S123</f>
        <v>0</v>
      </c>
      <c r="T123" s="199">
        <f>'תקציב החברה לפיתוח 2020'!T123</f>
        <v>0</v>
      </c>
      <c r="U123" s="199">
        <f>'תקציב החברה לפיתוח 2020'!U123</f>
        <v>1000000</v>
      </c>
      <c r="V123" s="199">
        <f>'תקציב החברה לפיתוח 2020'!V123</f>
        <v>0</v>
      </c>
      <c r="W123" s="199">
        <f>'תקציב החברה לפיתוח 2020'!W123</f>
        <v>0</v>
      </c>
      <c r="X123" s="199">
        <f>'תקציב החברה לפיתוח 2020'!X123</f>
        <v>0</v>
      </c>
      <c r="Y123" s="199">
        <f>'תקציב החברה לפיתוח 2020'!Y123</f>
        <v>1000000</v>
      </c>
      <c r="Z123" s="199">
        <f>'תקציב החברה לפיתוח 2020'!Z123</f>
        <v>0</v>
      </c>
      <c r="AA123" s="341" t="str">
        <f>'תקציב החברה לפיתוח 2020'!AA123</f>
        <v>בי"ס יסודי בשטח 304.ב - 2020: תכנון.</v>
      </c>
      <c r="AB123" s="707">
        <f>'תקציב החברה לפיתוח 2020'!AB123</f>
        <v>810000</v>
      </c>
      <c r="AE123" s="210"/>
      <c r="AK123" s="192"/>
    </row>
    <row r="124" spans="1:37" s="346" customFormat="1" ht="35.1" customHeight="1">
      <c r="A124" s="204"/>
      <c r="B124" s="771"/>
      <c r="C124" s="221" t="s">
        <v>487</v>
      </c>
      <c r="D124" s="206">
        <f t="shared" ref="D124:Z124" si="6">SUM(D109:D123)</f>
        <v>1160323688</v>
      </c>
      <c r="E124" s="206">
        <f t="shared" si="6"/>
        <v>991866000</v>
      </c>
      <c r="F124" s="206">
        <f t="shared" si="6"/>
        <v>168457688</v>
      </c>
      <c r="G124" s="206">
        <f t="shared" si="6"/>
        <v>252076249</v>
      </c>
      <c r="H124" s="206">
        <f t="shared" si="6"/>
        <v>191703564.38</v>
      </c>
      <c r="I124" s="206">
        <f t="shared" si="6"/>
        <v>1052805.8700000001</v>
      </c>
      <c r="J124" s="206">
        <f t="shared" si="6"/>
        <v>7983079.6999999993</v>
      </c>
      <c r="K124" s="206">
        <f t="shared" si="6"/>
        <v>9035885.5700000003</v>
      </c>
      <c r="L124" s="206">
        <f t="shared" si="6"/>
        <v>200739449.95000002</v>
      </c>
      <c r="M124" s="206">
        <f t="shared" si="6"/>
        <v>87343050.049999997</v>
      </c>
      <c r="N124" s="206">
        <f t="shared" si="6"/>
        <v>200628033</v>
      </c>
      <c r="O124" s="206">
        <f t="shared" si="6"/>
        <v>671613155</v>
      </c>
      <c r="P124" s="206">
        <f t="shared" si="6"/>
        <v>51336799.04999999</v>
      </c>
      <c r="Q124" s="206">
        <f t="shared" si="6"/>
        <v>37506251</v>
      </c>
      <c r="R124" s="206">
        <f t="shared" si="6"/>
        <v>0</v>
      </c>
      <c r="S124" s="206">
        <f t="shared" si="6"/>
        <v>37506251</v>
      </c>
      <c r="T124" s="206">
        <f t="shared" si="6"/>
        <v>1500000</v>
      </c>
      <c r="U124" s="206">
        <f t="shared" si="6"/>
        <v>199128033</v>
      </c>
      <c r="V124" s="206">
        <f t="shared" si="6"/>
        <v>3000000</v>
      </c>
      <c r="W124" s="206">
        <f t="shared" si="6"/>
        <v>0</v>
      </c>
      <c r="X124" s="206">
        <f t="shared" si="6"/>
        <v>0</v>
      </c>
      <c r="Y124" s="206">
        <f t="shared" si="6"/>
        <v>100433357</v>
      </c>
      <c r="Z124" s="206">
        <f t="shared" si="6"/>
        <v>95694676</v>
      </c>
      <c r="AA124" s="194"/>
      <c r="AB124" s="204"/>
      <c r="AC124" s="191"/>
      <c r="AD124" s="191"/>
      <c r="AE124" s="345"/>
      <c r="AF124" s="331"/>
      <c r="AG124" s="331"/>
      <c r="AH124" s="331"/>
    </row>
    <row r="125" spans="1:37" s="346" customFormat="1" ht="25.05" customHeight="1">
      <c r="A125" s="204"/>
      <c r="B125" s="771"/>
      <c r="C125" s="221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194"/>
      <c r="AB125" s="204"/>
      <c r="AC125" s="191"/>
      <c r="AD125" s="191"/>
      <c r="AE125" s="345"/>
      <c r="AF125" s="331"/>
      <c r="AG125" s="331"/>
      <c r="AH125" s="331"/>
    </row>
    <row r="126" spans="1:37" s="346" customFormat="1" ht="25.05" customHeight="1">
      <c r="A126" s="206">
        <f>A123</f>
        <v>115</v>
      </c>
      <c r="B126" s="771"/>
      <c r="C126" s="221" t="s">
        <v>102</v>
      </c>
      <c r="D126" s="206">
        <f t="shared" ref="D126:Z126" si="7">D124+D106</f>
        <v>2883587813</v>
      </c>
      <c r="E126" s="206">
        <f t="shared" si="7"/>
        <v>2584196125</v>
      </c>
      <c r="F126" s="206">
        <f t="shared" si="7"/>
        <v>299391688</v>
      </c>
      <c r="G126" s="206">
        <f t="shared" si="7"/>
        <v>1117399039</v>
      </c>
      <c r="H126" s="206">
        <f t="shared" si="7"/>
        <v>883164396.77999985</v>
      </c>
      <c r="I126" s="206">
        <f t="shared" si="7"/>
        <v>2075146.81</v>
      </c>
      <c r="J126" s="206">
        <f t="shared" si="7"/>
        <v>53985715.510000005</v>
      </c>
      <c r="K126" s="206">
        <f t="shared" si="7"/>
        <v>56060862.320000008</v>
      </c>
      <c r="L126" s="206">
        <f t="shared" si="7"/>
        <v>939225259.1000005</v>
      </c>
      <c r="M126" s="206">
        <f t="shared" si="7"/>
        <v>324021030.89999998</v>
      </c>
      <c r="N126" s="206">
        <f t="shared" si="7"/>
        <v>386960033</v>
      </c>
      <c r="O126" s="206">
        <f t="shared" si="7"/>
        <v>1233381490</v>
      </c>
      <c r="P126" s="206">
        <f t="shared" si="7"/>
        <v>178173779.90000004</v>
      </c>
      <c r="Q126" s="206">
        <f t="shared" si="7"/>
        <v>191897251</v>
      </c>
      <c r="R126" s="206">
        <f t="shared" si="7"/>
        <v>3060000</v>
      </c>
      <c r="S126" s="206">
        <f t="shared" si="7"/>
        <v>194957251</v>
      </c>
      <c r="T126" s="206">
        <f t="shared" si="7"/>
        <v>49110000</v>
      </c>
      <c r="U126" s="206">
        <f t="shared" si="7"/>
        <v>337850033</v>
      </c>
      <c r="V126" s="206">
        <f t="shared" si="7"/>
        <v>135490880</v>
      </c>
      <c r="W126" s="206">
        <f t="shared" si="7"/>
        <v>500000</v>
      </c>
      <c r="X126" s="206">
        <f t="shared" si="7"/>
        <v>0</v>
      </c>
      <c r="Y126" s="206">
        <f t="shared" si="7"/>
        <v>100433357</v>
      </c>
      <c r="Z126" s="206">
        <f t="shared" si="7"/>
        <v>101425796</v>
      </c>
      <c r="AA126" s="194"/>
      <c r="AB126" s="204"/>
      <c r="AC126" s="191"/>
      <c r="AD126" s="191"/>
      <c r="AE126" s="345"/>
      <c r="AF126" s="331"/>
      <c r="AG126" s="331"/>
      <c r="AH126" s="331"/>
    </row>
    <row r="127" spans="1:37" hidden="1">
      <c r="B127" s="772"/>
      <c r="D127" s="213"/>
      <c r="E127" s="213"/>
      <c r="F127" s="213"/>
      <c r="G127" s="213"/>
      <c r="H127" s="213"/>
      <c r="I127" s="213"/>
      <c r="J127" s="213"/>
      <c r="K127" s="213"/>
      <c r="L127" s="22">
        <f>H126+K126</f>
        <v>939225259.0999999</v>
      </c>
      <c r="M127" s="22">
        <f>P126+S126-T126</f>
        <v>324021030.90000004</v>
      </c>
      <c r="N127" s="213"/>
      <c r="O127" s="213"/>
      <c r="P127" s="22">
        <f>G126-L126</f>
        <v>178173779.8999995</v>
      </c>
      <c r="Q127" s="213"/>
      <c r="R127" s="213"/>
      <c r="S127" s="213"/>
      <c r="U127" s="22">
        <f>N126-T126</f>
        <v>337850033</v>
      </c>
      <c r="V127" s="216"/>
      <c r="W127" s="216"/>
      <c r="X127" s="216"/>
      <c r="AA127" s="398"/>
      <c r="AB127" s="210"/>
    </row>
    <row r="128" spans="1:37">
      <c r="C128" s="768"/>
      <c r="D128" s="349"/>
      <c r="E128" s="349"/>
      <c r="F128" s="349"/>
      <c r="G128" s="349"/>
      <c r="H128" s="349"/>
      <c r="I128" s="349"/>
      <c r="J128" s="349"/>
      <c r="K128" s="349"/>
      <c r="L128" s="349"/>
      <c r="M128" s="349"/>
      <c r="N128" s="348"/>
      <c r="O128" s="348"/>
      <c r="P128" s="349"/>
      <c r="Q128" s="349"/>
      <c r="R128" s="349"/>
      <c r="S128" s="349"/>
      <c r="W128" s="192"/>
      <c r="X128" s="192"/>
    </row>
    <row r="129" spans="6:20"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8"/>
      <c r="S129" s="349"/>
      <c r="T129" s="349"/>
    </row>
    <row r="130" spans="6:20"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8"/>
      <c r="S130" s="349"/>
      <c r="T130" s="349"/>
    </row>
    <row r="131" spans="6:20">
      <c r="F131" s="349"/>
      <c r="G131" s="349"/>
      <c r="H131" s="349"/>
      <c r="I131" s="349"/>
      <c r="J131" s="349"/>
      <c r="K131" s="349"/>
      <c r="L131" s="349"/>
      <c r="M131" s="349"/>
      <c r="N131" s="349"/>
      <c r="O131" s="349"/>
      <c r="P131" s="349"/>
      <c r="Q131" s="349"/>
      <c r="R131" s="348"/>
      <c r="S131" s="349"/>
      <c r="T131" s="349"/>
    </row>
    <row r="132" spans="6:20">
      <c r="F132" s="349"/>
      <c r="G132" s="349"/>
      <c r="H132" s="349"/>
      <c r="I132" s="349"/>
      <c r="J132" s="349"/>
      <c r="K132" s="349"/>
      <c r="L132" s="349"/>
      <c r="M132" s="349"/>
      <c r="N132" s="349"/>
      <c r="O132" s="349"/>
      <c r="P132" s="349"/>
      <c r="Q132" s="349"/>
      <c r="R132" s="349"/>
      <c r="S132" s="349"/>
      <c r="T132" s="349"/>
    </row>
    <row r="133" spans="6:20"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49"/>
      <c r="Q133" s="349"/>
      <c r="R133" s="350"/>
      <c r="S133" s="349"/>
      <c r="T133" s="349"/>
    </row>
    <row r="134" spans="6:20">
      <c r="F134" s="349"/>
      <c r="G134" s="349"/>
      <c r="H134" s="349"/>
      <c r="I134" s="349"/>
      <c r="J134" s="349"/>
      <c r="K134" s="349"/>
      <c r="L134" s="349"/>
      <c r="M134" s="349"/>
      <c r="N134" s="349"/>
      <c r="O134" s="349"/>
      <c r="P134" s="349"/>
      <c r="Q134" s="349"/>
      <c r="R134" s="349"/>
      <c r="S134" s="349"/>
      <c r="T134" s="349"/>
    </row>
    <row r="135" spans="6:20">
      <c r="F135" s="349"/>
      <c r="G135" s="349"/>
      <c r="H135" s="349"/>
      <c r="I135" s="349"/>
      <c r="J135" s="349"/>
      <c r="K135" s="349"/>
      <c r="L135" s="349"/>
      <c r="M135" s="349"/>
      <c r="N135" s="349"/>
      <c r="O135" s="349"/>
      <c r="P135" s="349"/>
      <c r="Q135" s="349"/>
      <c r="R135" s="349"/>
      <c r="S135" s="349"/>
      <c r="T135" s="349"/>
    </row>
    <row r="136" spans="6:20">
      <c r="F136" s="349"/>
      <c r="G136" s="349"/>
      <c r="H136" s="349"/>
      <c r="I136" s="349"/>
      <c r="J136" s="349"/>
      <c r="K136" s="349"/>
      <c r="L136" s="349"/>
      <c r="M136" s="349"/>
      <c r="N136" s="349"/>
      <c r="O136" s="349"/>
      <c r="P136" s="349"/>
      <c r="Q136" s="349"/>
      <c r="R136" s="349"/>
      <c r="S136" s="349"/>
      <c r="T136" s="349"/>
    </row>
    <row r="137" spans="6:20">
      <c r="F137" s="349"/>
      <c r="G137" s="349"/>
      <c r="H137" s="349"/>
      <c r="I137" s="349"/>
      <c r="J137" s="349"/>
      <c r="K137" s="349"/>
      <c r="L137" s="349"/>
      <c r="M137" s="349"/>
      <c r="N137" s="349"/>
      <c r="O137" s="349"/>
      <c r="P137" s="349"/>
      <c r="Q137" s="205"/>
      <c r="R137" s="349"/>
      <c r="S137" s="349"/>
      <c r="T137" s="349"/>
    </row>
    <row r="138" spans="6:20">
      <c r="F138" s="349"/>
      <c r="G138" s="349"/>
      <c r="H138" s="349"/>
      <c r="I138" s="349"/>
      <c r="J138" s="349"/>
      <c r="K138" s="349"/>
      <c r="L138" s="349"/>
      <c r="M138" s="349"/>
      <c r="N138" s="349"/>
      <c r="O138" s="349"/>
      <c r="P138" s="349"/>
      <c r="Q138" s="349"/>
      <c r="R138" s="349"/>
      <c r="S138" s="349"/>
      <c r="T138" s="349"/>
    </row>
    <row r="139" spans="6:20">
      <c r="F139" s="349"/>
      <c r="G139" s="349"/>
      <c r="H139" s="349"/>
      <c r="I139" s="349"/>
      <c r="J139" s="349"/>
      <c r="K139" s="349"/>
      <c r="L139" s="349"/>
      <c r="M139" s="349"/>
      <c r="N139" s="349"/>
      <c r="O139" s="349"/>
      <c r="P139" s="349"/>
      <c r="Q139" s="349"/>
      <c r="R139" s="349"/>
      <c r="S139" s="349"/>
      <c r="T139" s="349"/>
    </row>
    <row r="140" spans="6:20">
      <c r="F140" s="349"/>
      <c r="G140" s="349"/>
      <c r="H140" s="349"/>
      <c r="I140" s="349"/>
      <c r="J140" s="349"/>
      <c r="K140" s="349"/>
      <c r="L140" s="349"/>
      <c r="M140" s="349"/>
      <c r="N140" s="349"/>
      <c r="O140" s="349"/>
      <c r="P140" s="349"/>
      <c r="Q140" s="349"/>
      <c r="R140" s="349"/>
      <c r="S140" s="349"/>
      <c r="T140" s="349"/>
    </row>
    <row r="141" spans="6:20">
      <c r="F141" s="349"/>
      <c r="G141" s="349"/>
      <c r="H141" s="349"/>
      <c r="I141" s="349"/>
      <c r="J141" s="349"/>
      <c r="K141" s="349"/>
      <c r="L141" s="349"/>
      <c r="M141" s="349"/>
      <c r="N141" s="349"/>
      <c r="O141" s="349"/>
      <c r="P141" s="349"/>
      <c r="Q141" s="349"/>
      <c r="R141" s="205"/>
      <c r="S141" s="349"/>
      <c r="T141" s="349"/>
    </row>
    <row r="142" spans="6:20">
      <c r="F142" s="349"/>
      <c r="G142" s="349"/>
      <c r="H142" s="349"/>
      <c r="I142" s="349"/>
      <c r="J142" s="349"/>
      <c r="K142" s="349"/>
      <c r="L142" s="349"/>
      <c r="M142" s="349"/>
      <c r="N142" s="349"/>
      <c r="O142" s="349"/>
      <c r="P142" s="349"/>
      <c r="Q142" s="349"/>
      <c r="R142" s="349"/>
      <c r="S142" s="349"/>
      <c r="T142" s="349"/>
    </row>
    <row r="143" spans="6:20">
      <c r="F143" s="349"/>
      <c r="G143" s="349"/>
      <c r="H143" s="349"/>
      <c r="I143" s="349"/>
      <c r="J143" s="349"/>
      <c r="K143" s="349"/>
      <c r="L143" s="349"/>
      <c r="M143" s="349"/>
      <c r="N143" s="349"/>
      <c r="O143" s="349"/>
      <c r="P143" s="349"/>
      <c r="Q143" s="349"/>
      <c r="R143" s="349"/>
      <c r="S143" s="349"/>
      <c r="T143" s="349"/>
    </row>
    <row r="144" spans="6:20">
      <c r="F144" s="349"/>
      <c r="G144" s="349"/>
      <c r="H144" s="349"/>
      <c r="I144" s="349"/>
      <c r="J144" s="349"/>
      <c r="K144" s="349"/>
      <c r="L144" s="349"/>
      <c r="M144" s="349"/>
      <c r="N144" s="349"/>
      <c r="O144" s="349"/>
      <c r="P144" s="349"/>
      <c r="Q144" s="349"/>
      <c r="R144" s="349"/>
      <c r="S144" s="349"/>
      <c r="T144" s="349"/>
    </row>
    <row r="145" spans="6:20">
      <c r="F145" s="349"/>
      <c r="G145" s="349"/>
      <c r="H145" s="349"/>
      <c r="I145" s="349"/>
      <c r="J145" s="349"/>
      <c r="K145" s="349"/>
      <c r="L145" s="349"/>
      <c r="M145" s="349"/>
      <c r="N145" s="349"/>
      <c r="O145" s="349"/>
      <c r="P145" s="349"/>
      <c r="Q145" s="349"/>
      <c r="R145" s="349"/>
      <c r="S145" s="349"/>
      <c r="T145" s="349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31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52"/>
  <sheetViews>
    <sheetView showZeros="0" rightToLeft="1" zoomScaleNormal="100" workbookViewId="0">
      <pane xSplit="3" ySplit="4" topLeftCell="D125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E133" sqref="E133:F133"/>
    </sheetView>
  </sheetViews>
  <sheetFormatPr defaultColWidth="9.109375" defaultRowHeight="18"/>
  <cols>
    <col min="1" max="1" width="4" style="333" customWidth="1"/>
    <col min="2" max="2" width="4.88671875" style="769" customWidth="1"/>
    <col min="3" max="3" width="23.33203125" style="396" customWidth="1"/>
    <col min="4" max="4" width="12.5546875" style="192" customWidth="1"/>
    <col min="5" max="5" width="12.6640625" style="192" customWidth="1"/>
    <col min="6" max="6" width="11" style="192" customWidth="1"/>
    <col min="7" max="10" width="12.6640625" style="192" customWidth="1"/>
    <col min="11" max="11" width="11.33203125" style="192" customWidth="1"/>
    <col min="12" max="12" width="11" style="192" customWidth="1"/>
    <col min="13" max="14" width="11.109375" style="192" customWidth="1"/>
    <col min="15" max="15" width="12.5546875" style="192" customWidth="1"/>
    <col min="16" max="17" width="11.109375" style="192" hidden="1" customWidth="1"/>
    <col min="18" max="18" width="10.33203125" style="192" hidden="1" customWidth="1"/>
    <col min="19" max="19" width="12" style="192" hidden="1" customWidth="1"/>
    <col min="20" max="20" width="9.88671875" style="192" customWidth="1"/>
    <col min="21" max="21" width="10.88671875" style="191" customWidth="1"/>
    <col min="22" max="22" width="10.44140625" style="191" customWidth="1"/>
    <col min="23" max="23" width="8.88671875" style="191" customWidth="1"/>
    <col min="24" max="24" width="11.88671875" style="191" hidden="1" customWidth="1"/>
    <col min="25" max="25" width="10.109375" style="191" customWidth="1"/>
    <col min="26" max="26" width="10.6640625" style="191" customWidth="1"/>
    <col min="27" max="27" width="27.77734375" style="396" hidden="1" customWidth="1"/>
    <col min="28" max="28" width="12.109375" style="191" customWidth="1"/>
    <col min="29" max="29" width="20.33203125" style="191" customWidth="1"/>
    <col min="30" max="30" width="30.33203125" style="191" customWidth="1"/>
    <col min="31" max="31" width="11.21875" style="191" customWidth="1"/>
    <col min="32" max="32" width="8.88671875" style="331" customWidth="1"/>
    <col min="33" max="33" width="10.5546875" style="331" customWidth="1"/>
    <col min="34" max="34" width="11.44140625" style="331" customWidth="1"/>
    <col min="35" max="35" width="9.109375" style="191" customWidth="1"/>
    <col min="36" max="36" width="9.109375" style="191"/>
    <col min="37" max="37" width="10.109375" style="191" bestFit="1" customWidth="1"/>
    <col min="38" max="16384" width="9.109375" style="191"/>
  </cols>
  <sheetData>
    <row r="1" spans="1:39" s="331" customFormat="1">
      <c r="A1" s="329"/>
      <c r="B1" s="766"/>
      <c r="C1" s="767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3"/>
      <c r="AC1" s="191"/>
      <c r="AD1" s="191"/>
    </row>
    <row r="2" spans="1:39">
      <c r="A2" s="329" t="s">
        <v>286</v>
      </c>
      <c r="B2" s="766"/>
      <c r="C2" s="767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F2" s="191"/>
      <c r="AG2" s="191"/>
      <c r="AH2" s="191"/>
    </row>
    <row r="3" spans="1:39">
      <c r="U3" s="192"/>
    </row>
    <row r="4" spans="1:39" s="336" customFormat="1" ht="86.25" customHeight="1">
      <c r="A4" s="194" t="s">
        <v>0</v>
      </c>
      <c r="B4" s="770" t="s">
        <v>1</v>
      </c>
      <c r="C4" s="194" t="s">
        <v>2</v>
      </c>
      <c r="D4" s="194" t="s">
        <v>3</v>
      </c>
      <c r="E4" s="194" t="s">
        <v>4</v>
      </c>
      <c r="F4" s="194" t="s">
        <v>5</v>
      </c>
      <c r="G4" s="194" t="s">
        <v>6</v>
      </c>
      <c r="H4" s="194" t="s">
        <v>7</v>
      </c>
      <c r="I4" s="194" t="s">
        <v>9</v>
      </c>
      <c r="J4" s="194" t="s">
        <v>215</v>
      </c>
      <c r="K4" s="194" t="s">
        <v>10</v>
      </c>
      <c r="L4" s="194" t="s">
        <v>11</v>
      </c>
      <c r="M4" s="10" t="s">
        <v>918</v>
      </c>
      <c r="N4" s="194" t="s">
        <v>919</v>
      </c>
      <c r="O4" s="194" t="s">
        <v>920</v>
      </c>
      <c r="P4" s="194" t="s">
        <v>12</v>
      </c>
      <c r="Q4" s="194" t="s">
        <v>1120</v>
      </c>
      <c r="R4" s="194" t="s">
        <v>1121</v>
      </c>
      <c r="S4" s="194" t="s">
        <v>927</v>
      </c>
      <c r="T4" s="194" t="s">
        <v>921</v>
      </c>
      <c r="U4" s="194" t="s">
        <v>922</v>
      </c>
      <c r="V4" s="194" t="s">
        <v>13</v>
      </c>
      <c r="W4" s="18" t="s">
        <v>14</v>
      </c>
      <c r="X4" s="194" t="s">
        <v>15</v>
      </c>
      <c r="Y4" s="194" t="s">
        <v>354</v>
      </c>
      <c r="Z4" s="194" t="s">
        <v>105</v>
      </c>
      <c r="AA4" s="623" t="s">
        <v>410</v>
      </c>
      <c r="AB4" s="194" t="s">
        <v>16</v>
      </c>
      <c r="AC4" s="191"/>
      <c r="AD4" s="191"/>
      <c r="AF4" s="331"/>
      <c r="AG4" s="331"/>
      <c r="AH4" s="331"/>
    </row>
    <row r="5" spans="1:39" s="202" customFormat="1">
      <c r="A5" s="198"/>
      <c r="B5" s="707"/>
      <c r="C5" s="397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397"/>
      <c r="AB5" s="195"/>
      <c r="AC5" s="191"/>
      <c r="AD5" s="191"/>
      <c r="AF5" s="331"/>
      <c r="AG5" s="331"/>
      <c r="AH5" s="331"/>
    </row>
    <row r="6" spans="1:39" s="202" customFormat="1" ht="27.6">
      <c r="A6" s="198">
        <f t="shared" ref="A6:A13" si="0">A5+1</f>
        <v>1</v>
      </c>
      <c r="B6" s="707">
        <f>'תקציב החברה לפיתוח 2020'!B9</f>
        <v>634</v>
      </c>
      <c r="C6" s="341" t="str">
        <f>'תקציב החברה לפיתוח 2020'!C9</f>
        <v>מתחם המשתלה  תב"ע 1874</v>
      </c>
      <c r="D6" s="199">
        <f>'תקציב החברה לפיתוח 2020'!D9</f>
        <v>56350000</v>
      </c>
      <c r="E6" s="199">
        <f>'תקציב החברה לפיתוח 2020'!E9</f>
        <v>57250000</v>
      </c>
      <c r="F6" s="199">
        <f>'תקציב החברה לפיתוח 2020'!F9</f>
        <v>-900000</v>
      </c>
      <c r="G6" s="199">
        <f>'תקציב החברה לפיתוח 2020'!G9</f>
        <v>56350000</v>
      </c>
      <c r="H6" s="199">
        <f>'תקציב החברה לפיתוח 2020'!H9</f>
        <v>55240943.850000001</v>
      </c>
      <c r="I6" s="199">
        <f>'תקציב החברה לפיתוח 2020'!I9</f>
        <v>0</v>
      </c>
      <c r="J6" s="199">
        <f>'תקציב החברה לפיתוח 2020'!J9</f>
        <v>1109051.78</v>
      </c>
      <c r="K6" s="199">
        <f>'תקציב החברה לפיתוח 2020'!K9</f>
        <v>1109051.78</v>
      </c>
      <c r="L6" s="199">
        <f>'תקציב החברה לפיתוח 2020'!L9</f>
        <v>56349995.630000003</v>
      </c>
      <c r="M6" s="199">
        <f>'תקציב החברה לפיתוח 2020'!M9</f>
        <v>4.369999997317791</v>
      </c>
      <c r="N6" s="199">
        <f>'תקציב החברה לפיתוח 2020'!N9</f>
        <v>0</v>
      </c>
      <c r="O6" s="199">
        <f>'תקציב החברה לפיתוח 2020'!O9</f>
        <v>0</v>
      </c>
      <c r="P6" s="199">
        <f>'תקציב החברה לפיתוח 2020'!P9</f>
        <v>4.369999997317791</v>
      </c>
      <c r="Q6" s="199">
        <f>'תקציב החברה לפיתוח 2020'!Q9</f>
        <v>0</v>
      </c>
      <c r="R6" s="199">
        <f>'תקציב החברה לפיתוח 2020'!R9</f>
        <v>0</v>
      </c>
      <c r="S6" s="199">
        <f>'תקציב החברה לפיתוח 2020'!S9</f>
        <v>0</v>
      </c>
      <c r="T6" s="199">
        <f>'תקציב החברה לפיתוח 2020'!T9</f>
        <v>0</v>
      </c>
      <c r="U6" s="199">
        <f>'תקציב החברה לפיתוח 2020'!U9</f>
        <v>0</v>
      </c>
      <c r="V6" s="199">
        <f>'תקציב החברה לפיתוח 2020'!V9</f>
        <v>0</v>
      </c>
      <c r="W6" s="199">
        <f>'תקציב החברה לפיתוח 2020'!W9</f>
        <v>0</v>
      </c>
      <c r="X6" s="199">
        <f>'תקציב החברה לפיתוח 2020'!X9</f>
        <v>0</v>
      </c>
      <c r="Y6" s="199">
        <f>'תקציב החברה לפיתוח 2020'!Y9</f>
        <v>0</v>
      </c>
      <c r="Z6" s="199">
        <f>'תקציב החברה לפיתוח 2020'!Z9</f>
        <v>0</v>
      </c>
      <c r="AA6" s="341" t="str">
        <f>'תקציב החברה לפיתוח 2020'!AA9</f>
        <v>השלמת עבודות גינון ותיקונים במתחם. לקראת סגירת תב"ר.</v>
      </c>
      <c r="AB6" s="707">
        <f>'תקציב החברה לפיתוח 2020'!AB9</f>
        <v>732000</v>
      </c>
      <c r="AC6" s="191"/>
      <c r="AD6" s="191"/>
      <c r="AE6" s="624"/>
      <c r="AF6" s="627"/>
      <c r="AG6" s="331"/>
      <c r="AH6" s="331"/>
      <c r="AI6" s="203"/>
      <c r="AJ6" s="203"/>
      <c r="AK6" s="203"/>
      <c r="AL6" s="203"/>
      <c r="AM6" s="203"/>
    </row>
    <row r="7" spans="1:39" s="203" customFormat="1" ht="55.2">
      <c r="A7" s="198">
        <f t="shared" si="0"/>
        <v>2</v>
      </c>
      <c r="B7" s="707">
        <f>'תקציב החברה לפיתוח 2020'!B30</f>
        <v>1723</v>
      </c>
      <c r="C7" s="341" t="str">
        <f>'תקציב החברה לפיתוח 2020'!C30</f>
        <v>מרכז תחבורה חדש</v>
      </c>
      <c r="D7" s="199">
        <f>'תקציב החברה לפיתוח 2020'!D30</f>
        <v>17500000</v>
      </c>
      <c r="E7" s="199">
        <f>'תקציב החברה לפיתוח 2020'!E30</f>
        <v>17500000</v>
      </c>
      <c r="F7" s="199">
        <f>'תקציב החברה לפיתוח 2020'!F30</f>
        <v>0</v>
      </c>
      <c r="G7" s="199">
        <f>'תקציב החברה לפיתוח 2020'!G30</f>
        <v>12212460</v>
      </c>
      <c r="H7" s="199">
        <f>'תקציב החברה לפיתוח 2020'!H30</f>
        <v>1426802</v>
      </c>
      <c r="I7" s="199">
        <f>'תקציב החברה לפיתוח 2020'!I30</f>
        <v>0</v>
      </c>
      <c r="J7" s="199">
        <f>'תקציב החברה לפיתוח 2020'!J30</f>
        <v>40053.839999999997</v>
      </c>
      <c r="K7" s="199">
        <f>'תקציב החברה לפיתוח 2020'!K30</f>
        <v>40053.839999999997</v>
      </c>
      <c r="L7" s="199">
        <f>'תקציב החברה לפיתוח 2020'!L30</f>
        <v>1466855.84</v>
      </c>
      <c r="M7" s="199">
        <f>'תקציב החברה לפיתוח 2020'!M30</f>
        <v>10745604.16</v>
      </c>
      <c r="N7" s="199">
        <f>'תקציב החברה לפיתוח 2020'!N30</f>
        <v>0</v>
      </c>
      <c r="O7" s="199">
        <f>'תקציב החברה לפיתוח 2020'!O30</f>
        <v>5287540</v>
      </c>
      <c r="P7" s="199">
        <f>'תקציב החברה לפיתוח 2020'!P30</f>
        <v>10745604.16</v>
      </c>
      <c r="Q7" s="199">
        <f>'תקציב החברה לפיתוח 2020'!Q30</f>
        <v>0</v>
      </c>
      <c r="R7" s="199">
        <f>'תקציב החברה לפיתוח 2020'!R30</f>
        <v>0</v>
      </c>
      <c r="S7" s="199">
        <f>'תקציב החברה לפיתוח 2020'!S30</f>
        <v>0</v>
      </c>
      <c r="T7" s="199">
        <f>'תקציב החברה לפיתוח 2020'!T30</f>
        <v>0</v>
      </c>
      <c r="U7" s="199">
        <f>'תקציב החברה לפיתוח 2020'!U30</f>
        <v>0</v>
      </c>
      <c r="V7" s="199">
        <f>'תקציב החברה לפיתוח 2020'!V30</f>
        <v>0</v>
      </c>
      <c r="W7" s="199">
        <f>'תקציב החברה לפיתוח 2020'!W30</f>
        <v>0</v>
      </c>
      <c r="X7" s="199">
        <f>'תקציב החברה לפיתוח 2020'!X30</f>
        <v>0</v>
      </c>
      <c r="Y7" s="199">
        <f>'תקציב החברה לפיתוח 2020'!Y30</f>
        <v>0</v>
      </c>
      <c r="Z7" s="199">
        <f>'תקציב החברה לפיתוח 2020'!Z30</f>
        <v>0</v>
      </c>
      <c r="AA7" s="341" t="str">
        <f>'תקציב החברה לפיתוח 2020'!AA30</f>
        <v>הקמת מסוף תחבורה חדש , חניון ל -60 אוטובוסים , הסדרת ציר תנועה רחוב בן ציון מיכאלי. מימון מ.התחבורה.הביצוע עובר לנת"י.</v>
      </c>
      <c r="AB7" s="707">
        <f>'תקציב החברה לפיתוח 2020'!AB30</f>
        <v>732000</v>
      </c>
      <c r="AC7" s="191"/>
      <c r="AD7" s="191"/>
      <c r="AE7" s="624"/>
      <c r="AF7" s="627"/>
      <c r="AG7" s="331"/>
      <c r="AH7" s="331"/>
      <c r="AI7" s="202"/>
      <c r="AJ7" s="202"/>
      <c r="AK7" s="202"/>
      <c r="AL7" s="202"/>
      <c r="AM7" s="202"/>
    </row>
    <row r="8" spans="1:39" s="203" customFormat="1" ht="27.6">
      <c r="A8" s="198">
        <f t="shared" si="0"/>
        <v>3</v>
      </c>
      <c r="B8" s="707">
        <f>'תקציב החברה לפיתוח 2020'!B34</f>
        <v>1806</v>
      </c>
      <c r="C8" s="341" t="str">
        <f>'תקציב החברה לפיתוח 2020'!C34</f>
        <v>תכנון רכבת עילית איזור תעשיה</v>
      </c>
      <c r="D8" s="199">
        <f>'תקציב החברה לפיתוח 2020'!D34</f>
        <v>500000</v>
      </c>
      <c r="E8" s="199">
        <f>'תקציב החברה לפיתוח 2020'!E34</f>
        <v>500000</v>
      </c>
      <c r="F8" s="199">
        <f>'תקציב החברה לפיתוח 2020'!F34</f>
        <v>0</v>
      </c>
      <c r="G8" s="199">
        <f>'תקציב החברה לפיתוח 2020'!G34</f>
        <v>350000</v>
      </c>
      <c r="H8" s="199">
        <f>'תקציב החברה לפיתוח 2020'!H34</f>
        <v>162931</v>
      </c>
      <c r="I8" s="199">
        <f>'תקציב החברה לפיתוח 2020'!I34</f>
        <v>0</v>
      </c>
      <c r="J8" s="199">
        <f>'תקציב החברה לפיתוח 2020'!J34</f>
        <v>172184.22</v>
      </c>
      <c r="K8" s="199">
        <f>'תקציב החברה לפיתוח 2020'!K34</f>
        <v>172184.22</v>
      </c>
      <c r="L8" s="199">
        <f>'תקציב החברה לפיתוח 2020'!L34</f>
        <v>335115.21999999997</v>
      </c>
      <c r="M8" s="199">
        <f>'תקציב החברה לפיתוח 2020'!M34</f>
        <v>164884.78000000003</v>
      </c>
      <c r="N8" s="199">
        <f>'תקציב החברה לפיתוח 2020'!N34</f>
        <v>0</v>
      </c>
      <c r="O8" s="199">
        <f>'תקציב החברה לפיתוח 2020'!O34</f>
        <v>0</v>
      </c>
      <c r="P8" s="199">
        <f>'תקציב החברה לפיתוח 2020'!P34</f>
        <v>14884.780000000028</v>
      </c>
      <c r="Q8" s="199">
        <f>'תקציב החברה לפיתוח 2020'!Q34</f>
        <v>150000</v>
      </c>
      <c r="R8" s="199">
        <f>'תקציב החברה לפיתוח 2020'!R34</f>
        <v>0</v>
      </c>
      <c r="S8" s="199">
        <f>'תקציב החברה לפיתוח 2020'!S34</f>
        <v>150000</v>
      </c>
      <c r="T8" s="199">
        <f>'תקציב החברה לפיתוח 2020'!T34</f>
        <v>0</v>
      </c>
      <c r="U8" s="199">
        <f>'תקציב החברה לפיתוח 2020'!U34</f>
        <v>0</v>
      </c>
      <c r="V8" s="199">
        <f>'תקציב החברה לפיתוח 2020'!V34</f>
        <v>0</v>
      </c>
      <c r="W8" s="199">
        <f>'תקציב החברה לפיתוח 2020'!W34</f>
        <v>0</v>
      </c>
      <c r="X8" s="199">
        <f>'תקציב החברה לפיתוח 2020'!X34</f>
        <v>0</v>
      </c>
      <c r="Y8" s="199">
        <f>'תקציב החברה לפיתוח 2020'!Y34</f>
        <v>0</v>
      </c>
      <c r="Z8" s="199">
        <f>'תקציב החברה לפיתוח 2020'!Z34</f>
        <v>0</v>
      </c>
      <c r="AA8" s="341" t="str">
        <f>'תקציב החברה לפיתוח 2020'!AA34</f>
        <v>תכנון להקמת רכבת עילית מתחנת הרכבת לאיזור התעשיה.</v>
      </c>
      <c r="AB8" s="707">
        <f>'תקציב החברה לפיתוח 2020'!AB34</f>
        <v>732000</v>
      </c>
      <c r="AC8" s="191"/>
      <c r="AD8" s="191"/>
      <c r="AE8" s="624"/>
      <c r="AF8" s="627"/>
      <c r="AG8" s="331"/>
      <c r="AH8" s="331"/>
      <c r="AI8" s="210"/>
      <c r="AJ8" s="210"/>
      <c r="AK8" s="210"/>
      <c r="AL8" s="210"/>
      <c r="AM8" s="210"/>
    </row>
    <row r="9" spans="1:39" s="203" customFormat="1">
      <c r="A9" s="198">
        <f t="shared" si="0"/>
        <v>4</v>
      </c>
      <c r="B9" s="707">
        <f>'תקציב החברה לפיתוח 2020'!B43</f>
        <v>1846</v>
      </c>
      <c r="C9" s="341" t="str">
        <f>'תקציב החברה לפיתוח 2020'!C43</f>
        <v>דיור בר השגה</v>
      </c>
      <c r="D9" s="199">
        <f>'תקציב החברה לפיתוח 2020'!D43</f>
        <v>500000</v>
      </c>
      <c r="E9" s="199">
        <f>'תקציב החברה לפיתוח 2020'!E43</f>
        <v>500000</v>
      </c>
      <c r="F9" s="199">
        <f>'תקציב החברה לפיתוח 2020'!F43</f>
        <v>0</v>
      </c>
      <c r="G9" s="199">
        <f>'תקציב החברה לפיתוח 2020'!G43</f>
        <v>500000</v>
      </c>
      <c r="H9" s="199">
        <f>'תקציב החברה לפיתוח 2020'!H43</f>
        <v>328739</v>
      </c>
      <c r="I9" s="199">
        <f>'תקציב החברה לפיתוח 2020'!I43</f>
        <v>0</v>
      </c>
      <c r="J9" s="199">
        <f>'תקציב החברה לפיתוח 2020'!J43</f>
        <v>0</v>
      </c>
      <c r="K9" s="199">
        <f>'תקציב החברה לפיתוח 2020'!K43</f>
        <v>0</v>
      </c>
      <c r="L9" s="199">
        <f>'תקציב החברה לפיתוח 2020'!L43</f>
        <v>328739</v>
      </c>
      <c r="M9" s="199">
        <f>'תקציב החברה לפיתוח 2020'!M43</f>
        <v>171261</v>
      </c>
      <c r="N9" s="199">
        <f>'תקציב החברה לפיתוח 2020'!N43</f>
        <v>0</v>
      </c>
      <c r="O9" s="199">
        <f>'תקציב החברה לפיתוח 2020'!O43</f>
        <v>0</v>
      </c>
      <c r="P9" s="199">
        <f>'תקציב החברה לפיתוח 2020'!P43</f>
        <v>171261</v>
      </c>
      <c r="Q9" s="199">
        <f>'תקציב החברה לפיתוח 2020'!Q43</f>
        <v>0</v>
      </c>
      <c r="R9" s="199">
        <f>'תקציב החברה לפיתוח 2020'!R43</f>
        <v>0</v>
      </c>
      <c r="S9" s="199">
        <f>'תקציב החברה לפיתוח 2020'!S43</f>
        <v>0</v>
      </c>
      <c r="T9" s="199">
        <f>'תקציב החברה לפיתוח 2020'!T43</f>
        <v>0</v>
      </c>
      <c r="U9" s="199">
        <f>'תקציב החברה לפיתוח 2020'!U43</f>
        <v>0</v>
      </c>
      <c r="V9" s="199">
        <f>'תקציב החברה לפיתוח 2020'!V43</f>
        <v>0</v>
      </c>
      <c r="W9" s="199">
        <f>'תקציב החברה לפיתוח 2020'!W43</f>
        <v>0</v>
      </c>
      <c r="X9" s="199">
        <f>'תקציב החברה לפיתוח 2020'!X43</f>
        <v>0</v>
      </c>
      <c r="Y9" s="199">
        <f>'תקציב החברה לפיתוח 2020'!Y43</f>
        <v>0</v>
      </c>
      <c r="Z9" s="199">
        <f>'תקציב החברה לפיתוח 2020'!Z43</f>
        <v>0</v>
      </c>
      <c r="AA9" s="341">
        <f>'תקציב החברה לפיתוח 2020'!AA43</f>
        <v>0</v>
      </c>
      <c r="AB9" s="707">
        <f>'תקציב החברה לפיתוח 2020'!AB43</f>
        <v>732000</v>
      </c>
      <c r="AC9" s="191"/>
      <c r="AD9" s="191"/>
      <c r="AE9" s="624"/>
      <c r="AF9" s="627"/>
      <c r="AG9" s="331"/>
      <c r="AH9" s="331"/>
      <c r="AI9" s="191"/>
      <c r="AJ9" s="191"/>
      <c r="AK9" s="191"/>
      <c r="AL9" s="191"/>
      <c r="AM9" s="191"/>
    </row>
    <row r="10" spans="1:39" s="202" customFormat="1">
      <c r="A10" s="198">
        <f t="shared" si="0"/>
        <v>5</v>
      </c>
      <c r="B10" s="707">
        <f>'תקציב החברה לפיתוח 2020'!B50</f>
        <v>1936</v>
      </c>
      <c r="C10" s="341" t="str">
        <f>'תקציב החברה לפיתוח 2020'!C50</f>
        <v xml:space="preserve">תכנון מתחם אפולוניה </v>
      </c>
      <c r="D10" s="199">
        <f>'תקציב החברה לפיתוח 2020'!D50</f>
        <v>6082795</v>
      </c>
      <c r="E10" s="199">
        <f>'תקציב החברה לפיתוח 2020'!E50</f>
        <v>6082795</v>
      </c>
      <c r="F10" s="199">
        <f>'תקציב החברה לפיתוח 2020'!F50</f>
        <v>0</v>
      </c>
      <c r="G10" s="199">
        <f>'תקציב החברה לפיתוח 2020'!G50</f>
        <v>700000</v>
      </c>
      <c r="H10" s="199">
        <f>'תקציב החברה לפיתוח 2020'!H50</f>
        <v>313933</v>
      </c>
      <c r="I10" s="199">
        <f>'תקציב החברה לפיתוח 2020'!I50</f>
        <v>0</v>
      </c>
      <c r="J10" s="199">
        <f>'תקציב החברה לפיתוח 2020'!J50</f>
        <v>0</v>
      </c>
      <c r="K10" s="199">
        <f>'תקציב החברה לפיתוח 2020'!K50</f>
        <v>0</v>
      </c>
      <c r="L10" s="199">
        <f>'תקציב החברה לפיתוח 2020'!L50</f>
        <v>313933</v>
      </c>
      <c r="M10" s="199">
        <f>'תקציב החברה לפיתוח 2020'!M50</f>
        <v>386067</v>
      </c>
      <c r="N10" s="199">
        <f>'תקציב החברה לפיתוח 2020'!N50</f>
        <v>0</v>
      </c>
      <c r="O10" s="199">
        <f>'תקציב החברה לפיתוח 2020'!O50</f>
        <v>5382795</v>
      </c>
      <c r="P10" s="199">
        <f>'תקציב החברה לפיתוח 2020'!P50</f>
        <v>386067</v>
      </c>
      <c r="Q10" s="199">
        <f>'תקציב החברה לפיתוח 2020'!Q50</f>
        <v>0</v>
      </c>
      <c r="R10" s="199">
        <f>'תקציב החברה לפיתוח 2020'!R50</f>
        <v>0</v>
      </c>
      <c r="S10" s="199">
        <f>'תקציב החברה לפיתוח 2020'!S50</f>
        <v>0</v>
      </c>
      <c r="T10" s="199">
        <f>'תקציב החברה לפיתוח 2020'!T50</f>
        <v>0</v>
      </c>
      <c r="U10" s="199">
        <f>'תקציב החברה לפיתוח 2020'!U50</f>
        <v>0</v>
      </c>
      <c r="V10" s="199">
        <f>'תקציב החברה לפיתוח 2020'!V50</f>
        <v>0</v>
      </c>
      <c r="W10" s="199">
        <f>'תקציב החברה לפיתוח 2020'!W50</f>
        <v>0</v>
      </c>
      <c r="X10" s="199">
        <f>'תקציב החברה לפיתוח 2020'!X50</f>
        <v>0</v>
      </c>
      <c r="Y10" s="199">
        <f>'תקציב החברה לפיתוח 2020'!Y50</f>
        <v>0</v>
      </c>
      <c r="Z10" s="199">
        <f>'תקציב החברה לפיתוח 2020'!Z50</f>
        <v>0</v>
      </c>
      <c r="AA10" s="341" t="str">
        <f>'תקציב החברה לפיתוח 2020'!AA50</f>
        <v xml:space="preserve">מימון רמ"י. </v>
      </c>
      <c r="AB10" s="707">
        <f>'תקציב החברה לפיתוח 2020'!AB50</f>
        <v>732000</v>
      </c>
      <c r="AC10" s="191"/>
      <c r="AD10" s="191"/>
      <c r="AE10" s="624"/>
      <c r="AF10" s="627"/>
      <c r="AG10" s="331"/>
      <c r="AH10" s="331"/>
      <c r="AI10" s="191"/>
      <c r="AJ10" s="191"/>
      <c r="AK10" s="205"/>
      <c r="AL10" s="191"/>
      <c r="AM10" s="191"/>
    </row>
    <row r="11" spans="1:39" s="203" customFormat="1" ht="55.2">
      <c r="A11" s="198">
        <f t="shared" si="0"/>
        <v>6</v>
      </c>
      <c r="B11" s="707">
        <f>'תקציב החברה לפיתוח 2020'!B93</f>
        <v>2115</v>
      </c>
      <c r="C11" s="341" t="str">
        <f>'תקציב החברה לפיתוח 2020'!C93</f>
        <v>תוכנית מתאר איזור התעסוקה הר/2440</v>
      </c>
      <c r="D11" s="199">
        <f>'תקציב החברה לפיתוח 2020'!D93</f>
        <v>3100000</v>
      </c>
      <c r="E11" s="199">
        <f>'תקציב החברה לפיתוח 2020'!E93</f>
        <v>3100000</v>
      </c>
      <c r="F11" s="199">
        <f>'תקציב החברה לפיתוח 2020'!F93</f>
        <v>0</v>
      </c>
      <c r="G11" s="199">
        <f>'תקציב החברה לפיתוח 2020'!G93</f>
        <v>500000</v>
      </c>
      <c r="H11" s="199">
        <f>'תקציב החברה לפיתוח 2020'!H93</f>
        <v>0</v>
      </c>
      <c r="I11" s="199">
        <f>'תקציב החברה לפיתוח 2020'!I93</f>
        <v>0</v>
      </c>
      <c r="J11" s="199">
        <f>'תקציב החברה לפיתוח 2020'!J93</f>
        <v>0</v>
      </c>
      <c r="K11" s="199">
        <f>'תקציב החברה לפיתוח 2020'!K93</f>
        <v>0</v>
      </c>
      <c r="L11" s="199">
        <f>'תקציב החברה לפיתוח 2020'!L93</f>
        <v>0</v>
      </c>
      <c r="M11" s="199">
        <f>'תקציב החברה לפיתוח 2020'!M93</f>
        <v>500000</v>
      </c>
      <c r="N11" s="199">
        <f>'תקציב החברה לפיתוח 2020'!N93</f>
        <v>1500000</v>
      </c>
      <c r="O11" s="199">
        <f>'תקציב החברה לפיתוח 2020'!O93</f>
        <v>1100000</v>
      </c>
      <c r="P11" s="199">
        <f>'תקציב החברה לפיתוח 2020'!P93</f>
        <v>500000</v>
      </c>
      <c r="Q11" s="199">
        <f>'תקציב החברה לפיתוח 2020'!Q93</f>
        <v>0</v>
      </c>
      <c r="R11" s="199">
        <f>'תקציב החברה לפיתוח 2020'!R93</f>
        <v>0</v>
      </c>
      <c r="S11" s="199">
        <f>'תקציב החברה לפיתוח 2020'!S93</f>
        <v>0</v>
      </c>
      <c r="T11" s="199">
        <f>'תקציב החברה לפיתוח 2020'!T93</f>
        <v>0</v>
      </c>
      <c r="U11" s="199">
        <f>'תקציב החברה לפיתוח 2020'!U93</f>
        <v>1500000</v>
      </c>
      <c r="V11" s="199">
        <f>'תקציב החברה לפיתוח 2020'!V93</f>
        <v>1500000</v>
      </c>
      <c r="W11" s="199">
        <f>'תקציב החברה לפיתוח 2020'!W93</f>
        <v>0</v>
      </c>
      <c r="X11" s="199">
        <f>'תקציב החברה לפיתוח 2020'!X93</f>
        <v>0</v>
      </c>
      <c r="Y11" s="199">
        <f>'תקציב החברה לפיתוח 2020'!Y93</f>
        <v>0</v>
      </c>
      <c r="Z11" s="199">
        <f>'תקציב החברה לפיתוח 2020'!Z93</f>
        <v>0</v>
      </c>
      <c r="AA11" s="341" t="str">
        <f>'תקציב החברה לפיתוח 2020'!AA93</f>
        <v xml:space="preserve">הפיכת תוכנית אסטרטגית  לתוכנית סטטוטורית, לתוכנית מתאר בועדה המחוזית בהתאם ליו"ר הועדה המחוזית. </v>
      </c>
      <c r="AB11" s="707">
        <f>'תקציב החברה לפיתוח 2020'!AB93</f>
        <v>732000</v>
      </c>
      <c r="AC11" s="191"/>
      <c r="AD11" s="191"/>
      <c r="AE11" s="624"/>
      <c r="AF11" s="627"/>
      <c r="AG11" s="6"/>
      <c r="AH11" s="6"/>
      <c r="AI11" s="6"/>
      <c r="AJ11" s="6"/>
      <c r="AK11" s="6"/>
      <c r="AL11" s="6"/>
      <c r="AM11" s="6"/>
    </row>
    <row r="12" spans="1:39" s="203" customFormat="1" ht="55.2">
      <c r="A12" s="198">
        <f t="shared" si="0"/>
        <v>7</v>
      </c>
      <c r="B12" s="707">
        <f>'תקציב החברה לפיתוח 2020'!B97</f>
        <v>2127</v>
      </c>
      <c r="C12" s="341" t="str">
        <f>'תקציב החברה לפיתוח 2020'!C97</f>
        <v>הגנה על מצוקי הים</v>
      </c>
      <c r="D12" s="199">
        <f>'תקציב החברה לפיתוח 2020'!D97</f>
        <v>1000000</v>
      </c>
      <c r="E12" s="199">
        <f>'תקציב החברה לפיתוח 2020'!E97</f>
        <v>1000000</v>
      </c>
      <c r="F12" s="199">
        <f>'תקציב החברה לפיתוח 2020'!F97</f>
        <v>0</v>
      </c>
      <c r="G12" s="199">
        <f>'תקציב החברה לפיתוח 2020'!G97</f>
        <v>250000</v>
      </c>
      <c r="H12" s="199">
        <f>'תקציב החברה לפיתוח 2020'!H97</f>
        <v>0</v>
      </c>
      <c r="I12" s="199">
        <f>'תקציב החברה לפיתוח 2020'!I97</f>
        <v>0</v>
      </c>
      <c r="J12" s="199">
        <f>'תקציב החברה לפיתוח 2020'!J97</f>
        <v>0</v>
      </c>
      <c r="K12" s="199">
        <f>'תקציב החברה לפיתוח 2020'!K97</f>
        <v>0</v>
      </c>
      <c r="L12" s="199">
        <f>'תקציב החברה לפיתוח 2020'!L97</f>
        <v>0</v>
      </c>
      <c r="M12" s="199">
        <f>'תקציב החברה לפיתוח 2020'!M97</f>
        <v>1000000</v>
      </c>
      <c r="N12" s="199">
        <f>'תקציב החברה לפיתוח 2020'!N97</f>
        <v>0</v>
      </c>
      <c r="O12" s="199">
        <f>'תקציב החברה לפיתוח 2020'!O97</f>
        <v>0</v>
      </c>
      <c r="P12" s="199">
        <f>'תקציב החברה לפיתוח 2020'!P97</f>
        <v>250000</v>
      </c>
      <c r="Q12" s="199">
        <f>'תקציב החברה לפיתוח 2020'!Q97</f>
        <v>0</v>
      </c>
      <c r="R12" s="199">
        <f>'תקציב החברה לפיתוח 2020'!R97</f>
        <v>750000</v>
      </c>
      <c r="S12" s="199">
        <f>'תקציב החברה לפיתוח 2020'!S97</f>
        <v>750000</v>
      </c>
      <c r="T12" s="199">
        <f>'תקציב החברה לפיתוח 2020'!T97</f>
        <v>0</v>
      </c>
      <c r="U12" s="199">
        <f>'תקציב החברה לפיתוח 2020'!U97</f>
        <v>0</v>
      </c>
      <c r="V12" s="199">
        <f>'תקציב החברה לפיתוח 2020'!V97</f>
        <v>0</v>
      </c>
      <c r="W12" s="199">
        <f>'תקציב החברה לפיתוח 2020'!W97</f>
        <v>0</v>
      </c>
      <c r="X12" s="199">
        <f>'תקציב החברה לפיתוח 2020'!X97</f>
        <v>0</v>
      </c>
      <c r="Y12" s="199">
        <f>'תקציב החברה לפיתוח 2020'!Y97</f>
        <v>0</v>
      </c>
      <c r="Z12" s="199">
        <f>'תקציב החברה לפיתוח 2020'!Z97</f>
        <v>0</v>
      </c>
      <c r="AA12" s="341" t="str">
        <f>'תקציב החברה לפיתוח 2020'!AA97</f>
        <v xml:space="preserve">גיבוש תוכנית פעולות לעבודות הגנה על מצוקי חופי הים . ב - 2020 תכנון. בהמשך הביצוע במימון חלקי של מ. הפנים. </v>
      </c>
      <c r="AB12" s="707">
        <f>'תקציב החברה לפיתוח 2020'!AB97</f>
        <v>732000</v>
      </c>
      <c r="AC12" s="191"/>
      <c r="AD12" s="191"/>
      <c r="AE12" s="624"/>
      <c r="AF12" s="627"/>
      <c r="AG12" s="6"/>
      <c r="AH12" s="6"/>
      <c r="AI12" s="6"/>
      <c r="AJ12" s="6"/>
      <c r="AK12" s="6"/>
      <c r="AL12" s="6"/>
      <c r="AM12" s="6"/>
    </row>
    <row r="13" spans="1:39" s="203" customFormat="1" ht="27.6">
      <c r="A13" s="198">
        <f t="shared" si="0"/>
        <v>8</v>
      </c>
      <c r="B13" s="707">
        <f>'תקציב החברה לפיתוח 2020'!B98</f>
        <v>2130</v>
      </c>
      <c r="C13" s="341" t="str">
        <f>'תקציב החברה לפיתוח 2020'!C98</f>
        <v>עיצוב חצר לימודית בי"ס גורדון</v>
      </c>
      <c r="D13" s="199">
        <f>'תקציב החברה לפיתוח 2020'!D98</f>
        <v>500000</v>
      </c>
      <c r="E13" s="199">
        <f>'תקציב החברה לפיתוח 2020'!E98</f>
        <v>500000</v>
      </c>
      <c r="F13" s="199">
        <f>'תקציב החברה לפיתוח 2020'!F98</f>
        <v>0</v>
      </c>
      <c r="G13" s="199">
        <f>'תקציב החברה לפיתוח 2020'!G98</f>
        <v>0</v>
      </c>
      <c r="H13" s="199">
        <f>'תקציב החברה לפיתוח 2020'!H98</f>
        <v>0</v>
      </c>
      <c r="I13" s="199">
        <f>'תקציב החברה לפיתוח 2020'!I98</f>
        <v>0</v>
      </c>
      <c r="J13" s="199">
        <f>'תקציב החברה לפיתוח 2020'!J98</f>
        <v>0</v>
      </c>
      <c r="K13" s="199">
        <f>'תקציב החברה לפיתוח 2020'!K98</f>
        <v>0</v>
      </c>
      <c r="L13" s="199">
        <f>'תקציב החברה לפיתוח 2020'!L98</f>
        <v>0</v>
      </c>
      <c r="M13" s="199">
        <f>'תקציב החברה לפיתוח 2020'!M98</f>
        <v>500000</v>
      </c>
      <c r="N13" s="199">
        <f>'תקציב החברה לפיתוח 2020'!N98</f>
        <v>0</v>
      </c>
      <c r="O13" s="199">
        <f>'תקציב החברה לפיתוח 2020'!O98</f>
        <v>0</v>
      </c>
      <c r="P13" s="199">
        <f>'תקציב החברה לפיתוח 2020'!P98</f>
        <v>0</v>
      </c>
      <c r="Q13" s="199">
        <f>'תקציב החברה לפיתוח 2020'!Q98</f>
        <v>0</v>
      </c>
      <c r="R13" s="199">
        <f>'תקציב החברה לפיתוח 2020'!R98</f>
        <v>500000</v>
      </c>
      <c r="S13" s="199">
        <f>'תקציב החברה לפיתוח 2020'!S98</f>
        <v>500000</v>
      </c>
      <c r="T13" s="199">
        <f>'תקציב החברה לפיתוח 2020'!T98</f>
        <v>0</v>
      </c>
      <c r="U13" s="199">
        <f>'תקציב החברה לפיתוח 2020'!U98</f>
        <v>0</v>
      </c>
      <c r="V13" s="199">
        <f>'תקציב החברה לפיתוח 2020'!V98</f>
        <v>0</v>
      </c>
      <c r="W13" s="199">
        <f>'תקציב החברה לפיתוח 2020'!W98</f>
        <v>0</v>
      </c>
      <c r="X13" s="199">
        <f>'תקציב החברה לפיתוח 2020'!X98</f>
        <v>0</v>
      </c>
      <c r="Y13" s="199">
        <f>'תקציב החברה לפיתוח 2020'!Y98</f>
        <v>0</v>
      </c>
      <c r="Z13" s="199">
        <f>'תקציב החברה לפיתוח 2020'!Z98</f>
        <v>0</v>
      </c>
      <c r="AA13" s="341" t="str">
        <f>'תקציב החברה לפיתוח 2020'!AA98</f>
        <v>עיצוב חצר לימודית בי"ס גורדון. מימון חלקי מ. החינוך.</v>
      </c>
      <c r="AB13" s="707">
        <f>'תקציב החברה לפיתוח 2020'!AB98</f>
        <v>732000</v>
      </c>
      <c r="AC13" s="191"/>
      <c r="AD13" s="191"/>
      <c r="AE13" s="624"/>
      <c r="AF13" s="627"/>
      <c r="AG13" s="6"/>
      <c r="AH13" s="6"/>
      <c r="AI13" s="6"/>
      <c r="AJ13" s="6"/>
      <c r="AK13" s="6"/>
      <c r="AL13" s="6"/>
      <c r="AM13" s="6"/>
    </row>
    <row r="14" spans="1:39" s="411" customFormat="1">
      <c r="A14" s="339"/>
      <c r="B14" s="725"/>
      <c r="C14" s="705" t="s">
        <v>690</v>
      </c>
      <c r="D14" s="439">
        <f>SUM(D6:D13)</f>
        <v>85532795</v>
      </c>
      <c r="E14" s="439">
        <f t="shared" ref="E14:Z14" si="1">SUM(E6:E13)</f>
        <v>86432795</v>
      </c>
      <c r="F14" s="439">
        <f t="shared" si="1"/>
        <v>-900000</v>
      </c>
      <c r="G14" s="439">
        <f t="shared" si="1"/>
        <v>70862460</v>
      </c>
      <c r="H14" s="439">
        <f t="shared" si="1"/>
        <v>57473348.850000001</v>
      </c>
      <c r="I14" s="439">
        <f t="shared" si="1"/>
        <v>0</v>
      </c>
      <c r="J14" s="439">
        <f t="shared" si="1"/>
        <v>1321289.8400000001</v>
      </c>
      <c r="K14" s="439">
        <f t="shared" si="1"/>
        <v>1321289.8400000001</v>
      </c>
      <c r="L14" s="439">
        <f t="shared" si="1"/>
        <v>58794638.690000005</v>
      </c>
      <c r="M14" s="439">
        <f t="shared" si="1"/>
        <v>13467821.309999997</v>
      </c>
      <c r="N14" s="439">
        <f t="shared" si="1"/>
        <v>1500000</v>
      </c>
      <c r="O14" s="439">
        <f t="shared" si="1"/>
        <v>11770335</v>
      </c>
      <c r="P14" s="439">
        <f t="shared" si="1"/>
        <v>12067821.309999997</v>
      </c>
      <c r="Q14" s="439">
        <f t="shared" si="1"/>
        <v>150000</v>
      </c>
      <c r="R14" s="439">
        <f t="shared" si="1"/>
        <v>1250000</v>
      </c>
      <c r="S14" s="439">
        <f t="shared" si="1"/>
        <v>1400000</v>
      </c>
      <c r="T14" s="439">
        <f t="shared" si="1"/>
        <v>0</v>
      </c>
      <c r="U14" s="439">
        <f t="shared" si="1"/>
        <v>1500000</v>
      </c>
      <c r="V14" s="439">
        <f t="shared" si="1"/>
        <v>1500000</v>
      </c>
      <c r="W14" s="439">
        <f t="shared" si="1"/>
        <v>0</v>
      </c>
      <c r="X14" s="439">
        <f t="shared" si="1"/>
        <v>0</v>
      </c>
      <c r="Y14" s="439">
        <f t="shared" si="1"/>
        <v>0</v>
      </c>
      <c r="Z14" s="439">
        <f t="shared" si="1"/>
        <v>0</v>
      </c>
      <c r="AA14" s="441"/>
      <c r="AB14" s="727"/>
      <c r="AC14" s="428"/>
      <c r="AD14" s="428"/>
      <c r="AE14" s="728"/>
      <c r="AF14" s="729"/>
      <c r="AG14" s="84"/>
      <c r="AH14" s="84"/>
      <c r="AI14" s="84"/>
      <c r="AJ14" s="84"/>
      <c r="AK14" s="84"/>
      <c r="AL14" s="84"/>
      <c r="AM14" s="84"/>
    </row>
    <row r="15" spans="1:39" s="202" customFormat="1" ht="41.4">
      <c r="A15" s="198">
        <f>A13+1</f>
        <v>9</v>
      </c>
      <c r="B15" s="707">
        <f>'תקציב החברה לפיתוח 2020'!B6</f>
        <v>382</v>
      </c>
      <c r="C15" s="341" t="str">
        <f>'תקציב החברה לפיתוח 2020'!C6</f>
        <v xml:space="preserve">מערכת כבישים   באזור תעשייה מערבי </v>
      </c>
      <c r="D15" s="199">
        <f>'תקציב החברה לפיתוח 2020'!D6</f>
        <v>72881330</v>
      </c>
      <c r="E15" s="199">
        <f>'תקציב החברה לפיתוח 2020'!E6</f>
        <v>72881330</v>
      </c>
      <c r="F15" s="199">
        <f>'תקציב החברה לפיתוח 2020'!F6</f>
        <v>0</v>
      </c>
      <c r="G15" s="199">
        <f>'תקציב החברה לפיתוח 2020'!G6</f>
        <v>49881330</v>
      </c>
      <c r="H15" s="199">
        <f>'תקציב החברה לפיתוח 2020'!H6</f>
        <v>46168828.18</v>
      </c>
      <c r="I15" s="199">
        <f>'תקציב החברה לפיתוח 2020'!I6</f>
        <v>0</v>
      </c>
      <c r="J15" s="199">
        <f>'תקציב החברה לפיתוח 2020'!J6</f>
        <v>2174894.41</v>
      </c>
      <c r="K15" s="199">
        <f>'תקציב החברה לפיתוח 2020'!K6</f>
        <v>2174894.41</v>
      </c>
      <c r="L15" s="199">
        <f>'תקציב החברה לפיתוח 2020'!L6</f>
        <v>48343722.590000004</v>
      </c>
      <c r="M15" s="199">
        <f>'תקציב החברה לפיתוח 2020'!M6</f>
        <v>13037607.409999996</v>
      </c>
      <c r="N15" s="199">
        <f>'תקציב החברה לפיתוח 2020'!N6</f>
        <v>1000000</v>
      </c>
      <c r="O15" s="199">
        <f>'תקציב החברה לפיתוח 2020'!O6</f>
        <v>10500000</v>
      </c>
      <c r="P15" s="199">
        <f>'תקציב החברה לפיתוח 2020'!P6</f>
        <v>1537607.4099999964</v>
      </c>
      <c r="Q15" s="199">
        <f>'תקציב החברה לפיתוח 2020'!Q6</f>
        <v>11500000</v>
      </c>
      <c r="R15" s="199">
        <f>'תקציב החברה לפיתוח 2020'!R6</f>
        <v>0</v>
      </c>
      <c r="S15" s="199">
        <f>'תקציב החברה לפיתוח 2020'!S6</f>
        <v>11500000</v>
      </c>
      <c r="T15" s="199">
        <f>'תקציב החברה לפיתוח 2020'!T6</f>
        <v>0</v>
      </c>
      <c r="U15" s="199">
        <f>'תקציב החברה לפיתוח 2020'!U6</f>
        <v>1000000</v>
      </c>
      <c r="V15" s="199">
        <f>'תקציב החברה לפיתוח 2020'!V6</f>
        <v>1000000</v>
      </c>
      <c r="W15" s="199">
        <f>'תקציב החברה לפיתוח 2020'!W6</f>
        <v>0</v>
      </c>
      <c r="X15" s="199">
        <f>'תקציב החברה לפיתוח 2020'!X6</f>
        <v>0</v>
      </c>
      <c r="Y15" s="199">
        <f>'תקציב החברה לפיתוח 2020'!Y6</f>
        <v>0</v>
      </c>
      <c r="Z15" s="199">
        <f>'תקציב החברה לפיתוח 2020'!Z6</f>
        <v>0</v>
      </c>
      <c r="AA15" s="341" t="str">
        <f>'תקציב החברה לפיתוח 2020'!AA6</f>
        <v xml:space="preserve">השלמת רח' משכית, פיתוח החושלים, השלמת שצ"פים והשלמת תכנון רח' שנקר. </v>
      </c>
      <c r="AB15" s="707">
        <f>'תקציב החברה לפיתוח 2020'!AB6</f>
        <v>742000</v>
      </c>
      <c r="AC15" s="191"/>
      <c r="AD15" s="191"/>
      <c r="AE15" s="624"/>
      <c r="AF15" s="627"/>
      <c r="AG15" s="331"/>
      <c r="AH15" s="331"/>
    </row>
    <row r="16" spans="1:39" s="5" customFormat="1" ht="27.6">
      <c r="A16" s="198">
        <f t="shared" ref="A16:A57" si="2">A15+1</f>
        <v>10</v>
      </c>
      <c r="B16" s="707">
        <f>'תקציב החברה לפיתוח 2020'!B7</f>
        <v>532</v>
      </c>
      <c r="C16" s="341" t="str">
        <f>'תקציב החברה לפיתוח 2020'!C7</f>
        <v>פיתוח מתחם המסילה ודב הוז</v>
      </c>
      <c r="D16" s="199">
        <f>'תקציב החברה לפיתוח 2020'!D7</f>
        <v>80090000</v>
      </c>
      <c r="E16" s="199">
        <f>'תקציב החברה לפיתוח 2020'!E7</f>
        <v>80090000</v>
      </c>
      <c r="F16" s="199">
        <f>'תקציב החברה לפיתוח 2020'!F7</f>
        <v>0</v>
      </c>
      <c r="G16" s="199">
        <f>'תקציב החברה לפיתוח 2020'!G7</f>
        <v>80090000</v>
      </c>
      <c r="H16" s="199">
        <f>'תקציב החברה לפיתוח 2020'!H7</f>
        <v>73098365.159999996</v>
      </c>
      <c r="I16" s="199">
        <f>'תקציב החברה לפיתוח 2020'!I7</f>
        <v>0</v>
      </c>
      <c r="J16" s="199">
        <f>'תקציב החברה לפיתוח 2020'!J7</f>
        <v>767419.44</v>
      </c>
      <c r="K16" s="199">
        <f>'תקציב החברה לפיתוח 2020'!K7</f>
        <v>767419.44</v>
      </c>
      <c r="L16" s="199">
        <f>'תקציב החברה לפיתוח 2020'!L7</f>
        <v>73865784.599999994</v>
      </c>
      <c r="M16" s="199">
        <f>'תקציב החברה לפיתוח 2020'!M7</f>
        <v>6224215.400000006</v>
      </c>
      <c r="N16" s="199">
        <f>'תקציב החברה לפיתוח 2020'!N7</f>
        <v>0</v>
      </c>
      <c r="O16" s="199">
        <f>'תקציב החברה לפיתוח 2020'!O7</f>
        <v>0</v>
      </c>
      <c r="P16" s="199">
        <f>'תקציב החברה לפיתוח 2020'!P7</f>
        <v>6224215.400000006</v>
      </c>
      <c r="Q16" s="199">
        <f>'תקציב החברה לפיתוח 2020'!Q7</f>
        <v>0</v>
      </c>
      <c r="R16" s="199">
        <f>'תקציב החברה לפיתוח 2020'!R7</f>
        <v>0</v>
      </c>
      <c r="S16" s="199">
        <f>'תקציב החברה לפיתוח 2020'!S7</f>
        <v>0</v>
      </c>
      <c r="T16" s="199">
        <f>'תקציב החברה לפיתוח 2020'!T7</f>
        <v>0</v>
      </c>
      <c r="U16" s="199">
        <f>'תקציב החברה לפיתוח 2020'!U7</f>
        <v>0</v>
      </c>
      <c r="V16" s="199">
        <f>'תקציב החברה לפיתוח 2020'!V7</f>
        <v>0</v>
      </c>
      <c r="W16" s="199">
        <f>'תקציב החברה לפיתוח 2020'!W7</f>
        <v>0</v>
      </c>
      <c r="X16" s="199">
        <f>'תקציב החברה לפיתוח 2020'!X7</f>
        <v>0</v>
      </c>
      <c r="Y16" s="199">
        <f>'תקציב החברה לפיתוח 2020'!Y7</f>
        <v>0</v>
      </c>
      <c r="Z16" s="199">
        <f>'תקציב החברה לפיתוח 2020'!Z7</f>
        <v>0</v>
      </c>
      <c r="AA16" s="341" t="str">
        <f>'תקציב החברה לפיתוח 2020'!AA7</f>
        <v xml:space="preserve">עבודות בביצוע.כולל גינת כלבים והשלמת שצ"פים. </v>
      </c>
      <c r="AB16" s="707">
        <f>'תקציב החברה לפיתוח 2020'!AB7</f>
        <v>742000</v>
      </c>
      <c r="AC16" s="191"/>
      <c r="AD16" s="191"/>
      <c r="AE16" s="624"/>
      <c r="AF16" s="627"/>
      <c r="AG16" s="331"/>
      <c r="AH16" s="331"/>
      <c r="AI16" s="203"/>
      <c r="AJ16" s="203"/>
      <c r="AK16" s="203"/>
      <c r="AL16" s="203"/>
      <c r="AM16" s="203"/>
    </row>
    <row r="17" spans="1:39" s="5" customFormat="1">
      <c r="A17" s="198">
        <f t="shared" si="2"/>
        <v>11</v>
      </c>
      <c r="B17" s="707">
        <f>'תקציב החברה לפיתוח 2020'!B10</f>
        <v>1067</v>
      </c>
      <c r="C17" s="341" t="str">
        <f>'תקציב החברה לפיתוח 2020'!C10</f>
        <v>עבודות פיתוח קטנות</v>
      </c>
      <c r="D17" s="199">
        <f>'תקציב החברה לפיתוח 2020'!D10</f>
        <v>3975000</v>
      </c>
      <c r="E17" s="199">
        <f>'תקציב החברה לפיתוח 2020'!E10</f>
        <v>3725000</v>
      </c>
      <c r="F17" s="199">
        <f>'תקציב החברה לפיתוח 2020'!F10</f>
        <v>250000</v>
      </c>
      <c r="G17" s="199">
        <f>'תקציב החברה לפיתוח 2020'!G10</f>
        <v>3725000</v>
      </c>
      <c r="H17" s="199">
        <f>'תקציב החברה לפיתוח 2020'!H10</f>
        <v>2800272.44</v>
      </c>
      <c r="I17" s="199">
        <f>'תקציב החברה לפיתוח 2020'!I10</f>
        <v>0</v>
      </c>
      <c r="J17" s="199">
        <f>'תקציב החברה לפיתוח 2020'!J10</f>
        <v>924353.38</v>
      </c>
      <c r="K17" s="199">
        <f>'תקציב החברה לפיתוח 2020'!K10</f>
        <v>924353.38</v>
      </c>
      <c r="L17" s="199">
        <f>'תקציב החברה לפיתוח 2020'!L10</f>
        <v>3724625.82</v>
      </c>
      <c r="M17" s="199">
        <f>'תקציב החברה לפיתוח 2020'!M10</f>
        <v>374.18000000016764</v>
      </c>
      <c r="N17" s="199">
        <f>'תקציב החברה לפיתוח 2020'!N10</f>
        <v>250000</v>
      </c>
      <c r="O17" s="199">
        <f>'תקציב החברה לפיתוח 2020'!O10</f>
        <v>0</v>
      </c>
      <c r="P17" s="199">
        <f>'תקציב החברה לפיתוח 2020'!P10</f>
        <v>374.18000000016764</v>
      </c>
      <c r="Q17" s="199">
        <f>'תקציב החברה לפיתוח 2020'!Q10</f>
        <v>0</v>
      </c>
      <c r="R17" s="199">
        <f>'תקציב החברה לפיתוח 2020'!R10</f>
        <v>0</v>
      </c>
      <c r="S17" s="199">
        <f>'תקציב החברה לפיתוח 2020'!S10</f>
        <v>0</v>
      </c>
      <c r="T17" s="199">
        <f>'תקציב החברה לפיתוח 2020'!T10</f>
        <v>0</v>
      </c>
      <c r="U17" s="199">
        <f>'תקציב החברה לפיתוח 2020'!U10</f>
        <v>250000</v>
      </c>
      <c r="V17" s="199">
        <f>'תקציב החברה לפיתוח 2020'!V10</f>
        <v>250000</v>
      </c>
      <c r="W17" s="199">
        <f>'תקציב החברה לפיתוח 2020'!W10</f>
        <v>0</v>
      </c>
      <c r="X17" s="199">
        <f>'תקציב החברה לפיתוח 2020'!X10</f>
        <v>0</v>
      </c>
      <c r="Y17" s="199">
        <f>'תקציב החברה לפיתוח 2020'!Y10</f>
        <v>0</v>
      </c>
      <c r="Z17" s="199">
        <f>'תקציב החברה לפיתוח 2020'!Z10</f>
        <v>0</v>
      </c>
      <c r="AA17" s="341" t="str">
        <f>'תקציב החברה לפיתוח 2020'!AA10</f>
        <v>סל עבודות קטנות עפ"י דרישה.</v>
      </c>
      <c r="AB17" s="707">
        <f>'תקציב החברה לפיתוח 2020'!AB10</f>
        <v>742000</v>
      </c>
      <c r="AC17" s="191"/>
      <c r="AD17" s="191"/>
      <c r="AE17" s="624"/>
      <c r="AF17" s="627"/>
      <c r="AG17" s="331"/>
      <c r="AH17" s="331"/>
      <c r="AI17" s="202"/>
      <c r="AJ17" s="202"/>
      <c r="AK17" s="202"/>
      <c r="AL17" s="202"/>
      <c r="AM17" s="202"/>
    </row>
    <row r="18" spans="1:39" s="5" customFormat="1" ht="27.6">
      <c r="A18" s="198">
        <f t="shared" si="2"/>
        <v>12</v>
      </c>
      <c r="B18" s="707">
        <f>'תקציב החברה לפיתוח 2020'!B11</f>
        <v>1207</v>
      </c>
      <c r="C18" s="341" t="str">
        <f>'תקציב החברה לפיתוח 2020'!C11</f>
        <v>מתחם זרובבל</v>
      </c>
      <c r="D18" s="199">
        <f>'תקציב החברה לפיתוח 2020'!D11</f>
        <v>50650000</v>
      </c>
      <c r="E18" s="199">
        <f>'תקציב החברה לפיתוח 2020'!E11</f>
        <v>50650000</v>
      </c>
      <c r="F18" s="199">
        <f>'תקציב החברה לפיתוח 2020'!F11</f>
        <v>0</v>
      </c>
      <c r="G18" s="199">
        <f>'תקציב החברה לפיתוח 2020'!G11</f>
        <v>35650000</v>
      </c>
      <c r="H18" s="199">
        <f>'תקציב החברה לפיתוח 2020'!H11</f>
        <v>20936335.899999999</v>
      </c>
      <c r="I18" s="199">
        <f>'תקציב החברה לפיתוח 2020'!I11</f>
        <v>0</v>
      </c>
      <c r="J18" s="199">
        <f>'תקציב החברה לפיתוח 2020'!J11</f>
        <v>713609.87</v>
      </c>
      <c r="K18" s="199">
        <f>'תקציב החברה לפיתוח 2020'!K11</f>
        <v>713609.87</v>
      </c>
      <c r="L18" s="199">
        <f>'תקציב החברה לפיתוח 2020'!L11</f>
        <v>21649945.77</v>
      </c>
      <c r="M18" s="199">
        <f>'תקציב החברה לפיתוח 2020'!M11</f>
        <v>19000054.23</v>
      </c>
      <c r="N18" s="199">
        <f>'תקציב החברה לפיתוח 2020'!N11</f>
        <v>5000000</v>
      </c>
      <c r="O18" s="199">
        <f>'תקציב החברה לפיתוח 2020'!O11</f>
        <v>5000000</v>
      </c>
      <c r="P18" s="199">
        <f>'תקציב החברה לפיתוח 2020'!P11</f>
        <v>14000054.23</v>
      </c>
      <c r="Q18" s="199">
        <f>'תקציב החברה לפיתוח 2020'!Q11</f>
        <v>5000000</v>
      </c>
      <c r="R18" s="199">
        <f>'תקציב החברה לפיתוח 2020'!R11</f>
        <v>0</v>
      </c>
      <c r="S18" s="199">
        <f>'תקציב החברה לפיתוח 2020'!S11</f>
        <v>5000000</v>
      </c>
      <c r="T18" s="199">
        <f>'תקציב החברה לפיתוח 2020'!T11</f>
        <v>0</v>
      </c>
      <c r="U18" s="199">
        <f>'תקציב החברה לפיתוח 2020'!U11</f>
        <v>5000000</v>
      </c>
      <c r="V18" s="199">
        <f>'תקציב החברה לפיתוח 2020'!V11</f>
        <v>5000000</v>
      </c>
      <c r="W18" s="199">
        <f>'תקציב החברה לפיתוח 2020'!W11</f>
        <v>0</v>
      </c>
      <c r="X18" s="199">
        <f>'תקציב החברה לפיתוח 2020'!X11</f>
        <v>0</v>
      </c>
      <c r="Y18" s="199">
        <f>'תקציב החברה לפיתוח 2020'!Y11</f>
        <v>0</v>
      </c>
      <c r="Z18" s="199">
        <f>'תקציב החברה לפיתוח 2020'!Z11</f>
        <v>0</v>
      </c>
      <c r="AA18" s="341" t="str">
        <f>'תקציב החברה לפיתוח 2020'!AA11</f>
        <v>המשך עבודות פיתוח במתחם. פיתוח השצ"פ.</v>
      </c>
      <c r="AB18" s="707">
        <f>'תקציב החברה לפיתוח 2020'!AB11</f>
        <v>742000</v>
      </c>
      <c r="AC18" s="191"/>
      <c r="AD18" s="191"/>
      <c r="AE18" s="624"/>
      <c r="AF18" s="627"/>
      <c r="AG18" s="331"/>
      <c r="AH18" s="331"/>
      <c r="AI18" s="203"/>
      <c r="AJ18" s="203"/>
      <c r="AK18" s="203"/>
      <c r="AL18" s="203"/>
      <c r="AM18" s="203"/>
    </row>
    <row r="19" spans="1:39" s="202" customFormat="1">
      <c r="A19" s="198">
        <f t="shared" si="2"/>
        <v>13</v>
      </c>
      <c r="B19" s="707">
        <f>'תקציב החברה לפיתוח 2020'!B12</f>
        <v>1238</v>
      </c>
      <c r="C19" s="341" t="str">
        <f>'תקציב החברה לפיתוח 2020'!C12</f>
        <v>כצלנסון-פיתוח</v>
      </c>
      <c r="D19" s="199">
        <f>'תקציב החברה לפיתוח 2020'!D12</f>
        <v>32940000</v>
      </c>
      <c r="E19" s="199">
        <f>'תקציב החברה לפיתוח 2020'!E12</f>
        <v>32940000</v>
      </c>
      <c r="F19" s="199">
        <f>'תקציב החברה לפיתוח 2020'!F12</f>
        <v>0</v>
      </c>
      <c r="G19" s="199">
        <f>'תקציב החברה לפיתוח 2020'!G12</f>
        <v>26440000</v>
      </c>
      <c r="H19" s="199">
        <f>'תקציב החברה לפיתוח 2020'!H12</f>
        <v>25492352.199999999</v>
      </c>
      <c r="I19" s="199">
        <f>'תקציב החברה לפיתוח 2020'!I12</f>
        <v>0</v>
      </c>
      <c r="J19" s="199">
        <f>'תקציב החברה לפיתוח 2020'!J12</f>
        <v>254641.37</v>
      </c>
      <c r="K19" s="199">
        <f>'תקציב החברה לפיתוח 2020'!K12</f>
        <v>254641.37</v>
      </c>
      <c r="L19" s="199">
        <f>'תקציב החברה לפיתוח 2020'!L12</f>
        <v>25746993.57</v>
      </c>
      <c r="M19" s="199">
        <f>'תקציב החברה לפיתוח 2020'!M12</f>
        <v>693006.4299999997</v>
      </c>
      <c r="N19" s="199">
        <f>'תקציב החברה לפיתוח 2020'!N12</f>
        <v>0</v>
      </c>
      <c r="O19" s="199">
        <f>'תקציב החברה לפיתוח 2020'!O12</f>
        <v>6500000</v>
      </c>
      <c r="P19" s="199">
        <f>'תקציב החברה לפיתוח 2020'!P12</f>
        <v>693006.4299999997</v>
      </c>
      <c r="Q19" s="199">
        <f>'תקציב החברה לפיתוח 2020'!Q12</f>
        <v>0</v>
      </c>
      <c r="R19" s="199">
        <f>'תקציב החברה לפיתוח 2020'!R12</f>
        <v>0</v>
      </c>
      <c r="S19" s="199">
        <f>'תקציב החברה לפיתוח 2020'!S12</f>
        <v>0</v>
      </c>
      <c r="T19" s="199">
        <f>'תקציב החברה לפיתוח 2020'!T12</f>
        <v>0</v>
      </c>
      <c r="U19" s="199">
        <f>'תקציב החברה לפיתוח 2020'!U12</f>
        <v>0</v>
      </c>
      <c r="V19" s="199">
        <f>'תקציב החברה לפיתוח 2020'!V12</f>
        <v>0</v>
      </c>
      <c r="W19" s="199">
        <f>'תקציב החברה לפיתוח 2020'!W12</f>
        <v>0</v>
      </c>
      <c r="X19" s="199">
        <f>'תקציב החברה לפיתוח 2020'!X12</f>
        <v>0</v>
      </c>
      <c r="Y19" s="199">
        <f>'תקציב החברה לפיתוח 2020'!Y12</f>
        <v>0</v>
      </c>
      <c r="Z19" s="199">
        <f>'תקציב החברה לפיתוח 2020'!Z12</f>
        <v>0</v>
      </c>
      <c r="AA19" s="341" t="str">
        <f>'תקציב החברה לפיתוח 2020'!AA12</f>
        <v xml:space="preserve">ביצוע והשלמת תכנון פארק צפון. </v>
      </c>
      <c r="AB19" s="707">
        <f>'תקציב החברה לפיתוח 2020'!AB12</f>
        <v>742000</v>
      </c>
      <c r="AC19" s="191"/>
      <c r="AD19" s="191"/>
      <c r="AE19" s="624"/>
      <c r="AF19" s="627"/>
      <c r="AG19" s="331"/>
      <c r="AH19" s="331"/>
      <c r="AI19" s="203"/>
      <c r="AJ19" s="203"/>
      <c r="AK19" s="203"/>
      <c r="AL19" s="203"/>
      <c r="AM19" s="203"/>
    </row>
    <row r="20" spans="1:39" s="202" customFormat="1">
      <c r="A20" s="198">
        <f t="shared" si="2"/>
        <v>14</v>
      </c>
      <c r="B20" s="707">
        <f>'תקציב החברה לפיתוח 2020'!B13</f>
        <v>1298</v>
      </c>
      <c r="C20" s="341" t="str">
        <f>'תקציב החברה לפיתוח 2020'!C13</f>
        <v>תכנונים כלליים</v>
      </c>
      <c r="D20" s="199">
        <f>'תקציב החברה לפיתוח 2020'!D13</f>
        <v>4600000</v>
      </c>
      <c r="E20" s="199">
        <f>'תקציב החברה לפיתוח 2020'!E13</f>
        <v>4600000</v>
      </c>
      <c r="F20" s="199">
        <f>'תקציב החברה לפיתוח 2020'!F13</f>
        <v>0</v>
      </c>
      <c r="G20" s="199">
        <f>'תקציב החברה לפיתוח 2020'!G13</f>
        <v>4100000</v>
      </c>
      <c r="H20" s="199">
        <f>'תקציב החברה לפיתוח 2020'!H13</f>
        <v>3769560.87</v>
      </c>
      <c r="I20" s="199">
        <f>'תקציב החברה לפיתוח 2020'!I13</f>
        <v>0</v>
      </c>
      <c r="J20" s="199">
        <f>'תקציב החברה לפיתוח 2020'!J13</f>
        <v>311421.5</v>
      </c>
      <c r="K20" s="199">
        <f>'תקציב החברה לפיתוח 2020'!K13</f>
        <v>311421.5</v>
      </c>
      <c r="L20" s="199">
        <f>'תקציב החברה לפיתוח 2020'!L13</f>
        <v>4080982.37</v>
      </c>
      <c r="M20" s="199">
        <f>'תקציב החברה לפיתוח 2020'!M13</f>
        <v>519017.62999999989</v>
      </c>
      <c r="N20" s="199">
        <f>'תקציב החברה לפיתוח 2020'!N13</f>
        <v>0</v>
      </c>
      <c r="O20" s="199">
        <f>'תקציב החברה לפיתוח 2020'!O13</f>
        <v>0</v>
      </c>
      <c r="P20" s="199">
        <f>'תקציב החברה לפיתוח 2020'!P13</f>
        <v>19017.629999999888</v>
      </c>
      <c r="Q20" s="199">
        <f>'תקציב החברה לפיתוח 2020'!Q13</f>
        <v>500000</v>
      </c>
      <c r="R20" s="199">
        <f>'תקציב החברה לפיתוח 2020'!R13</f>
        <v>0</v>
      </c>
      <c r="S20" s="199">
        <f>'תקציב החברה לפיתוח 2020'!S13</f>
        <v>500000</v>
      </c>
      <c r="T20" s="199">
        <f>'תקציב החברה לפיתוח 2020'!T13</f>
        <v>0</v>
      </c>
      <c r="U20" s="199">
        <f>'תקציב החברה לפיתוח 2020'!U13</f>
        <v>0</v>
      </c>
      <c r="V20" s="199">
        <f>'תקציב החברה לפיתוח 2020'!V13</f>
        <v>0</v>
      </c>
      <c r="W20" s="199">
        <f>'תקציב החברה לפיתוח 2020'!W13</f>
        <v>0</v>
      </c>
      <c r="X20" s="199">
        <f>'תקציב החברה לפיתוח 2020'!X13</f>
        <v>0</v>
      </c>
      <c r="Y20" s="199">
        <f>'תקציב החברה לפיתוח 2020'!Y13</f>
        <v>0</v>
      </c>
      <c r="Z20" s="199">
        <f>'תקציב החברה לפיתוח 2020'!Z13</f>
        <v>0</v>
      </c>
      <c r="AA20" s="341" t="str">
        <f>'תקציב החברה לפיתוח 2020'!AA13</f>
        <v>סל עבודות תכנון עפ"י דרישה.</v>
      </c>
      <c r="AB20" s="707">
        <f>'תקציב החברה לפיתוח 2020'!AB13</f>
        <v>742000</v>
      </c>
      <c r="AC20" s="191"/>
      <c r="AD20" s="191"/>
      <c r="AE20" s="624"/>
      <c r="AF20" s="627"/>
      <c r="AG20" s="331"/>
      <c r="AH20" s="331"/>
      <c r="AI20" s="203"/>
      <c r="AJ20" s="203"/>
      <c r="AK20" s="203"/>
      <c r="AL20" s="203"/>
      <c r="AM20" s="203"/>
    </row>
    <row r="21" spans="1:39" s="202" customFormat="1" ht="41.4">
      <c r="A21" s="198">
        <f t="shared" si="2"/>
        <v>15</v>
      </c>
      <c r="B21" s="707">
        <f>'תקציב החברה לפיתוח 2020'!B15</f>
        <v>1314</v>
      </c>
      <c r="C21" s="341" t="str">
        <f>'תקציב החברה לפיתוח 2020'!C15</f>
        <v>רח' גבעת החלומות פיתוח</v>
      </c>
      <c r="D21" s="199">
        <f>'תקציב החברה לפיתוח 2020'!D15</f>
        <v>3200000</v>
      </c>
      <c r="E21" s="199">
        <f>'תקציב החברה לפיתוח 2020'!E15</f>
        <v>3200000</v>
      </c>
      <c r="F21" s="199">
        <f>'תקציב החברה לפיתוח 2020'!F15</f>
        <v>0</v>
      </c>
      <c r="G21" s="199">
        <f>'תקציב החברה לפיתוח 2020'!G15</f>
        <v>400000</v>
      </c>
      <c r="H21" s="199">
        <f>'תקציב החברה לפיתוח 2020'!H15</f>
        <v>359314.49</v>
      </c>
      <c r="I21" s="199">
        <f>'תקציב החברה לפיתוח 2020'!I15</f>
        <v>0</v>
      </c>
      <c r="J21" s="199">
        <f>'תקציב החברה לפיתוח 2020'!J15</f>
        <v>0</v>
      </c>
      <c r="K21" s="199">
        <f>'תקציב החברה לפיתוח 2020'!K15</f>
        <v>0</v>
      </c>
      <c r="L21" s="199">
        <f>'תקציב החברה לפיתוח 2020'!L15</f>
        <v>359314.49</v>
      </c>
      <c r="M21" s="199">
        <f>'תקציב החברה לפיתוח 2020'!M15</f>
        <v>40685.510000000009</v>
      </c>
      <c r="N21" s="199">
        <f>'תקציב החברה לפיתוח 2020'!N15</f>
        <v>2800000</v>
      </c>
      <c r="O21" s="199">
        <f>'תקציב החברה לפיתוח 2020'!O15</f>
        <v>0</v>
      </c>
      <c r="P21" s="199">
        <f>'תקציב החברה לפיתוח 2020'!P15</f>
        <v>40685.510000000009</v>
      </c>
      <c r="Q21" s="199">
        <f>'תקציב החברה לפיתוח 2020'!Q15</f>
        <v>0</v>
      </c>
      <c r="R21" s="199">
        <f>'תקציב החברה לפיתוח 2020'!R15</f>
        <v>0</v>
      </c>
      <c r="S21" s="199">
        <f>'תקציב החברה לפיתוח 2020'!S15</f>
        <v>0</v>
      </c>
      <c r="T21" s="199">
        <f>'תקציב החברה לפיתוח 2020'!T15</f>
        <v>0</v>
      </c>
      <c r="U21" s="199">
        <f>'תקציב החברה לפיתוח 2020'!U15</f>
        <v>2800000</v>
      </c>
      <c r="V21" s="199">
        <f>'תקציב החברה לפיתוח 2020'!V15</f>
        <v>2800000</v>
      </c>
      <c r="W21" s="199">
        <f>'תקציב החברה לפיתוח 2020'!W15</f>
        <v>0</v>
      </c>
      <c r="X21" s="199">
        <f>'תקציב החברה לפיתוח 2020'!X15</f>
        <v>0</v>
      </c>
      <c r="Y21" s="199">
        <f>'תקציב החברה לפיתוח 2020'!Y15</f>
        <v>0</v>
      </c>
      <c r="Z21" s="199">
        <f>'תקציב החברה לפיתוח 2020'!Z15</f>
        <v>0</v>
      </c>
      <c r="AA21" s="341" t="str">
        <f>'תקציב החברה לפיתוח 2020'!AA15</f>
        <v xml:space="preserve">פיתוח רחוב גבעת החלומות לרבות עבודות ניקוז ותאורה. עדכון תכנון וביצוע . </v>
      </c>
      <c r="AB21" s="707">
        <f>'תקציב החברה לפיתוח 2020'!AB15</f>
        <v>742000</v>
      </c>
      <c r="AC21" s="191"/>
      <c r="AD21" s="191"/>
      <c r="AE21" s="624"/>
      <c r="AF21" s="627"/>
      <c r="AG21" s="5"/>
      <c r="AH21" s="5"/>
      <c r="AI21" s="5"/>
      <c r="AJ21" s="5"/>
      <c r="AK21" s="5"/>
      <c r="AL21" s="5"/>
      <c r="AM21" s="5"/>
    </row>
    <row r="22" spans="1:39" s="202" customFormat="1" ht="41.4">
      <c r="A22" s="198">
        <f t="shared" si="2"/>
        <v>16</v>
      </c>
      <c r="B22" s="707">
        <f>'תקציב החברה לפיתוח 2020'!B16</f>
        <v>1322</v>
      </c>
      <c r="C22" s="341" t="str">
        <f>'תקציב החברה לפיתוח 2020'!C16</f>
        <v>מתחם נוף ים פיתוח</v>
      </c>
      <c r="D22" s="199">
        <f>'תקציב החברה לפיתוח 2020'!D16</f>
        <v>18500000</v>
      </c>
      <c r="E22" s="199">
        <f>'תקציב החברה לפיתוח 2020'!E16</f>
        <v>18500000</v>
      </c>
      <c r="F22" s="199">
        <f>'תקציב החברה לפיתוח 2020'!F16</f>
        <v>0</v>
      </c>
      <c r="G22" s="199">
        <f>'תקציב החברה לפיתוח 2020'!G16</f>
        <v>10850000</v>
      </c>
      <c r="H22" s="199">
        <f>'תקציב החברה לפיתוח 2020'!H16</f>
        <v>9625168.5899999999</v>
      </c>
      <c r="I22" s="199">
        <f>'תקציב החברה לפיתוח 2020'!I16</f>
        <v>92414.99</v>
      </c>
      <c r="J22" s="199">
        <f>'תקציב החברה לפיתוח 2020'!J16</f>
        <v>0</v>
      </c>
      <c r="K22" s="199">
        <f>'תקציב החברה לפיתוח 2020'!K16</f>
        <v>92414.99</v>
      </c>
      <c r="L22" s="199">
        <f>'תקציב החברה לפיתוח 2020'!L16</f>
        <v>9717583.5800000001</v>
      </c>
      <c r="M22" s="199">
        <f>'תקציב החברה לפיתוח 2020'!M16</f>
        <v>1132416.42</v>
      </c>
      <c r="N22" s="199">
        <f>'תקציב החברה לפיתוח 2020'!N16</f>
        <v>2000000</v>
      </c>
      <c r="O22" s="199">
        <f>'תקציב החברה לפיתוח 2020'!O16</f>
        <v>5650000</v>
      </c>
      <c r="P22" s="199">
        <f>'תקציב החברה לפיתוח 2020'!P16</f>
        <v>1132416.42</v>
      </c>
      <c r="Q22" s="199">
        <f>'תקציב החברה לפיתוח 2020'!Q16</f>
        <v>0</v>
      </c>
      <c r="R22" s="199">
        <f>'תקציב החברה לפיתוח 2020'!R16</f>
        <v>0</v>
      </c>
      <c r="S22" s="199">
        <f>'תקציב החברה לפיתוח 2020'!S16</f>
        <v>0</v>
      </c>
      <c r="T22" s="199">
        <f>'תקציב החברה לפיתוח 2020'!T16</f>
        <v>0</v>
      </c>
      <c r="U22" s="199">
        <f>'תקציב החברה לפיתוח 2020'!U16</f>
        <v>2000000</v>
      </c>
      <c r="V22" s="199">
        <f>'תקציב החברה לפיתוח 2020'!V16</f>
        <v>2000000</v>
      </c>
      <c r="W22" s="199">
        <f>'תקציב החברה לפיתוח 2020'!W16</f>
        <v>0</v>
      </c>
      <c r="X22" s="199">
        <f>'תקציב החברה לפיתוח 2020'!X16</f>
        <v>0</v>
      </c>
      <c r="Y22" s="199">
        <f>'תקציב החברה לפיתוח 2020'!Y16</f>
        <v>0</v>
      </c>
      <c r="Z22" s="199">
        <f>'תקציב החברה לפיתוח 2020'!Z16</f>
        <v>0</v>
      </c>
      <c r="AA22" s="341" t="str">
        <f>'תקציב החברה לפיתוח 2020'!AA16</f>
        <v>פיתוח הרחובות משער הים צפונה - תשתיות תאורה וגינון, הנשיא והתאנה.</v>
      </c>
      <c r="AB22" s="707">
        <f>'תקציב החברה לפיתוח 2020'!AB16</f>
        <v>742000</v>
      </c>
      <c r="AC22" s="191"/>
      <c r="AD22" s="191"/>
      <c r="AE22" s="624"/>
      <c r="AF22" s="627"/>
      <c r="AG22" s="5"/>
      <c r="AH22" s="5"/>
      <c r="AI22" s="5"/>
      <c r="AJ22" s="5"/>
      <c r="AK22" s="5"/>
      <c r="AL22" s="5"/>
      <c r="AM22" s="5"/>
    </row>
    <row r="23" spans="1:39" s="202" customFormat="1" ht="41.4">
      <c r="A23" s="198">
        <f t="shared" si="2"/>
        <v>17</v>
      </c>
      <c r="B23" s="707">
        <f>'תקציב החברה לפיתוח 2020'!B21</f>
        <v>1446</v>
      </c>
      <c r="C23" s="341" t="str">
        <f>'תקציב החברה לפיתוח 2020'!C21</f>
        <v xml:space="preserve">מתחם נוריות  </v>
      </c>
      <c r="D23" s="199">
        <f>'תקציב החברה לפיתוח 2020'!D21</f>
        <v>14250000</v>
      </c>
      <c r="E23" s="199">
        <f>'תקציב החברה לפיתוח 2020'!E21</f>
        <v>14250000</v>
      </c>
      <c r="F23" s="199">
        <f>'תקציב החברה לפיתוח 2020'!F21</f>
        <v>0</v>
      </c>
      <c r="G23" s="199">
        <f>'תקציב החברה לפיתוח 2020'!G21</f>
        <v>8000000</v>
      </c>
      <c r="H23" s="199">
        <f>'תקציב החברה לפיתוח 2020'!H21</f>
        <v>3219669.5</v>
      </c>
      <c r="I23" s="199">
        <f>'תקציב החברה לפיתוח 2020'!I21</f>
        <v>0</v>
      </c>
      <c r="J23" s="199">
        <f>'תקציב החברה לפיתוח 2020'!J21</f>
        <v>323514.64</v>
      </c>
      <c r="K23" s="199">
        <f>'תקציב החברה לפיתוח 2020'!K21</f>
        <v>323514.64</v>
      </c>
      <c r="L23" s="199">
        <f>'תקציב החברה לפיתוח 2020'!L21</f>
        <v>3543184.14</v>
      </c>
      <c r="M23" s="199">
        <f>'תקציב החברה לפיתוח 2020'!M21</f>
        <v>10706815.859999999</v>
      </c>
      <c r="N23" s="199">
        <f>'תקציב החברה לפיתוח 2020'!N21</f>
        <v>0</v>
      </c>
      <c r="O23" s="199">
        <f>'תקציב החברה לפיתוח 2020'!O21</f>
        <v>0</v>
      </c>
      <c r="P23" s="199">
        <f>'תקציב החברה לפיתוח 2020'!P21</f>
        <v>4456815.8599999994</v>
      </c>
      <c r="Q23" s="199">
        <f>'תקציב החברה לפיתוח 2020'!Q21</f>
        <v>6250000</v>
      </c>
      <c r="R23" s="199">
        <f>'תקציב החברה לפיתוח 2020'!R21</f>
        <v>0</v>
      </c>
      <c r="S23" s="199">
        <f>'תקציב החברה לפיתוח 2020'!S21</f>
        <v>6250000</v>
      </c>
      <c r="T23" s="199">
        <f>'תקציב החברה לפיתוח 2020'!T21</f>
        <v>0</v>
      </c>
      <c r="U23" s="199">
        <f>'תקציב החברה לפיתוח 2020'!U21</f>
        <v>0</v>
      </c>
      <c r="V23" s="199">
        <f>'תקציב החברה לפיתוח 2020'!V21</f>
        <v>0</v>
      </c>
      <c r="W23" s="199">
        <f>'תקציב החברה לפיתוח 2020'!W21</f>
        <v>0</v>
      </c>
      <c r="X23" s="199">
        <f>'תקציב החברה לפיתוח 2020'!X21</f>
        <v>0</v>
      </c>
      <c r="Y23" s="199">
        <f>'תקציב החברה לפיתוח 2020'!Y21</f>
        <v>0</v>
      </c>
      <c r="Z23" s="199">
        <f>'תקציב החברה לפיתוח 2020'!Z21</f>
        <v>0</v>
      </c>
      <c r="AA23" s="341" t="str">
        <f>'תקציב החברה לפיתוח 2020'!AA21</f>
        <v>המשך עבודות פיתוח במתחם הרחובות הנוריות, אנצו סירני , דב גרונר , שלמה בן יוסף , חביבה רייך.</v>
      </c>
      <c r="AB23" s="707">
        <f>'תקציב החברה לפיתוח 2020'!AB21</f>
        <v>742000</v>
      </c>
      <c r="AC23" s="191"/>
      <c r="AD23" s="191"/>
      <c r="AE23" s="624"/>
      <c r="AF23" s="627"/>
      <c r="AG23" s="331"/>
      <c r="AH23" s="331"/>
    </row>
    <row r="24" spans="1:39" s="202" customFormat="1">
      <c r="A24" s="198">
        <f t="shared" si="2"/>
        <v>18</v>
      </c>
      <c r="B24" s="707">
        <f>'תקציב החברה לפיתוח 2020'!B22</f>
        <v>1455</v>
      </c>
      <c r="C24" s="341" t="str">
        <f>'תקציב החברה לפיתוח 2020'!C22</f>
        <v>רחובות תדהר קורן ואנה פרנק</v>
      </c>
      <c r="D24" s="199">
        <f>'תקציב החברה לפיתוח 2020'!D22</f>
        <v>4500000</v>
      </c>
      <c r="E24" s="199">
        <f>'תקציב החברה לפיתוח 2020'!E22</f>
        <v>4500000</v>
      </c>
      <c r="F24" s="199">
        <f>'תקציב החברה לפיתוח 2020'!F22</f>
        <v>0</v>
      </c>
      <c r="G24" s="199">
        <f>'תקציב החברה לפיתוח 2020'!G22</f>
        <v>4500000</v>
      </c>
      <c r="H24" s="199">
        <f>'תקציב החברה לפיתוח 2020'!H22</f>
        <v>3313902.7</v>
      </c>
      <c r="I24" s="199">
        <f>'תקציב החברה לפיתוח 2020'!I22</f>
        <v>0</v>
      </c>
      <c r="J24" s="199">
        <f>'תקציב החברה לפיתוח 2020'!J22</f>
        <v>414522.88</v>
      </c>
      <c r="K24" s="199">
        <f>'תקציב החברה לפיתוח 2020'!K22</f>
        <v>414522.88</v>
      </c>
      <c r="L24" s="199">
        <f>'תקציב החברה לפיתוח 2020'!L22</f>
        <v>3728425.58</v>
      </c>
      <c r="M24" s="199">
        <f>'תקציב החברה לפיתוח 2020'!M22</f>
        <v>771574.41999999993</v>
      </c>
      <c r="N24" s="199">
        <f>'תקציב החברה לפיתוח 2020'!N22</f>
        <v>0</v>
      </c>
      <c r="O24" s="199">
        <f>'תקציב החברה לפיתוח 2020'!O22</f>
        <v>0</v>
      </c>
      <c r="P24" s="199">
        <f>'תקציב החברה לפיתוח 2020'!P22</f>
        <v>771574.41999999993</v>
      </c>
      <c r="Q24" s="199">
        <f>'תקציב החברה לפיתוח 2020'!Q22</f>
        <v>0</v>
      </c>
      <c r="R24" s="199">
        <f>'תקציב החברה לפיתוח 2020'!R22</f>
        <v>0</v>
      </c>
      <c r="S24" s="199">
        <f>'תקציב החברה לפיתוח 2020'!S22</f>
        <v>0</v>
      </c>
      <c r="T24" s="199">
        <f>'תקציב החברה לפיתוח 2020'!T22</f>
        <v>0</v>
      </c>
      <c r="U24" s="199">
        <f>'תקציב החברה לפיתוח 2020'!U22</f>
        <v>0</v>
      </c>
      <c r="V24" s="199">
        <f>'תקציב החברה לפיתוח 2020'!V22</f>
        <v>0</v>
      </c>
      <c r="W24" s="199">
        <f>'תקציב החברה לפיתוח 2020'!W22</f>
        <v>0</v>
      </c>
      <c r="X24" s="199">
        <f>'תקציב החברה לפיתוח 2020'!X22</f>
        <v>0</v>
      </c>
      <c r="Y24" s="199">
        <f>'תקציב החברה לפיתוח 2020'!Y22</f>
        <v>0</v>
      </c>
      <c r="Z24" s="199">
        <f>'תקציב החברה לפיתוח 2020'!Z22</f>
        <v>0</v>
      </c>
      <c r="AA24" s="341" t="str">
        <f>'תקציב החברה לפיתוח 2020'!AA22</f>
        <v>ממתין לחן סופי.</v>
      </c>
      <c r="AB24" s="707">
        <f>'תקציב החברה לפיתוח 2020'!AB22</f>
        <v>742000</v>
      </c>
      <c r="AC24" s="191"/>
      <c r="AD24" s="191"/>
      <c r="AE24" s="624"/>
      <c r="AF24" s="627"/>
      <c r="AG24" s="331"/>
      <c r="AH24" s="331"/>
    </row>
    <row r="25" spans="1:39" s="202" customFormat="1" ht="27.6">
      <c r="A25" s="198">
        <f t="shared" si="2"/>
        <v>19</v>
      </c>
      <c r="B25" s="707">
        <f>'תקציב החברה לפיתוח 2020'!B23</f>
        <v>1462</v>
      </c>
      <c r="C25" s="341" t="str">
        <f>'תקציב החברה לפיתוח 2020'!C23</f>
        <v>שביל צמרות ישראל (שביל האינטגרציה)</v>
      </c>
      <c r="D25" s="199">
        <f>'תקציב החברה לפיתוח 2020'!D23</f>
        <v>7500000</v>
      </c>
      <c r="E25" s="199">
        <f>'תקציב החברה לפיתוח 2020'!E23</f>
        <v>7500000</v>
      </c>
      <c r="F25" s="199">
        <f>'תקציב החברה לפיתוח 2020'!F23</f>
        <v>0</v>
      </c>
      <c r="G25" s="199">
        <f>'תקציב החברה לפיתוח 2020'!G23</f>
        <v>7500000</v>
      </c>
      <c r="H25" s="199">
        <f>'תקציב החברה לפיתוח 2020'!H23</f>
        <v>3539289.7</v>
      </c>
      <c r="I25" s="199">
        <f>'תקציב החברה לפיתוח 2020'!I23</f>
        <v>0</v>
      </c>
      <c r="J25" s="199">
        <f>'תקציב החברה לפיתוח 2020'!J23</f>
        <v>837250.43</v>
      </c>
      <c r="K25" s="199">
        <f>'תקציב החברה לפיתוח 2020'!K23</f>
        <v>837250.43</v>
      </c>
      <c r="L25" s="199">
        <f>'תקציב החברה לפיתוח 2020'!L23</f>
        <v>4376540.13</v>
      </c>
      <c r="M25" s="199">
        <f>'תקציב החברה לפיתוח 2020'!M23</f>
        <v>3123459.87</v>
      </c>
      <c r="N25" s="199">
        <f>'תקציב החברה לפיתוח 2020'!N23</f>
        <v>0</v>
      </c>
      <c r="O25" s="199">
        <f>'תקציב החברה לפיתוח 2020'!O23</f>
        <v>0</v>
      </c>
      <c r="P25" s="199">
        <f>'תקציב החברה לפיתוח 2020'!P23</f>
        <v>3123459.87</v>
      </c>
      <c r="Q25" s="199">
        <f>'תקציב החברה לפיתוח 2020'!Q23</f>
        <v>0</v>
      </c>
      <c r="R25" s="199">
        <f>'תקציב החברה לפיתוח 2020'!R23</f>
        <v>0</v>
      </c>
      <c r="S25" s="199">
        <f>'תקציב החברה לפיתוח 2020'!S23</f>
        <v>0</v>
      </c>
      <c r="T25" s="199">
        <f>'תקציב החברה לפיתוח 2020'!T23</f>
        <v>0</v>
      </c>
      <c r="U25" s="199">
        <f>'תקציב החברה לפיתוח 2020'!U23</f>
        <v>0</v>
      </c>
      <c r="V25" s="199">
        <f>'תקציב החברה לפיתוח 2020'!V23</f>
        <v>0</v>
      </c>
      <c r="W25" s="199">
        <f>'תקציב החברה לפיתוח 2020'!W23</f>
        <v>0</v>
      </c>
      <c r="X25" s="199">
        <f>'תקציב החברה לפיתוח 2020'!X23</f>
        <v>0</v>
      </c>
      <c r="Y25" s="199">
        <f>'תקציב החברה לפיתוח 2020'!Y23</f>
        <v>0</v>
      </c>
      <c r="Z25" s="199">
        <f>'תקציב החברה לפיתוח 2020'!Z23</f>
        <v>0</v>
      </c>
      <c r="AA25" s="341" t="str">
        <f>'תקציב החברה לפיתוח 2020'!AA23</f>
        <v>פיתוח שביל כניסה והסדרת גישה לבתים. ממתין לחן סופי.</v>
      </c>
      <c r="AB25" s="707">
        <f>'תקציב החברה לפיתוח 2020'!AB23</f>
        <v>742000</v>
      </c>
      <c r="AC25" s="191"/>
      <c r="AD25" s="191"/>
      <c r="AE25" s="624"/>
      <c r="AF25" s="627"/>
      <c r="AG25" s="331"/>
      <c r="AH25" s="331"/>
    </row>
    <row r="26" spans="1:39" s="202" customFormat="1">
      <c r="A26" s="198">
        <f t="shared" si="2"/>
        <v>20</v>
      </c>
      <c r="B26" s="707">
        <f>'תקציב החברה לפיתוח 2020'!B24</f>
        <v>1539</v>
      </c>
      <c r="C26" s="341" t="str">
        <f>'תקציב החברה לפיתוח 2020'!C24</f>
        <v>רחוב בר כוכבא</v>
      </c>
      <c r="D26" s="199">
        <f>'תקציב החברה לפיתוח 2020'!D24</f>
        <v>16300000</v>
      </c>
      <c r="E26" s="199">
        <f>'תקציב החברה לפיתוח 2020'!E24</f>
        <v>16300000</v>
      </c>
      <c r="F26" s="199">
        <f>'תקציב החברה לפיתוח 2020'!F24</f>
        <v>0</v>
      </c>
      <c r="G26" s="199">
        <f>'תקציב החברה לפיתוח 2020'!G24</f>
        <v>16300000</v>
      </c>
      <c r="H26" s="199">
        <f>'תקציב החברה לפיתוח 2020'!H24</f>
        <v>13561457.970000001</v>
      </c>
      <c r="I26" s="199">
        <f>'תקציב החברה לפיתוח 2020'!I24</f>
        <v>54264.4</v>
      </c>
      <c r="J26" s="199">
        <f>'תקציב החברה לפיתוח 2020'!J24</f>
        <v>1161823.8700000001</v>
      </c>
      <c r="K26" s="199">
        <f>'תקציב החברה לפיתוח 2020'!K24</f>
        <v>1216088.27</v>
      </c>
      <c r="L26" s="199">
        <f>'תקציב החברה לפיתוח 2020'!L24</f>
        <v>14777546.24</v>
      </c>
      <c r="M26" s="199">
        <f>'תקציב החברה לפיתוח 2020'!M24</f>
        <v>1522453.7599999998</v>
      </c>
      <c r="N26" s="199">
        <f>'תקציב החברה לפיתוח 2020'!N24</f>
        <v>0</v>
      </c>
      <c r="O26" s="199">
        <f>'תקציב החברה לפיתוח 2020'!O24</f>
        <v>0</v>
      </c>
      <c r="P26" s="199">
        <f>'תקציב החברה לפיתוח 2020'!P24</f>
        <v>1522453.7599999998</v>
      </c>
      <c r="Q26" s="199">
        <f>'תקציב החברה לפיתוח 2020'!Q24</f>
        <v>0</v>
      </c>
      <c r="R26" s="199">
        <f>'תקציב החברה לפיתוח 2020'!R24</f>
        <v>0</v>
      </c>
      <c r="S26" s="199">
        <f>'תקציב החברה לפיתוח 2020'!S24</f>
        <v>0</v>
      </c>
      <c r="T26" s="199">
        <f>'תקציב החברה לפיתוח 2020'!T24</f>
        <v>0</v>
      </c>
      <c r="U26" s="199">
        <f>'תקציב החברה לפיתוח 2020'!U24</f>
        <v>0</v>
      </c>
      <c r="V26" s="199">
        <f>'תקציב החברה לפיתוח 2020'!V24</f>
        <v>0</v>
      </c>
      <c r="W26" s="199">
        <f>'תקציב החברה לפיתוח 2020'!W24</f>
        <v>0</v>
      </c>
      <c r="X26" s="199">
        <f>'תקציב החברה לפיתוח 2020'!X24</f>
        <v>0</v>
      </c>
      <c r="Y26" s="199">
        <f>'תקציב החברה לפיתוח 2020'!Y24</f>
        <v>0</v>
      </c>
      <c r="Z26" s="199">
        <f>'תקציב החברה לפיתוח 2020'!Z24</f>
        <v>0</v>
      </c>
      <c r="AA26" s="341" t="str">
        <f>'תקציב החברה לפיתוח 2020'!AA24</f>
        <v>פיתוח תשתיות. בשלבי סיום.</v>
      </c>
      <c r="AB26" s="707">
        <f>'תקציב החברה לפיתוח 2020'!AB24</f>
        <v>742000</v>
      </c>
      <c r="AC26" s="191"/>
      <c r="AD26" s="191"/>
      <c r="AE26" s="624"/>
      <c r="AF26" s="627"/>
      <c r="AG26" s="331"/>
      <c r="AH26" s="331"/>
    </row>
    <row r="27" spans="1:39" s="202" customFormat="1" ht="27.6">
      <c r="A27" s="198">
        <f t="shared" si="2"/>
        <v>21</v>
      </c>
      <c r="B27" s="707">
        <f>'תקציב החברה לפיתוח 2020'!B25</f>
        <v>1588</v>
      </c>
      <c r="C27" s="341" t="str">
        <f>'תקציב החברה לפיתוח 2020'!C25</f>
        <v>פיתוח מתחם אלוני ים הר' 2030</v>
      </c>
      <c r="D27" s="199">
        <f>'תקציב החברה לפיתוח 2020'!D25</f>
        <v>50500000</v>
      </c>
      <c r="E27" s="199">
        <f>'תקציב החברה לפיתוח 2020'!E25</f>
        <v>50500000</v>
      </c>
      <c r="F27" s="199">
        <f>'תקציב החברה לפיתוח 2020'!F25</f>
        <v>0</v>
      </c>
      <c r="G27" s="199">
        <f>'תקציב החברה לפיתוח 2020'!G25</f>
        <v>32500000</v>
      </c>
      <c r="H27" s="199">
        <f>'תקציב החברה לפיתוח 2020'!H25</f>
        <v>27393014.829999998</v>
      </c>
      <c r="I27" s="199">
        <f>'תקציב החברה לפיתוח 2020'!I25</f>
        <v>682147.41</v>
      </c>
      <c r="J27" s="199">
        <f>'תקציב החברה לפיתוח 2020'!J25</f>
        <v>1712018.49</v>
      </c>
      <c r="K27" s="199">
        <f>'תקציב החברה לפיתוח 2020'!K25</f>
        <v>2394165.9</v>
      </c>
      <c r="L27" s="199">
        <f>'תקציב החברה לפיתוח 2020'!L25</f>
        <v>29787180.729999997</v>
      </c>
      <c r="M27" s="199">
        <f>'תקציב החברה לפיתוח 2020'!M25</f>
        <v>15712819.270000003</v>
      </c>
      <c r="N27" s="199">
        <f>'תקציב החברה לפיתוח 2020'!N25</f>
        <v>0</v>
      </c>
      <c r="O27" s="199">
        <f>'תקציב החברה לפיתוח 2020'!O25</f>
        <v>5000000</v>
      </c>
      <c r="P27" s="199">
        <f>'תקציב החברה לפיתוח 2020'!P25</f>
        <v>2712819.2700000033</v>
      </c>
      <c r="Q27" s="199">
        <f>'תקציב החברה לפיתוח 2020'!Q25</f>
        <v>13000000</v>
      </c>
      <c r="R27" s="199">
        <f>'תקציב החברה לפיתוח 2020'!R25</f>
        <v>0</v>
      </c>
      <c r="S27" s="199">
        <f>'תקציב החברה לפיתוח 2020'!S25</f>
        <v>13000000</v>
      </c>
      <c r="T27" s="199">
        <f>'תקציב החברה לפיתוח 2020'!T25</f>
        <v>0</v>
      </c>
      <c r="U27" s="199">
        <f>'תקציב החברה לפיתוח 2020'!U25</f>
        <v>0</v>
      </c>
      <c r="V27" s="199">
        <f>'תקציב החברה לפיתוח 2020'!V25</f>
        <v>0</v>
      </c>
      <c r="W27" s="199">
        <f>'תקציב החברה לפיתוח 2020'!W25</f>
        <v>0</v>
      </c>
      <c r="X27" s="199">
        <f>'תקציב החברה לפיתוח 2020'!X25</f>
        <v>0</v>
      </c>
      <c r="Y27" s="199">
        <f>'תקציב החברה לפיתוח 2020'!Y25</f>
        <v>0</v>
      </c>
      <c r="Z27" s="199">
        <f>'תקציב החברה לפיתוח 2020'!Z25</f>
        <v>0</v>
      </c>
      <c r="AA27" s="341" t="str">
        <f>'תקציב החברה לפיתוח 2020'!AA25</f>
        <v>המשך עבודות פיתוח במתחם אלוני ים הר' 2030.</v>
      </c>
      <c r="AB27" s="707">
        <f>'תקציב החברה לפיתוח 2020'!AB25</f>
        <v>742000</v>
      </c>
      <c r="AC27" s="191"/>
      <c r="AD27" s="191"/>
      <c r="AE27" s="624"/>
      <c r="AF27" s="627"/>
      <c r="AG27" s="331"/>
      <c r="AH27" s="331"/>
    </row>
    <row r="28" spans="1:39" s="202" customFormat="1" ht="27.6">
      <c r="A28" s="198">
        <f t="shared" si="2"/>
        <v>22</v>
      </c>
      <c r="B28" s="707">
        <f>'תקציב החברה לפיתוח 2020'!B26</f>
        <v>1614</v>
      </c>
      <c r="C28" s="341" t="str">
        <f>'תקציב החברה לפיתוח 2020'!C26</f>
        <v>שצ"פ רבי עקיבא דרומה (השביל הירוק)</v>
      </c>
      <c r="D28" s="199">
        <f>'תקציב החברה לפיתוח 2020'!D26</f>
        <v>7200000</v>
      </c>
      <c r="E28" s="199">
        <f>'תקציב החברה לפיתוח 2020'!E26</f>
        <v>7200000</v>
      </c>
      <c r="F28" s="199">
        <f>'תקציב החברה לפיתוח 2020'!F26</f>
        <v>0</v>
      </c>
      <c r="G28" s="199">
        <f>'תקציב החברה לפיתוח 2020'!G26</f>
        <v>7200000</v>
      </c>
      <c r="H28" s="199">
        <f>'תקציב החברה לפיתוח 2020'!H26</f>
        <v>4760817.5</v>
      </c>
      <c r="I28" s="199">
        <f>'תקציב החברה לפיתוח 2020'!I26</f>
        <v>0</v>
      </c>
      <c r="J28" s="199">
        <f>'תקציב החברה לפיתוח 2020'!J26</f>
        <v>915188.54</v>
      </c>
      <c r="K28" s="199">
        <f>'תקציב החברה לפיתוח 2020'!K26</f>
        <v>915188.54</v>
      </c>
      <c r="L28" s="199">
        <f>'תקציב החברה לפיתוח 2020'!L26</f>
        <v>5676006.04</v>
      </c>
      <c r="M28" s="199">
        <f>'תקציב החברה לפיתוח 2020'!M26</f>
        <v>1523993.96</v>
      </c>
      <c r="N28" s="199">
        <f>'תקציב החברה לפיתוח 2020'!N26</f>
        <v>0</v>
      </c>
      <c r="O28" s="199">
        <f>'תקציב החברה לפיתוח 2020'!O26</f>
        <v>0</v>
      </c>
      <c r="P28" s="199">
        <f>'תקציב החברה לפיתוח 2020'!P26</f>
        <v>1523993.96</v>
      </c>
      <c r="Q28" s="199">
        <f>'תקציב החברה לפיתוח 2020'!Q26</f>
        <v>0</v>
      </c>
      <c r="R28" s="199">
        <f>'תקציב החברה לפיתוח 2020'!R26</f>
        <v>0</v>
      </c>
      <c r="S28" s="199">
        <f>'תקציב החברה לפיתוח 2020'!S26</f>
        <v>0</v>
      </c>
      <c r="T28" s="199">
        <f>'תקציב החברה לפיתוח 2020'!T26</f>
        <v>0</v>
      </c>
      <c r="U28" s="199">
        <f>'תקציב החברה לפיתוח 2020'!U26</f>
        <v>0</v>
      </c>
      <c r="V28" s="199">
        <f>'תקציב החברה לפיתוח 2020'!V26</f>
        <v>0</v>
      </c>
      <c r="W28" s="199">
        <f>'תקציב החברה לפיתוח 2020'!W26</f>
        <v>0</v>
      </c>
      <c r="X28" s="199">
        <f>'תקציב החברה לפיתוח 2020'!X26</f>
        <v>0</v>
      </c>
      <c r="Y28" s="199">
        <f>'תקציב החברה לפיתוח 2020'!Y26</f>
        <v>0</v>
      </c>
      <c r="Z28" s="199">
        <f>'תקציב החברה לפיתוח 2020'!Z26</f>
        <v>0</v>
      </c>
      <c r="AA28" s="341" t="str">
        <f>'תקציב החברה לפיתוח 2020'!AA26</f>
        <v>המשך עבודות פיתוח שצ"פ בשכונת צמרות. ממתין לחן סופי.</v>
      </c>
      <c r="AB28" s="707">
        <f>'תקציב החברה לפיתוח 2020'!AB26</f>
        <v>742000</v>
      </c>
      <c r="AC28" s="191"/>
      <c r="AD28" s="191"/>
      <c r="AE28" s="624"/>
      <c r="AF28" s="627"/>
      <c r="AG28" s="331"/>
      <c r="AH28" s="331"/>
    </row>
    <row r="29" spans="1:39" s="202" customFormat="1" ht="41.4">
      <c r="A29" s="198">
        <f t="shared" si="2"/>
        <v>23</v>
      </c>
      <c r="B29" s="707">
        <f>'תקציב החברה לפיתוח 2020'!B27</f>
        <v>1615</v>
      </c>
      <c r="C29" s="341" t="str">
        <f>'תקציב החברה לפיתוח 2020'!C27</f>
        <v>פיתוח מתחם הר' 1903</v>
      </c>
      <c r="D29" s="199">
        <f>'תקציב החברה לפיתוח 2020'!D27</f>
        <v>27700000</v>
      </c>
      <c r="E29" s="199">
        <f>'תקציב החברה לפיתוח 2020'!E27</f>
        <v>27700000</v>
      </c>
      <c r="F29" s="199">
        <f>'תקציב החברה לפיתוח 2020'!F27</f>
        <v>0</v>
      </c>
      <c r="G29" s="199">
        <f>'תקציב החברה לפיתוח 2020'!G27</f>
        <v>20200000</v>
      </c>
      <c r="H29" s="199">
        <f>'תקציב החברה לפיתוח 2020'!H27</f>
        <v>13404493.66</v>
      </c>
      <c r="I29" s="199">
        <f>'תקציב החברה לפיתוח 2020'!I27</f>
        <v>0</v>
      </c>
      <c r="J29" s="199">
        <f>'תקציב החברה לפיתוח 2020'!J27</f>
        <v>1724902.74</v>
      </c>
      <c r="K29" s="199">
        <f>'תקציב החברה לפיתוח 2020'!K27</f>
        <v>1724902.74</v>
      </c>
      <c r="L29" s="199">
        <f>'תקציב החברה לפיתוח 2020'!L27</f>
        <v>15129396.4</v>
      </c>
      <c r="M29" s="199">
        <f>'תקציב החברה לפיתוח 2020'!M27</f>
        <v>5070603.5999999996</v>
      </c>
      <c r="N29" s="199">
        <f>'תקציב החברה לפיתוח 2020'!N27</f>
        <v>4000000</v>
      </c>
      <c r="O29" s="199">
        <f>'תקציב החברה לפיתוח 2020'!O27</f>
        <v>3500000</v>
      </c>
      <c r="P29" s="199">
        <f>'תקציב החברה לפיתוח 2020'!P27</f>
        <v>5070603.5999999996</v>
      </c>
      <c r="Q29" s="199">
        <f>'תקציב החברה לפיתוח 2020'!Q27</f>
        <v>0</v>
      </c>
      <c r="R29" s="199">
        <f>'תקציב החברה לפיתוח 2020'!R27</f>
        <v>0</v>
      </c>
      <c r="S29" s="199">
        <f>'תקציב החברה לפיתוח 2020'!S27</f>
        <v>0</v>
      </c>
      <c r="T29" s="199">
        <f>'תקציב החברה לפיתוח 2020'!T27</f>
        <v>0</v>
      </c>
      <c r="U29" s="199">
        <f>'תקציב החברה לפיתוח 2020'!U27</f>
        <v>4000000</v>
      </c>
      <c r="V29" s="199">
        <f>'תקציב החברה לפיתוח 2020'!V27</f>
        <v>4000000</v>
      </c>
      <c r="W29" s="199">
        <f>'תקציב החברה לפיתוח 2020'!W27</f>
        <v>0</v>
      </c>
      <c r="X29" s="199">
        <f>'תקציב החברה לפיתוח 2020'!X27</f>
        <v>0</v>
      </c>
      <c r="Y29" s="199">
        <f>'תקציב החברה לפיתוח 2020'!Y27</f>
        <v>0</v>
      </c>
      <c r="Z29" s="199">
        <f>'תקציב החברה לפיתוח 2020'!Z27</f>
        <v>0</v>
      </c>
      <c r="AA29" s="341" t="str">
        <f>'תקציב החברה לפיתוח 2020'!AA27</f>
        <v>המשך עבודות פיתוח במתחם הר' 1903 הרצליה הילס. פיתוח שצ"פ מערבי.</v>
      </c>
      <c r="AB29" s="707">
        <f>'תקציב החברה לפיתוח 2020'!AB27</f>
        <v>742000</v>
      </c>
      <c r="AC29" s="191"/>
      <c r="AD29" s="191"/>
      <c r="AE29" s="624"/>
      <c r="AF29" s="627"/>
      <c r="AG29" s="331"/>
      <c r="AH29" s="331"/>
    </row>
    <row r="30" spans="1:39" s="202" customFormat="1">
      <c r="A30" s="198">
        <f t="shared" si="2"/>
        <v>24</v>
      </c>
      <c r="B30" s="707">
        <f>'תקציב החברה לפיתוח 2020'!B28</f>
        <v>1656</v>
      </c>
      <c r="C30" s="341" t="str">
        <f>'תקציב החברה לפיתוח 2020'!C28</f>
        <v>פיתוח רח' אבוקה מולדת</v>
      </c>
      <c r="D30" s="199">
        <f>'תקציב החברה לפיתוח 2020'!D28</f>
        <v>9400000</v>
      </c>
      <c r="E30" s="199">
        <f>'תקציב החברה לפיתוח 2020'!E28</f>
        <v>9400000</v>
      </c>
      <c r="F30" s="199">
        <f>'תקציב החברה לפיתוח 2020'!F28</f>
        <v>0</v>
      </c>
      <c r="G30" s="199">
        <f>'תקציב החברה לפיתוח 2020'!G28</f>
        <v>9400000</v>
      </c>
      <c r="H30" s="199">
        <f>'תקציב החברה לפיתוח 2020'!H28</f>
        <v>6217998.0999999996</v>
      </c>
      <c r="I30" s="199">
        <f>'תקציב החברה לפיתוח 2020'!I28</f>
        <v>0</v>
      </c>
      <c r="J30" s="199">
        <f>'תקציב החברה לפיתוח 2020'!J28</f>
        <v>220821.15</v>
      </c>
      <c r="K30" s="199">
        <f>'תקציב החברה לפיתוח 2020'!K28</f>
        <v>220821.15</v>
      </c>
      <c r="L30" s="199">
        <f>'תקציב החברה לפיתוח 2020'!L28</f>
        <v>6438819.25</v>
      </c>
      <c r="M30" s="199">
        <f>'תקציב החברה לפיתוח 2020'!M28</f>
        <v>261180.75</v>
      </c>
      <c r="N30" s="199">
        <f>'תקציב החברה לפיתוח 2020'!N28</f>
        <v>0</v>
      </c>
      <c r="O30" s="199">
        <f>'תקציב החברה לפיתוח 2020'!O28</f>
        <v>2700000</v>
      </c>
      <c r="P30" s="199">
        <f>'תקציב החברה לפיתוח 2020'!P28</f>
        <v>2961180.75</v>
      </c>
      <c r="Q30" s="199">
        <f>'תקציב החברה לפיתוח 2020'!Q28</f>
        <v>0</v>
      </c>
      <c r="R30" s="199">
        <f>'תקציב החברה לפיתוח 2020'!R28</f>
        <v>0</v>
      </c>
      <c r="S30" s="199">
        <f>'תקציב החברה לפיתוח 2020'!S28</f>
        <v>0</v>
      </c>
      <c r="T30" s="199">
        <f>'תקציב החברה לפיתוח 2020'!T28</f>
        <v>2700000</v>
      </c>
      <c r="U30" s="199">
        <f>'תקציב החברה לפיתוח 2020'!U28</f>
        <v>-2700000</v>
      </c>
      <c r="V30" s="199">
        <f>'תקציב החברה לפיתוח 2020'!V28</f>
        <v>-2700000</v>
      </c>
      <c r="W30" s="199">
        <f>'תקציב החברה לפיתוח 2020'!W28</f>
        <v>0</v>
      </c>
      <c r="X30" s="199">
        <f>'תקציב החברה לפיתוח 2020'!X28</f>
        <v>0</v>
      </c>
      <c r="Y30" s="199">
        <f>'תקציב החברה לפיתוח 2020'!Y28</f>
        <v>0</v>
      </c>
      <c r="Z30" s="199">
        <f>'תקציב החברה לפיתוח 2020'!Z28</f>
        <v>0</v>
      </c>
      <c r="AA30" s="341">
        <f>'תקציב החברה לפיתוח 2020'!AA28</f>
        <v>0</v>
      </c>
      <c r="AB30" s="707">
        <f>'תקציב החברה לפיתוח 2020'!AB28</f>
        <v>742000</v>
      </c>
      <c r="AC30" s="191"/>
      <c r="AD30" s="191"/>
      <c r="AE30" s="624"/>
      <c r="AF30" s="627"/>
      <c r="AG30" s="331"/>
      <c r="AH30" s="331"/>
    </row>
    <row r="31" spans="1:39" s="202" customFormat="1" ht="27.6">
      <c r="A31" s="198">
        <f t="shared" si="2"/>
        <v>25</v>
      </c>
      <c r="B31" s="707">
        <f>'תקציב החברה לפיתוח 2020'!B29</f>
        <v>1657</v>
      </c>
      <c r="C31" s="341" t="str">
        <f>'תקציב החברה לפיתוח 2020'!C29</f>
        <v>פיתוח מתחם "מרינה לי"</v>
      </c>
      <c r="D31" s="199">
        <f>'תקציב החברה לפיתוח 2020'!D29</f>
        <v>60000000</v>
      </c>
      <c r="E31" s="199">
        <f>'תקציב החברה לפיתוח 2020'!E29</f>
        <v>60000000</v>
      </c>
      <c r="F31" s="199">
        <f>'תקציב החברה לפיתוח 2020'!F29</f>
        <v>0</v>
      </c>
      <c r="G31" s="199">
        <f>'תקציב החברה לפיתוח 2020'!G29</f>
        <v>13700000</v>
      </c>
      <c r="H31" s="199">
        <f>'תקציב החברה לפיתוח 2020'!H29</f>
        <v>5296985.92</v>
      </c>
      <c r="I31" s="199">
        <f>'תקציב החברה לפיתוח 2020'!I29</f>
        <v>167189.14000000001</v>
      </c>
      <c r="J31" s="199">
        <f>'תקציב החברה לפיתוח 2020'!J29</f>
        <v>360232.04</v>
      </c>
      <c r="K31" s="199">
        <f>'תקציב החברה לפיתוח 2020'!K29</f>
        <v>527421.17999999993</v>
      </c>
      <c r="L31" s="199">
        <f>'תקציב החברה לפיתוח 2020'!L29</f>
        <v>5824407.0999999996</v>
      </c>
      <c r="M31" s="199">
        <f>'תקציב החברה לפיתוח 2020'!M29</f>
        <v>7875592.9000000004</v>
      </c>
      <c r="N31" s="199">
        <f>'תקציב החברה לפיתוח 2020'!N29</f>
        <v>16300000</v>
      </c>
      <c r="O31" s="199">
        <f>'תקציב החברה לפיתוח 2020'!O29</f>
        <v>30000000</v>
      </c>
      <c r="P31" s="199">
        <f>'תקציב החברה לפיתוח 2020'!P29</f>
        <v>7875592.9000000004</v>
      </c>
      <c r="Q31" s="199">
        <f>'תקציב החברה לפיתוח 2020'!Q29</f>
        <v>0</v>
      </c>
      <c r="R31" s="199">
        <f>'תקציב החברה לפיתוח 2020'!R29</f>
        <v>0</v>
      </c>
      <c r="S31" s="199">
        <f>'תקציב החברה לפיתוח 2020'!S29</f>
        <v>0</v>
      </c>
      <c r="T31" s="199">
        <f>'תקציב החברה לפיתוח 2020'!T29</f>
        <v>0</v>
      </c>
      <c r="U31" s="199">
        <f>'תקציב החברה לפיתוח 2020'!U29</f>
        <v>16300000</v>
      </c>
      <c r="V31" s="199">
        <f>'תקציב החברה לפיתוח 2020'!V29</f>
        <v>14588734</v>
      </c>
      <c r="W31" s="199">
        <f>'תקציב החברה לפיתוח 2020'!W29</f>
        <v>0</v>
      </c>
      <c r="X31" s="199">
        <f>'תקציב החברה לפיתוח 2020'!X29</f>
        <v>0</v>
      </c>
      <c r="Y31" s="199">
        <f>'תקציב החברה לפיתוח 2020'!Y29</f>
        <v>0</v>
      </c>
      <c r="Z31" s="199">
        <f>'תקציב החברה לפיתוח 2020'!Z29</f>
        <v>1711266</v>
      </c>
      <c r="AA31" s="341" t="str">
        <f>'תקציב החברה לפיתוח 2020'!AA29</f>
        <v xml:space="preserve">ביצוע פיתוח ותשתית במתחם "מרינה לי". מימון מ. התחבורה. </v>
      </c>
      <c r="AB31" s="707">
        <f>'תקציב החברה לפיתוח 2020'!AB29</f>
        <v>742000</v>
      </c>
      <c r="AC31" s="191"/>
      <c r="AD31" s="191"/>
      <c r="AE31" s="624"/>
      <c r="AF31" s="627"/>
      <c r="AG31" s="331"/>
      <c r="AH31" s="331"/>
    </row>
    <row r="32" spans="1:39" s="202" customFormat="1" ht="27.6">
      <c r="A32" s="198">
        <f t="shared" si="2"/>
        <v>26</v>
      </c>
      <c r="B32" s="707">
        <f>'תקציב החברה לפיתוח 2020'!B32</f>
        <v>1765</v>
      </c>
      <c r="C32" s="341" t="str">
        <f>'תקציב החברה לפיתוח 2020'!C32</f>
        <v>רחוב החרש</v>
      </c>
      <c r="D32" s="199">
        <f>'תקציב החברה לפיתוח 2020'!D32</f>
        <v>2800000</v>
      </c>
      <c r="E32" s="199">
        <f>'תקציב החברה לפיתוח 2020'!E32</f>
        <v>2800000</v>
      </c>
      <c r="F32" s="199">
        <f>'תקציב החברה לפיתוח 2020'!F32</f>
        <v>0</v>
      </c>
      <c r="G32" s="199">
        <f>'תקציב החברה לפיתוח 2020'!G32</f>
        <v>2800000</v>
      </c>
      <c r="H32" s="199">
        <f>'תקציב החברה לפיתוח 2020'!H32</f>
        <v>2241815.36</v>
      </c>
      <c r="I32" s="199">
        <f>'תקציב החברה לפיתוח 2020'!I32</f>
        <v>0</v>
      </c>
      <c r="J32" s="199">
        <f>'תקציב החברה לפיתוח 2020'!J32</f>
        <v>79517.86</v>
      </c>
      <c r="K32" s="199">
        <f>'תקציב החברה לפיתוח 2020'!K32</f>
        <v>79517.86</v>
      </c>
      <c r="L32" s="199">
        <f>'תקציב החברה לפיתוח 2020'!L32</f>
        <v>2321333.2199999997</v>
      </c>
      <c r="M32" s="199">
        <f>'תקציב החברה לפיתוח 2020'!M32</f>
        <v>228666.78000000026</v>
      </c>
      <c r="N32" s="199">
        <f>'תקציב החברה לפיתוח 2020'!N32</f>
        <v>0</v>
      </c>
      <c r="O32" s="199">
        <f>'תקציב החברה לפיתוח 2020'!O32</f>
        <v>250000</v>
      </c>
      <c r="P32" s="199">
        <f>'תקציב החברה לפיתוח 2020'!P32</f>
        <v>478666.78000000026</v>
      </c>
      <c r="Q32" s="199">
        <f>'תקציב החברה לפיתוח 2020'!Q32</f>
        <v>0</v>
      </c>
      <c r="R32" s="199">
        <f>'תקציב החברה לפיתוח 2020'!R32</f>
        <v>0</v>
      </c>
      <c r="S32" s="199">
        <f>'תקציב החברה לפיתוח 2020'!S32</f>
        <v>0</v>
      </c>
      <c r="T32" s="199">
        <f>'תקציב החברה לפיתוח 2020'!T32</f>
        <v>250000</v>
      </c>
      <c r="U32" s="199">
        <f>'תקציב החברה לפיתוח 2020'!U32</f>
        <v>-250000</v>
      </c>
      <c r="V32" s="199">
        <f>'תקציב החברה לפיתוח 2020'!V32</f>
        <v>-250000</v>
      </c>
      <c r="W32" s="199">
        <f>'תקציב החברה לפיתוח 2020'!W32</f>
        <v>0</v>
      </c>
      <c r="X32" s="199">
        <f>'תקציב החברה לפיתוח 2020'!X32</f>
        <v>0</v>
      </c>
      <c r="Y32" s="199">
        <f>'תקציב החברה לפיתוח 2020'!Y32</f>
        <v>0</v>
      </c>
      <c r="Z32" s="199">
        <f>'תקציב החברה לפיתוח 2020'!Z32</f>
        <v>0</v>
      </c>
      <c r="AA32" s="341" t="str">
        <f>'תקציב החברה לפיתוח 2020'!AA32</f>
        <v>השלמת חיבור כניסה מכביש 2 לרח' החרש. ממתין לחן סופי.</v>
      </c>
      <c r="AB32" s="707">
        <f>'תקציב החברה לפיתוח 2020'!AB32</f>
        <v>742000</v>
      </c>
      <c r="AC32" s="191"/>
      <c r="AD32" s="191"/>
      <c r="AE32" s="624"/>
      <c r="AF32" s="627"/>
      <c r="AG32" s="331"/>
      <c r="AH32" s="331"/>
      <c r="AI32" s="209"/>
      <c r="AJ32" s="209"/>
      <c r="AK32" s="209"/>
      <c r="AL32" s="209"/>
      <c r="AM32" s="209"/>
    </row>
    <row r="33" spans="1:39" s="210" customFormat="1" ht="41.4">
      <c r="A33" s="198">
        <f t="shared" si="2"/>
        <v>27</v>
      </c>
      <c r="B33" s="707">
        <f>'תקציב החברה לפיתוח 2020'!B35</f>
        <v>1819</v>
      </c>
      <c r="C33" s="341" t="str">
        <f>'תקציב החברה לפיתוח 2020'!C35</f>
        <v>פיתוח רח' צ.ה.ל</v>
      </c>
      <c r="D33" s="199">
        <f>'תקציב החברה לפיתוח 2020'!D35</f>
        <v>18000000</v>
      </c>
      <c r="E33" s="199">
        <f>'תקציב החברה לפיתוח 2020'!E35</f>
        <v>18000000</v>
      </c>
      <c r="F33" s="199">
        <f>'תקציב החברה לפיתוח 2020'!F35</f>
        <v>0</v>
      </c>
      <c r="G33" s="199">
        <f>'תקציב החברה לפיתוח 2020'!G35</f>
        <v>9200000</v>
      </c>
      <c r="H33" s="199">
        <f>'תקציב החברה לפיתוח 2020'!H35</f>
        <v>1611879.1</v>
      </c>
      <c r="I33" s="199">
        <f>'תקציב החברה לפיתוח 2020'!I35</f>
        <v>0</v>
      </c>
      <c r="J33" s="199">
        <f>'תקציב החברה לפיתוח 2020'!J35</f>
        <v>153377.19</v>
      </c>
      <c r="K33" s="199">
        <f>'תקציב החברה לפיתוח 2020'!K35</f>
        <v>153377.19</v>
      </c>
      <c r="L33" s="199">
        <f>'תקציב החברה לפיתוח 2020'!L35</f>
        <v>1765256.29</v>
      </c>
      <c r="M33" s="199">
        <f>'תקציב החברה לפיתוח 2020'!M35</f>
        <v>10434743.710000001</v>
      </c>
      <c r="N33" s="199">
        <f>'תקציב החברה לפיתוח 2020'!N35</f>
        <v>3800000</v>
      </c>
      <c r="O33" s="199">
        <f>'תקציב החברה לפיתוח 2020'!O35</f>
        <v>2000000</v>
      </c>
      <c r="P33" s="199">
        <f>'תקציב החברה לפיתוח 2020'!P35</f>
        <v>7434743.71</v>
      </c>
      <c r="Q33" s="199">
        <f>'תקציב החברה לפיתוח 2020'!Q35</f>
        <v>3000000</v>
      </c>
      <c r="R33" s="199">
        <f>'תקציב החברה לפיתוח 2020'!R35</f>
        <v>0</v>
      </c>
      <c r="S33" s="199">
        <f>'תקציב החברה לפיתוח 2020'!S35</f>
        <v>3000000</v>
      </c>
      <c r="T33" s="199">
        <f>'תקציב החברה לפיתוח 2020'!T35</f>
        <v>0</v>
      </c>
      <c r="U33" s="199">
        <f>'תקציב החברה לפיתוח 2020'!U35</f>
        <v>3800000</v>
      </c>
      <c r="V33" s="199">
        <f>'תקציב החברה לפיתוח 2020'!V35</f>
        <v>3345000</v>
      </c>
      <c r="W33" s="199">
        <f>'תקציב החברה לפיתוח 2020'!W35</f>
        <v>0</v>
      </c>
      <c r="X33" s="199">
        <f>'תקציב החברה לפיתוח 2020'!X35</f>
        <v>0</v>
      </c>
      <c r="Y33" s="199">
        <f>'תקציב החברה לפיתוח 2020'!Y35</f>
        <v>0</v>
      </c>
      <c r="Z33" s="199">
        <f>'תקציב החברה לפיתוח 2020'!Z35</f>
        <v>455000</v>
      </c>
      <c r="AA33" s="341" t="str">
        <f>'תקציב החברה לפיתוח 2020'!AA35</f>
        <v>המשך פיתוח רחוב צ.ה.ל כולל סובה הורדת/העלאת תלמידים ליד ביה"ס. מימון מ. התחבורה.</v>
      </c>
      <c r="AB33" s="707">
        <f>'תקציב החברה לפיתוח 2020'!AB35</f>
        <v>742000</v>
      </c>
      <c r="AC33" s="191"/>
      <c r="AD33" s="191"/>
      <c r="AE33" s="624"/>
      <c r="AF33" s="627"/>
      <c r="AG33" s="331"/>
      <c r="AH33" s="331"/>
      <c r="AI33" s="191"/>
      <c r="AJ33" s="191"/>
      <c r="AK33" s="191"/>
      <c r="AL33" s="191"/>
      <c r="AM33" s="191"/>
    </row>
    <row r="34" spans="1:39" s="203" customFormat="1" ht="41.4">
      <c r="A34" s="198">
        <f t="shared" si="2"/>
        <v>28</v>
      </c>
      <c r="B34" s="707">
        <f>'תקציב החברה לפיתוח 2020'!B42</f>
        <v>1845</v>
      </c>
      <c r="C34" s="341" t="str">
        <f>'תקציב החברה לפיתוח 2020'!C42</f>
        <v>חניונים הר'1900 -שינוי תב"ע</v>
      </c>
      <c r="D34" s="199">
        <f>'תקציב החברה לפיתוח 2020'!D42</f>
        <v>6000000</v>
      </c>
      <c r="E34" s="199">
        <f>'תקציב החברה לפיתוח 2020'!E42</f>
        <v>1500000</v>
      </c>
      <c r="F34" s="199">
        <f>'תקציב החברה לפיתוח 2020'!F42</f>
        <v>4500000</v>
      </c>
      <c r="G34" s="199">
        <f>'תקציב החברה לפיתוח 2020'!G42</f>
        <v>750000</v>
      </c>
      <c r="H34" s="199">
        <f>'תקציב החברה לפיתוח 2020'!H42</f>
        <v>556996</v>
      </c>
      <c r="I34" s="199">
        <f>'תקציב החברה לפיתוח 2020'!I42</f>
        <v>0</v>
      </c>
      <c r="J34" s="199">
        <f>'תקציב החברה לפיתוח 2020'!J42</f>
        <v>31930.3</v>
      </c>
      <c r="K34" s="199">
        <f>'תקציב החברה לפיתוח 2020'!K42</f>
        <v>31930.3</v>
      </c>
      <c r="L34" s="199">
        <f>'תקציב החברה לפיתוח 2020'!L42</f>
        <v>588926.30000000005</v>
      </c>
      <c r="M34" s="199">
        <f>'תקציב החברה לפיתוח 2020'!M42</f>
        <v>911073.7</v>
      </c>
      <c r="N34" s="199">
        <f>'תקציב החברה לפיתוח 2020'!N42</f>
        <v>2500000</v>
      </c>
      <c r="O34" s="199">
        <f>'תקציב החברה לפיתוח 2020'!O42</f>
        <v>2000000</v>
      </c>
      <c r="P34" s="199">
        <f>'תקציב החברה לפיתוח 2020'!P42</f>
        <v>161073.69999999995</v>
      </c>
      <c r="Q34" s="199">
        <f>'תקציב החברה לפיתוח 2020'!Q42</f>
        <v>750000</v>
      </c>
      <c r="R34" s="199">
        <f>'תקציב החברה לפיתוח 2020'!R42</f>
        <v>0</v>
      </c>
      <c r="S34" s="199">
        <f>'תקציב החברה לפיתוח 2020'!S42</f>
        <v>750000</v>
      </c>
      <c r="T34" s="199">
        <f>'תקציב החברה לפיתוח 2020'!T42</f>
        <v>0</v>
      </c>
      <c r="U34" s="199">
        <f>'תקציב החברה לפיתוח 2020'!U42</f>
        <v>2500000</v>
      </c>
      <c r="V34" s="199">
        <f>'תקציב החברה לפיתוח 2020'!V42</f>
        <v>2500000</v>
      </c>
      <c r="W34" s="199">
        <f>'תקציב החברה לפיתוח 2020'!W42</f>
        <v>0</v>
      </c>
      <c r="X34" s="199">
        <f>'תקציב החברה לפיתוח 2020'!X42</f>
        <v>0</v>
      </c>
      <c r="Y34" s="199">
        <f>'תקציב החברה לפיתוח 2020'!Y42</f>
        <v>0</v>
      </c>
      <c r="Z34" s="199">
        <f>'תקציב החברה לפיתוח 2020'!Z42</f>
        <v>0</v>
      </c>
      <c r="AA34" s="341" t="str">
        <f>'תקציב החברה לפיתוח 2020'!AA42</f>
        <v>תכנון במסגרת שינוי תב"ע חניונים הר' 1900. חניונים: משכית (השלמה לתכנון מפורט), גלגלי הפלדה.</v>
      </c>
      <c r="AB34" s="707">
        <f>'תקציב החברה לפיתוח 2020'!AB42</f>
        <v>742000</v>
      </c>
      <c r="AC34" s="191"/>
      <c r="AD34" s="191"/>
      <c r="AE34" s="624"/>
      <c r="AF34" s="627"/>
      <c r="AG34" s="331"/>
      <c r="AH34" s="331"/>
      <c r="AI34" s="191"/>
      <c r="AJ34" s="191"/>
      <c r="AK34" s="191"/>
      <c r="AL34" s="191"/>
      <c r="AM34" s="191"/>
    </row>
    <row r="35" spans="1:39" ht="27.6">
      <c r="A35" s="198">
        <f t="shared" si="2"/>
        <v>29</v>
      </c>
      <c r="B35" s="707">
        <f>'תקציב החברה לפיתוח 2020'!B44</f>
        <v>1872</v>
      </c>
      <c r="C35" s="341" t="str">
        <f>'תקציב החברה לפיתוח 2020'!C44</f>
        <v>הסדרת צומת ברנר בר כוכבא בן גוריון</v>
      </c>
      <c r="D35" s="199">
        <f>'תקציב החברה לפיתוח 2020'!D44</f>
        <v>1160000</v>
      </c>
      <c r="E35" s="199">
        <f>'תקציב החברה לפיתוח 2020'!E44</f>
        <v>1160000</v>
      </c>
      <c r="F35" s="199">
        <f>'תקציב החברה לפיתוח 2020'!F44</f>
        <v>0</v>
      </c>
      <c r="G35" s="199">
        <f>'תקציב החברה לפיתוח 2020'!G44</f>
        <v>1160000</v>
      </c>
      <c r="H35" s="199">
        <f>'תקציב החברה לפיתוח 2020'!H44</f>
        <v>480996</v>
      </c>
      <c r="I35" s="199">
        <f>'תקציב החברה לפיתוח 2020'!I44</f>
        <v>0</v>
      </c>
      <c r="J35" s="199">
        <f>'תקציב החברה לפיתוח 2020'!J44</f>
        <v>678998.24</v>
      </c>
      <c r="K35" s="199">
        <f>'תקציב החברה לפיתוח 2020'!K44</f>
        <v>678998.24</v>
      </c>
      <c r="L35" s="199">
        <f>'תקציב החברה לפיתוח 2020'!L44</f>
        <v>1159994.24</v>
      </c>
      <c r="M35" s="199">
        <f>'תקציב החברה לפיתוח 2020'!M44</f>
        <v>5.7600000000093132</v>
      </c>
      <c r="N35" s="199">
        <f>'תקציב החברה לפיתוח 2020'!N44</f>
        <v>0</v>
      </c>
      <c r="O35" s="199">
        <f>'תקציב החברה לפיתוח 2020'!O44</f>
        <v>0</v>
      </c>
      <c r="P35" s="199">
        <f>'תקציב החברה לפיתוח 2020'!P44</f>
        <v>5.7600000000093132</v>
      </c>
      <c r="Q35" s="199">
        <f>'תקציב החברה לפיתוח 2020'!Q44</f>
        <v>0</v>
      </c>
      <c r="R35" s="199">
        <f>'תקציב החברה לפיתוח 2020'!R44</f>
        <v>0</v>
      </c>
      <c r="S35" s="199">
        <f>'תקציב החברה לפיתוח 2020'!S44</f>
        <v>0</v>
      </c>
      <c r="T35" s="199">
        <f>'תקציב החברה לפיתוח 2020'!T44</f>
        <v>0</v>
      </c>
      <c r="U35" s="199">
        <f>'תקציב החברה לפיתוח 2020'!U44</f>
        <v>0</v>
      </c>
      <c r="V35" s="199">
        <f>'תקציב החברה לפיתוח 2020'!V44</f>
        <v>0</v>
      </c>
      <c r="W35" s="199">
        <f>'תקציב החברה לפיתוח 2020'!W44</f>
        <v>0</v>
      </c>
      <c r="X35" s="199">
        <f>'תקציב החברה לפיתוח 2020'!X44</f>
        <v>0</v>
      </c>
      <c r="Y35" s="199">
        <f>'תקציב החברה לפיתוח 2020'!Y44</f>
        <v>0</v>
      </c>
      <c r="Z35" s="199">
        <f>'תקציב החברה לפיתוח 2020'!Z44</f>
        <v>0</v>
      </c>
      <c r="AA35" s="341" t="str">
        <f>'תקציב החברה לפיתוח 2020'!AA44</f>
        <v>הסדרת ניקוז בצומת הרחובות. מימון מ. התחבורה. חן סופיים.</v>
      </c>
      <c r="AB35" s="707">
        <f>'תקציב החברה לפיתוח 2020'!AB44</f>
        <v>742000</v>
      </c>
      <c r="AE35" s="624"/>
      <c r="AF35" s="627"/>
      <c r="AG35" s="5"/>
      <c r="AH35" s="5"/>
      <c r="AI35" s="5"/>
      <c r="AJ35" s="5"/>
      <c r="AK35" s="5"/>
      <c r="AL35" s="5"/>
      <c r="AM35" s="5"/>
    </row>
    <row r="36" spans="1:39" ht="27.6">
      <c r="A36" s="198">
        <f t="shared" si="2"/>
        <v>30</v>
      </c>
      <c r="B36" s="707">
        <f>'תקציב החברה לפיתוח 2020'!B48</f>
        <v>1904</v>
      </c>
      <c r="C36" s="341" t="str">
        <f>'תקציב החברה לפיתוח 2020'!C48</f>
        <v>קו ניקוז שער הים</v>
      </c>
      <c r="D36" s="199">
        <f>'תקציב החברה לפיתוח 2020'!D48</f>
        <v>5700000</v>
      </c>
      <c r="E36" s="199">
        <f>'תקציב החברה לפיתוח 2020'!E48</f>
        <v>5700000</v>
      </c>
      <c r="F36" s="199">
        <f>'תקציב החברה לפיתוח 2020'!F48</f>
        <v>0</v>
      </c>
      <c r="G36" s="199">
        <f>'תקציב החברה לפיתוח 2020'!G48</f>
        <v>3000000</v>
      </c>
      <c r="H36" s="199">
        <f>'תקציב החברה לפיתוח 2020'!H48</f>
        <v>753917</v>
      </c>
      <c r="I36" s="199">
        <f>'תקציב החברה לפיתוח 2020'!I48</f>
        <v>0</v>
      </c>
      <c r="J36" s="199">
        <f>'תקציב החברה לפיתוח 2020'!J48</f>
        <v>1804833.77</v>
      </c>
      <c r="K36" s="199">
        <f>'תקציב החברה לפיתוח 2020'!K48</f>
        <v>1804833.77</v>
      </c>
      <c r="L36" s="199">
        <f>'תקציב החברה לפיתוח 2020'!L48</f>
        <v>2558750.77</v>
      </c>
      <c r="M36" s="199">
        <f>'תקציב החברה לפיתוח 2020'!M48</f>
        <v>3141249.23</v>
      </c>
      <c r="N36" s="199">
        <f>'תקציב החברה לפיתוח 2020'!N48</f>
        <v>0</v>
      </c>
      <c r="O36" s="199">
        <f>'תקציב החברה לפיתוח 2020'!O48</f>
        <v>0</v>
      </c>
      <c r="P36" s="199">
        <f>'תקציב החברה לפיתוח 2020'!P48</f>
        <v>441249.23</v>
      </c>
      <c r="Q36" s="199">
        <f>'תקציב החברה לפיתוח 2020'!Q48</f>
        <v>2700000</v>
      </c>
      <c r="R36" s="199">
        <f>'תקציב החברה לפיתוח 2020'!R48</f>
        <v>0</v>
      </c>
      <c r="S36" s="199">
        <f>'תקציב החברה לפיתוח 2020'!S48</f>
        <v>2700000</v>
      </c>
      <c r="T36" s="199">
        <f>'תקציב החברה לפיתוח 2020'!T48</f>
        <v>0</v>
      </c>
      <c r="U36" s="199">
        <f>'תקציב החברה לפיתוח 2020'!U48</f>
        <v>0</v>
      </c>
      <c r="V36" s="199">
        <f>'תקציב החברה לפיתוח 2020'!V48</f>
        <v>0</v>
      </c>
      <c r="W36" s="199">
        <f>'תקציב החברה לפיתוח 2020'!W48</f>
        <v>0</v>
      </c>
      <c r="X36" s="199">
        <f>'תקציב החברה לפיתוח 2020'!X48</f>
        <v>0</v>
      </c>
      <c r="Y36" s="199">
        <f>'תקציב החברה לפיתוח 2020'!Y48</f>
        <v>0</v>
      </c>
      <c r="Z36" s="199">
        <f>'תקציב החברה לפיתוח 2020'!Z48</f>
        <v>0</v>
      </c>
      <c r="AA36" s="341" t="str">
        <f>'תקציב החברה לפיתוח 2020'!AA48</f>
        <v xml:space="preserve">עבודות פיתוח כולל קו ניקוז רחוב שער הים. מימון תאגיד המים. </v>
      </c>
      <c r="AB36" s="707">
        <f>'תקציב החברה לפיתוח 2020'!AB48</f>
        <v>742000</v>
      </c>
      <c r="AE36" s="624"/>
      <c r="AF36" s="627"/>
      <c r="AI36" s="202"/>
      <c r="AJ36" s="202"/>
      <c r="AK36" s="202"/>
      <c r="AL36" s="202"/>
      <c r="AM36" s="202"/>
    </row>
    <row r="37" spans="1:39" s="202" customFormat="1" ht="27.6">
      <c r="A37" s="198">
        <f t="shared" si="2"/>
        <v>31</v>
      </c>
      <c r="B37" s="707">
        <f>'תקציב החברה לפיתוח 2020'!B51</f>
        <v>1953</v>
      </c>
      <c r="C37" s="341" t="str">
        <f>'תקציב החברה לפיתוח 2020'!C51</f>
        <v>השקעה בתשתיות והרחבת  חניונים</v>
      </c>
      <c r="D37" s="199">
        <f>'תקציב החברה לפיתוח 2020'!D51</f>
        <v>5300000</v>
      </c>
      <c r="E37" s="199">
        <f>'תקציב החברה לפיתוח 2020'!E51</f>
        <v>5300000</v>
      </c>
      <c r="F37" s="199">
        <f>'תקציב החברה לפיתוח 2020'!F51</f>
        <v>0</v>
      </c>
      <c r="G37" s="199">
        <f>'תקציב החברה לפיתוח 2020'!G51</f>
        <v>5300000</v>
      </c>
      <c r="H37" s="199">
        <f>'תקציב החברה לפיתוח 2020'!H51</f>
        <v>2899791</v>
      </c>
      <c r="I37" s="199">
        <f>'תקציב החברה לפיתוח 2020'!I51</f>
        <v>0</v>
      </c>
      <c r="J37" s="199">
        <f>'תקציב החברה לפיתוח 2020'!J51</f>
        <v>468927.57</v>
      </c>
      <c r="K37" s="199">
        <f>'תקציב החברה לפיתוח 2020'!K51</f>
        <v>468927.57</v>
      </c>
      <c r="L37" s="199">
        <f>'תקציב החברה לפיתוח 2020'!L51</f>
        <v>3368718.57</v>
      </c>
      <c r="M37" s="199">
        <f>'תקציב החברה לפיתוח 2020'!M51</f>
        <v>1931281.4300000002</v>
      </c>
      <c r="N37" s="199">
        <f>'תקציב החברה לפיתוח 2020'!N51</f>
        <v>0</v>
      </c>
      <c r="O37" s="199">
        <f>'תקציב החברה לפיתוח 2020'!O51</f>
        <v>0</v>
      </c>
      <c r="P37" s="199">
        <f>'תקציב החברה לפיתוח 2020'!P51</f>
        <v>1931281.4300000002</v>
      </c>
      <c r="Q37" s="199">
        <f>'תקציב החברה לפיתוח 2020'!Q51</f>
        <v>0</v>
      </c>
      <c r="R37" s="199">
        <f>'תקציב החברה לפיתוח 2020'!R51</f>
        <v>0</v>
      </c>
      <c r="S37" s="199">
        <f>'תקציב החברה לפיתוח 2020'!S51</f>
        <v>0</v>
      </c>
      <c r="T37" s="199">
        <f>'תקציב החברה לפיתוח 2020'!T51</f>
        <v>0</v>
      </c>
      <c r="U37" s="199">
        <f>'תקציב החברה לפיתוח 2020'!U51</f>
        <v>0</v>
      </c>
      <c r="V37" s="199">
        <f>'תקציב החברה לפיתוח 2020'!V51</f>
        <v>0</v>
      </c>
      <c r="W37" s="199">
        <f>'תקציב החברה לפיתוח 2020'!W51</f>
        <v>0</v>
      </c>
      <c r="X37" s="199">
        <f>'תקציב החברה לפיתוח 2020'!X51</f>
        <v>0</v>
      </c>
      <c r="Y37" s="199">
        <f>'תקציב החברה לפיתוח 2020'!Y51</f>
        <v>0</v>
      </c>
      <c r="Z37" s="199">
        <f>'תקציב החברה לפיתוח 2020'!Z51</f>
        <v>0</v>
      </c>
      <c r="AA37" s="341" t="str">
        <f>'תקציב החברה לפיתוח 2020'!AA51</f>
        <v>השקעה בתשתיות ובמערכות מיכון בחניונים ברחבי העיר.</v>
      </c>
      <c r="AB37" s="707">
        <f>'תקציב החברה לפיתוח 2020'!AB51</f>
        <v>742000</v>
      </c>
      <c r="AC37" s="191"/>
      <c r="AD37" s="191"/>
      <c r="AE37" s="624"/>
      <c r="AF37" s="627"/>
      <c r="AG37" s="331"/>
      <c r="AH37" s="331"/>
      <c r="AI37" s="191"/>
      <c r="AJ37" s="191"/>
      <c r="AK37" s="191"/>
      <c r="AL37" s="191"/>
      <c r="AM37" s="191"/>
    </row>
    <row r="38" spans="1:39" ht="27.6">
      <c r="A38" s="198">
        <f t="shared" si="2"/>
        <v>32</v>
      </c>
      <c r="B38" s="707">
        <f>'תקציב החברה לפיתוח 2020'!B52</f>
        <v>1954</v>
      </c>
      <c r="C38" s="341" t="str">
        <f>'תקציב החברה לפיתוח 2020'!C52</f>
        <v xml:space="preserve">חניון המוסכים-תכנון </v>
      </c>
      <c r="D38" s="199">
        <f>'תקציב החברה לפיתוח 2020'!D52</f>
        <v>2000000</v>
      </c>
      <c r="E38" s="199">
        <f>'תקציב החברה לפיתוח 2020'!E52</f>
        <v>2000000</v>
      </c>
      <c r="F38" s="199">
        <f>'תקציב החברה לפיתוח 2020'!F52</f>
        <v>0</v>
      </c>
      <c r="G38" s="199">
        <f>'תקציב החברה לפיתוח 2020'!G52</f>
        <v>2000000</v>
      </c>
      <c r="H38" s="199">
        <f>'תקציב החברה לפיתוח 2020'!H52</f>
        <v>495628</v>
      </c>
      <c r="I38" s="199">
        <f>'תקציב החברה לפיתוח 2020'!I52</f>
        <v>0</v>
      </c>
      <c r="J38" s="199">
        <f>'תקציב החברה לפיתוח 2020'!J52</f>
        <v>1388926.78</v>
      </c>
      <c r="K38" s="199">
        <f>'תקציב החברה לפיתוח 2020'!K52</f>
        <v>1388926.78</v>
      </c>
      <c r="L38" s="199">
        <f>'תקציב החברה לפיתוח 2020'!L52</f>
        <v>1884554.78</v>
      </c>
      <c r="M38" s="199">
        <f>'תקציב החברה לפיתוח 2020'!M52</f>
        <v>115445.21999999997</v>
      </c>
      <c r="N38" s="199">
        <f>'תקציב החברה לפיתוח 2020'!N52</f>
        <v>0</v>
      </c>
      <c r="O38" s="199">
        <f>'תקציב החברה לפיתוח 2020'!O52</f>
        <v>0</v>
      </c>
      <c r="P38" s="199">
        <f>'תקציב החברה לפיתוח 2020'!P52</f>
        <v>115445.21999999997</v>
      </c>
      <c r="Q38" s="199">
        <f>'תקציב החברה לפיתוח 2020'!Q52</f>
        <v>0</v>
      </c>
      <c r="R38" s="199">
        <f>'תקציב החברה לפיתוח 2020'!R52</f>
        <v>0</v>
      </c>
      <c r="S38" s="199">
        <f>'תקציב החברה לפיתוח 2020'!S52</f>
        <v>0</v>
      </c>
      <c r="T38" s="199">
        <f>'תקציב החברה לפיתוח 2020'!T52</f>
        <v>0</v>
      </c>
      <c r="U38" s="199">
        <f>'תקציב החברה לפיתוח 2020'!U52</f>
        <v>0</v>
      </c>
      <c r="V38" s="199">
        <f>'תקציב החברה לפיתוח 2020'!V52</f>
        <v>0</v>
      </c>
      <c r="W38" s="199">
        <f>'תקציב החברה לפיתוח 2020'!W52</f>
        <v>0</v>
      </c>
      <c r="X38" s="199">
        <f>'תקציב החברה לפיתוח 2020'!X52</f>
        <v>0</v>
      </c>
      <c r="Y38" s="199">
        <f>'תקציב החברה לפיתוח 2020'!Y52</f>
        <v>0</v>
      </c>
      <c r="Z38" s="199">
        <f>'תקציב החברה לפיתוח 2020'!Z52</f>
        <v>0</v>
      </c>
      <c r="AA38" s="341" t="str">
        <f>'תקציב החברה לפיתוח 2020'!AA52</f>
        <v>המשך תכנון חניון ברח' מדינת היהודים.</v>
      </c>
      <c r="AB38" s="707">
        <f>'תקציב החברה לפיתוח 2020'!AB52</f>
        <v>742000</v>
      </c>
      <c r="AE38" s="624"/>
      <c r="AF38" s="627"/>
      <c r="AI38" s="202"/>
      <c r="AJ38" s="202"/>
      <c r="AK38" s="202"/>
      <c r="AL38" s="202"/>
      <c r="AM38" s="202"/>
    </row>
    <row r="39" spans="1:39" s="202" customFormat="1">
      <c r="A39" s="198">
        <f t="shared" si="2"/>
        <v>33</v>
      </c>
      <c r="B39" s="707">
        <f>'תקציב החברה לפיתוח 2020'!B53</f>
        <v>1955</v>
      </c>
      <c r="C39" s="341" t="str">
        <f>'תקציב החברה לפיתוח 2020'!C53</f>
        <v>חניון המדע תכנון</v>
      </c>
      <c r="D39" s="199">
        <f>'תקציב החברה לפיתוח 2020'!D53</f>
        <v>250000</v>
      </c>
      <c r="E39" s="199">
        <f>'תקציב החברה לפיתוח 2020'!E53</f>
        <v>250000</v>
      </c>
      <c r="F39" s="199">
        <f>'תקציב החברה לפיתוח 2020'!F53</f>
        <v>0</v>
      </c>
      <c r="G39" s="199">
        <f>'תקציב החברה לפיתוח 2020'!G53</f>
        <v>250000</v>
      </c>
      <c r="H39" s="199">
        <f>'תקציב החברה לפיתוח 2020'!H53</f>
        <v>9922</v>
      </c>
      <c r="I39" s="199">
        <f>'תקציב החברה לפיתוח 2020'!I53</f>
        <v>0</v>
      </c>
      <c r="J39" s="199">
        <f>'תקציב החברה לפיתוח 2020'!J53</f>
        <v>95495.4</v>
      </c>
      <c r="K39" s="199">
        <f>'תקציב החברה לפיתוח 2020'!K53</f>
        <v>95495.4</v>
      </c>
      <c r="L39" s="199">
        <f>'תקציב החברה לפיתוח 2020'!L53</f>
        <v>105417.4</v>
      </c>
      <c r="M39" s="199">
        <f>'תקציב החברה לפיתוח 2020'!M53</f>
        <v>144582.6</v>
      </c>
      <c r="N39" s="199">
        <f>'תקציב החברה לפיתוח 2020'!N53</f>
        <v>0</v>
      </c>
      <c r="O39" s="199">
        <f>'תקציב החברה לפיתוח 2020'!O53</f>
        <v>0</v>
      </c>
      <c r="P39" s="199">
        <f>'תקציב החברה לפיתוח 2020'!P53</f>
        <v>144582.6</v>
      </c>
      <c r="Q39" s="199">
        <f>'תקציב החברה לפיתוח 2020'!Q53</f>
        <v>0</v>
      </c>
      <c r="R39" s="199">
        <f>'תקציב החברה לפיתוח 2020'!R53</f>
        <v>0</v>
      </c>
      <c r="S39" s="199">
        <f>'תקציב החברה לפיתוח 2020'!S53</f>
        <v>0</v>
      </c>
      <c r="T39" s="199">
        <f>'תקציב החברה לפיתוח 2020'!T53</f>
        <v>0</v>
      </c>
      <c r="U39" s="199">
        <f>'תקציב החברה לפיתוח 2020'!U53</f>
        <v>0</v>
      </c>
      <c r="V39" s="199">
        <f>'תקציב החברה לפיתוח 2020'!V53</f>
        <v>0</v>
      </c>
      <c r="W39" s="199">
        <f>'תקציב החברה לפיתוח 2020'!W53</f>
        <v>0</v>
      </c>
      <c r="X39" s="199">
        <f>'תקציב החברה לפיתוח 2020'!X53</f>
        <v>0</v>
      </c>
      <c r="Y39" s="199">
        <f>'תקציב החברה לפיתוח 2020'!Y53</f>
        <v>0</v>
      </c>
      <c r="Z39" s="199">
        <f>'תקציב החברה לפיתוח 2020'!Z53</f>
        <v>0</v>
      </c>
      <c r="AA39" s="341" t="str">
        <f>'תקציב החברה לפיתוח 2020'!AA53</f>
        <v>המשך תכנון חניון ברח' המדע.</v>
      </c>
      <c r="AB39" s="707">
        <f>'תקציב החברה לפיתוח 2020'!AB53</f>
        <v>742000</v>
      </c>
      <c r="AC39" s="191"/>
      <c r="AD39" s="191"/>
      <c r="AE39" s="624"/>
      <c r="AF39" s="627"/>
      <c r="AG39" s="331"/>
      <c r="AH39" s="331"/>
      <c r="AI39" s="191"/>
      <c r="AJ39" s="191"/>
      <c r="AK39" s="191"/>
      <c r="AL39" s="191"/>
      <c r="AM39" s="191"/>
    </row>
    <row r="40" spans="1:39" s="202" customFormat="1" ht="27.6">
      <c r="A40" s="198">
        <f t="shared" si="2"/>
        <v>34</v>
      </c>
      <c r="B40" s="707">
        <f>'תקציב החברה לפיתוח 2020'!B58</f>
        <v>2002</v>
      </c>
      <c r="C40" s="341" t="str">
        <f>'תקציב החברה לפיתוח 2020'!C58</f>
        <v>הכשרת חניון העוגן</v>
      </c>
      <c r="D40" s="199">
        <f>'תקציב החברה לפיתוח 2020'!D58</f>
        <v>1500000</v>
      </c>
      <c r="E40" s="199">
        <f>'תקציב החברה לפיתוח 2020'!E58</f>
        <v>1500000</v>
      </c>
      <c r="F40" s="199">
        <f>'תקציב החברה לפיתוח 2020'!F58</f>
        <v>0</v>
      </c>
      <c r="G40" s="199">
        <f>'תקציב החברה לפיתוח 2020'!G58</f>
        <v>865000</v>
      </c>
      <c r="H40" s="199">
        <f>'תקציב החברה לפיתוח 2020'!H58</f>
        <v>131418</v>
      </c>
      <c r="I40" s="199">
        <f>'תקציב החברה לפיתוח 2020'!I58</f>
        <v>0</v>
      </c>
      <c r="J40" s="199">
        <f>'תקציב החברה לפיתוח 2020'!J58</f>
        <v>559648.74</v>
      </c>
      <c r="K40" s="199">
        <f>'תקציב החברה לפיתוח 2020'!K58</f>
        <v>559648.74</v>
      </c>
      <c r="L40" s="199">
        <f>'תקציב החברה לפיתוח 2020'!L58</f>
        <v>691066.74</v>
      </c>
      <c r="M40" s="199">
        <f>'תקציב החברה לפיתוח 2020'!M58</f>
        <v>808933.26</v>
      </c>
      <c r="N40" s="199">
        <f>'תקציב החברה לפיתוח 2020'!N58</f>
        <v>0</v>
      </c>
      <c r="O40" s="199">
        <f>'תקציב החברה לפיתוח 2020'!O58</f>
        <v>0</v>
      </c>
      <c r="P40" s="199">
        <f>'תקציב החברה לפיתוח 2020'!P58</f>
        <v>173933.26</v>
      </c>
      <c r="Q40" s="199">
        <f>'תקציב החברה לפיתוח 2020'!Q58</f>
        <v>635000</v>
      </c>
      <c r="R40" s="199">
        <f>'תקציב החברה לפיתוח 2020'!R58</f>
        <v>0</v>
      </c>
      <c r="S40" s="199">
        <f>'תקציב החברה לפיתוח 2020'!S58</f>
        <v>635000</v>
      </c>
      <c r="T40" s="199">
        <f>'תקציב החברה לפיתוח 2020'!T58</f>
        <v>0</v>
      </c>
      <c r="U40" s="199">
        <f>'תקציב החברה לפיתוח 2020'!U58</f>
        <v>0</v>
      </c>
      <c r="V40" s="199">
        <f>'תקציב החברה לפיתוח 2020'!V58</f>
        <v>0</v>
      </c>
      <c r="W40" s="199">
        <f>'תקציב החברה לפיתוח 2020'!W58</f>
        <v>0</v>
      </c>
      <c r="X40" s="199">
        <f>'תקציב החברה לפיתוח 2020'!X58</f>
        <v>0</v>
      </c>
      <c r="Y40" s="199">
        <f>'תקציב החברה לפיתוח 2020'!Y58</f>
        <v>0</v>
      </c>
      <c r="Z40" s="199">
        <f>'תקציב החברה לפיתוח 2020'!Z58</f>
        <v>0</v>
      </c>
      <c r="AA40" s="341" t="str">
        <f>'תקציב החברה לפיתוח 2020'!AA58</f>
        <v>הכשרת חניון העוגן במרינה לחניון בתשלום. ממתין להיתר.</v>
      </c>
      <c r="AB40" s="707">
        <f>'תקציב החברה לפיתוח 2020'!AB58</f>
        <v>742000</v>
      </c>
      <c r="AC40" s="191"/>
      <c r="AD40" s="191"/>
      <c r="AE40" s="624"/>
      <c r="AF40" s="627"/>
      <c r="AG40" s="331"/>
      <c r="AH40" s="331"/>
      <c r="AI40" s="209"/>
      <c r="AJ40" s="209"/>
      <c r="AK40" s="209"/>
      <c r="AL40" s="209"/>
      <c r="AM40" s="209"/>
    </row>
    <row r="41" spans="1:39" s="202" customFormat="1">
      <c r="A41" s="198">
        <f t="shared" si="2"/>
        <v>35</v>
      </c>
      <c r="B41" s="707">
        <f>'תקציב החברה לפיתוח 2020'!B59</f>
        <v>2008</v>
      </c>
      <c r="C41" s="341" t="str">
        <f>'תקציב החברה לפיתוח 2020'!C59</f>
        <v>שדרות ה - 93 הבאר</v>
      </c>
      <c r="D41" s="199">
        <f>'תקציב החברה לפיתוח 2020'!D59</f>
        <v>2500000</v>
      </c>
      <c r="E41" s="199">
        <f>'תקציב החברה לפיתוח 2020'!E59</f>
        <v>2500000</v>
      </c>
      <c r="F41" s="199">
        <f>'תקציב החברה לפיתוח 2020'!F59</f>
        <v>0</v>
      </c>
      <c r="G41" s="199">
        <f>'תקציב החברה לפיתוח 2020'!G59</f>
        <v>0</v>
      </c>
      <c r="H41" s="199">
        <f>'תקציב החברה לפיתוח 2020'!H59</f>
        <v>0</v>
      </c>
      <c r="I41" s="199">
        <f>'תקציב החברה לפיתוח 2020'!I59</f>
        <v>0</v>
      </c>
      <c r="J41" s="199">
        <f>'תקציב החברה לפיתוח 2020'!J59</f>
        <v>0</v>
      </c>
      <c r="K41" s="199">
        <f>'תקציב החברה לפיתוח 2020'!K59</f>
        <v>0</v>
      </c>
      <c r="L41" s="199">
        <f>'תקציב החברה לפיתוח 2020'!L59</f>
        <v>0</v>
      </c>
      <c r="M41" s="199">
        <f>'תקציב החברה לפיתוח 2020'!M59</f>
        <v>0</v>
      </c>
      <c r="N41" s="199">
        <f>'תקציב החברה לפיתוח 2020'!N59</f>
        <v>0</v>
      </c>
      <c r="O41" s="199">
        <f>'תקציב החברה לפיתוח 2020'!O59</f>
        <v>2500000</v>
      </c>
      <c r="P41" s="199">
        <f>'תקציב החברה לפיתוח 2020'!P59</f>
        <v>0</v>
      </c>
      <c r="Q41" s="199">
        <f>'תקציב החברה לפיתוח 2020'!Q59</f>
        <v>0</v>
      </c>
      <c r="R41" s="199">
        <f>'תקציב החברה לפיתוח 2020'!R59</f>
        <v>0</v>
      </c>
      <c r="S41" s="199">
        <f>'תקציב החברה לפיתוח 2020'!S59</f>
        <v>0</v>
      </c>
      <c r="T41" s="199">
        <f>'תקציב החברה לפיתוח 2020'!T59</f>
        <v>0</v>
      </c>
      <c r="U41" s="199">
        <f>'תקציב החברה לפיתוח 2020'!U59</f>
        <v>0</v>
      </c>
      <c r="V41" s="199">
        <f>'תקציב החברה לפיתוח 2020'!V59</f>
        <v>0</v>
      </c>
      <c r="W41" s="199">
        <f>'תקציב החברה לפיתוח 2020'!W59</f>
        <v>0</v>
      </c>
      <c r="X41" s="199">
        <f>'תקציב החברה לפיתוח 2020'!X59</f>
        <v>0</v>
      </c>
      <c r="Y41" s="199">
        <f>'תקציב החברה לפיתוח 2020'!Y59</f>
        <v>0</v>
      </c>
      <c r="Z41" s="199">
        <f>'תקציב החברה לפיתוח 2020'!Z59</f>
        <v>0</v>
      </c>
      <c r="AA41" s="341">
        <f>'תקציב החברה לפיתוח 2020'!AA59</f>
        <v>0</v>
      </c>
      <c r="AB41" s="707">
        <f>'תקציב החברה לפיתוח 2020'!AB59</f>
        <v>742000</v>
      </c>
      <c r="AC41" s="191"/>
      <c r="AD41" s="191"/>
      <c r="AE41" s="624"/>
      <c r="AF41" s="627"/>
      <c r="AG41" s="331"/>
      <c r="AH41" s="331"/>
      <c r="AI41" s="209"/>
      <c r="AJ41" s="209"/>
      <c r="AK41" s="209"/>
      <c r="AL41" s="209"/>
      <c r="AM41" s="209"/>
    </row>
    <row r="42" spans="1:39" ht="27.6">
      <c r="A42" s="198">
        <f t="shared" si="2"/>
        <v>36</v>
      </c>
      <c r="B42" s="707">
        <f>'תקציב החברה לפיתוח 2020'!B60</f>
        <v>2010</v>
      </c>
      <c r="C42" s="341" t="str">
        <f>'תקציב החברה לפיתוח 2020'!C60</f>
        <v>יהודה הנשיא רבי עקיבא רזיאל</v>
      </c>
      <c r="D42" s="199">
        <f>'תקציב החברה לפיתוח 2020'!D60</f>
        <v>8000000</v>
      </c>
      <c r="E42" s="199">
        <f>'תקציב החברה לפיתוח 2020'!E60</f>
        <v>8000000</v>
      </c>
      <c r="F42" s="199">
        <f>'תקציב החברה לפיתוח 2020'!F60</f>
        <v>0</v>
      </c>
      <c r="G42" s="199">
        <f>'תקציב החברה לפיתוח 2020'!G60</f>
        <v>500000</v>
      </c>
      <c r="H42" s="199">
        <f>'תקציב החברה לפיתוח 2020'!H60</f>
        <v>0</v>
      </c>
      <c r="I42" s="199">
        <f>'תקציב החברה לפיתוח 2020'!I60</f>
        <v>0</v>
      </c>
      <c r="J42" s="199">
        <f>'תקציב החברה לפיתוח 2020'!J60</f>
        <v>0</v>
      </c>
      <c r="K42" s="199">
        <f>'תקציב החברה לפיתוח 2020'!K60</f>
        <v>0</v>
      </c>
      <c r="L42" s="199">
        <f>'תקציב החברה לפיתוח 2020'!L60</f>
        <v>0</v>
      </c>
      <c r="M42" s="199">
        <f>'תקציב החברה לפיתוח 2020'!M60</f>
        <v>500000</v>
      </c>
      <c r="N42" s="199">
        <f>'תקציב החברה לפיתוח 2020'!N60</f>
        <v>0</v>
      </c>
      <c r="O42" s="199">
        <f>'תקציב החברה לפיתוח 2020'!O60</f>
        <v>7500000</v>
      </c>
      <c r="P42" s="199">
        <f>'תקציב החברה לפיתוח 2020'!P60</f>
        <v>500000</v>
      </c>
      <c r="Q42" s="199">
        <f>'תקציב החברה לפיתוח 2020'!Q60</f>
        <v>0</v>
      </c>
      <c r="R42" s="199">
        <f>'תקציב החברה לפיתוח 2020'!R60</f>
        <v>0</v>
      </c>
      <c r="S42" s="199">
        <f>'תקציב החברה לפיתוח 2020'!S60</f>
        <v>0</v>
      </c>
      <c r="T42" s="199">
        <f>'תקציב החברה לפיתוח 2020'!T60</f>
        <v>0</v>
      </c>
      <c r="U42" s="199">
        <f>'תקציב החברה לפיתוח 2020'!U60</f>
        <v>0</v>
      </c>
      <c r="V42" s="199">
        <f>'תקציב החברה לפיתוח 2020'!V60</f>
        <v>0</v>
      </c>
      <c r="W42" s="199">
        <f>'תקציב החברה לפיתוח 2020'!W60</f>
        <v>0</v>
      </c>
      <c r="X42" s="199">
        <f>'תקציב החברה לפיתוח 2020'!X60</f>
        <v>0</v>
      </c>
      <c r="Y42" s="199">
        <f>'תקציב החברה לפיתוח 2020'!Y60</f>
        <v>0</v>
      </c>
      <c r="Z42" s="199">
        <f>'תקציב החברה לפיתוח 2020'!Z60</f>
        <v>0</v>
      </c>
      <c r="AA42" s="341" t="str">
        <f>'תקציב החברה לפיתוח 2020'!AA60</f>
        <v xml:space="preserve">השלמת תכנון וביצוע פיתוח קטע הרחוב מרבי עקיבא עד דוד רזיאל. </v>
      </c>
      <c r="AB42" s="707">
        <f>'תקציב החברה לפיתוח 2020'!AB60</f>
        <v>742000</v>
      </c>
      <c r="AE42" s="624"/>
      <c r="AF42" s="627"/>
      <c r="AG42" s="5"/>
      <c r="AH42" s="5"/>
      <c r="AI42" s="5"/>
      <c r="AJ42" s="5"/>
      <c r="AK42" s="5"/>
      <c r="AL42" s="5"/>
      <c r="AM42" s="5"/>
    </row>
    <row r="43" spans="1:39" ht="27.6">
      <c r="A43" s="198">
        <f t="shared" si="2"/>
        <v>37</v>
      </c>
      <c r="B43" s="707">
        <f>'תקציב החברה לפיתוח 2020'!B61</f>
        <v>2011</v>
      </c>
      <c r="C43" s="341" t="str">
        <f>'תקציב החברה לפיתוח 2020'!C61</f>
        <v>תכנון חניון מרינה לי</v>
      </c>
      <c r="D43" s="199">
        <f>'תקציב החברה לפיתוח 2020'!D61</f>
        <v>80000000</v>
      </c>
      <c r="E43" s="199">
        <f>'תקציב החברה לפיתוח 2020'!E61</f>
        <v>80000000</v>
      </c>
      <c r="F43" s="199">
        <f>'תקציב החברה לפיתוח 2020'!F61</f>
        <v>0</v>
      </c>
      <c r="G43" s="199">
        <f>'תקציב החברה לפיתוח 2020'!G61</f>
        <v>0</v>
      </c>
      <c r="H43" s="199">
        <f>'תקציב החברה לפיתוח 2020'!H61</f>
        <v>0</v>
      </c>
      <c r="I43" s="199">
        <f>'תקציב החברה לפיתוח 2020'!I61</f>
        <v>0</v>
      </c>
      <c r="J43" s="199">
        <f>'תקציב החברה לפיתוח 2020'!J61</f>
        <v>0</v>
      </c>
      <c r="K43" s="199">
        <f>'תקציב החברה לפיתוח 2020'!K61</f>
        <v>0</v>
      </c>
      <c r="L43" s="199">
        <f>'תקציב החברה לפיתוח 2020'!L61</f>
        <v>0</v>
      </c>
      <c r="M43" s="199">
        <f>'תקציב החברה לפיתוח 2020'!M61</f>
        <v>0</v>
      </c>
      <c r="N43" s="199">
        <f>'תקציב החברה לפיתוח 2020'!N61</f>
        <v>5000000</v>
      </c>
      <c r="O43" s="199">
        <f>'תקציב החברה לפיתוח 2020'!O61</f>
        <v>75000000</v>
      </c>
      <c r="P43" s="199">
        <f>'תקציב החברה לפיתוח 2020'!P61</f>
        <v>0</v>
      </c>
      <c r="Q43" s="199">
        <f>'תקציב החברה לפיתוח 2020'!Q61</f>
        <v>0</v>
      </c>
      <c r="R43" s="199">
        <f>'תקציב החברה לפיתוח 2020'!R61</f>
        <v>0</v>
      </c>
      <c r="S43" s="199">
        <f>'תקציב החברה לפיתוח 2020'!S61</f>
        <v>0</v>
      </c>
      <c r="T43" s="199">
        <f>'תקציב החברה לפיתוח 2020'!T61</f>
        <v>0</v>
      </c>
      <c r="U43" s="199">
        <f>'תקציב החברה לפיתוח 2020'!U61</f>
        <v>5000000</v>
      </c>
      <c r="V43" s="199">
        <f>'תקציב החברה לפיתוח 2020'!V61</f>
        <v>5000000</v>
      </c>
      <c r="W43" s="199">
        <f>'תקציב החברה לפיתוח 2020'!W61</f>
        <v>0</v>
      </c>
      <c r="X43" s="199">
        <f>'תקציב החברה לפיתוח 2020'!X61</f>
        <v>0</v>
      </c>
      <c r="Y43" s="199">
        <f>'תקציב החברה לפיתוח 2020'!Y61</f>
        <v>0</v>
      </c>
      <c r="Z43" s="199">
        <f>'תקציב החברה לפיתוח 2020'!Z61</f>
        <v>0</v>
      </c>
      <c r="AA43" s="341" t="str">
        <f>'תקציב החברה לפיתוח 2020'!AA61</f>
        <v xml:space="preserve">תכנון החניון מתחת לשצ"פ במתחם המרינה לי. </v>
      </c>
      <c r="AB43" s="707">
        <f>'תקציב החברה לפיתוח 2020'!AB61</f>
        <v>742000</v>
      </c>
      <c r="AE43" s="624"/>
      <c r="AF43" s="627"/>
      <c r="AG43" s="5"/>
      <c r="AH43" s="5"/>
      <c r="AI43" s="5"/>
      <c r="AJ43" s="5"/>
      <c r="AK43" s="5"/>
      <c r="AL43" s="5"/>
      <c r="AM43" s="5"/>
    </row>
    <row r="44" spans="1:39" ht="27.6">
      <c r="A44" s="198">
        <f t="shared" si="2"/>
        <v>38</v>
      </c>
      <c r="B44" s="707">
        <f>'תקציב החברה לפיתוח 2020'!B65</f>
        <v>2018</v>
      </c>
      <c r="C44" s="341" t="str">
        <f>'תקציב החברה לפיתוח 2020'!C65</f>
        <v>החלפת עמודי תאורה באיזור תעשיה</v>
      </c>
      <c r="D44" s="199">
        <f>'תקציב החברה לפיתוח 2020'!D65</f>
        <v>10000000</v>
      </c>
      <c r="E44" s="199">
        <f>'תקציב החברה לפיתוח 2020'!E65</f>
        <v>10000000</v>
      </c>
      <c r="F44" s="199">
        <f>'תקציב החברה לפיתוח 2020'!F65</f>
        <v>0</v>
      </c>
      <c r="G44" s="199">
        <f>'תקציב החברה לפיתוח 2020'!G65</f>
        <v>3300000</v>
      </c>
      <c r="H44" s="199">
        <f>'תקציב החברה לפיתוח 2020'!H65</f>
        <v>238402</v>
      </c>
      <c r="I44" s="199">
        <f>'תקציב החברה לפיתוח 2020'!I65</f>
        <v>0</v>
      </c>
      <c r="J44" s="199">
        <f>'תקציב החברה לפיתוח 2020'!J65</f>
        <v>1047120.34</v>
      </c>
      <c r="K44" s="199">
        <f>'תקציב החברה לפיתוח 2020'!K65</f>
        <v>1047120.34</v>
      </c>
      <c r="L44" s="199">
        <f>'תקציב החברה לפיתוח 2020'!L65</f>
        <v>1285522.3399999999</v>
      </c>
      <c r="M44" s="199">
        <f>'תקציב החברה לפיתוח 2020'!M65</f>
        <v>3314477.66</v>
      </c>
      <c r="N44" s="199">
        <f>'תקציב החברה לפיתוח 2020'!N65</f>
        <v>2000000</v>
      </c>
      <c r="O44" s="199">
        <f>'תקציב החברה לפיתוח 2020'!O65</f>
        <v>3400000</v>
      </c>
      <c r="P44" s="199">
        <f>'תקציב החברה לפיתוח 2020'!P65</f>
        <v>2014477.6600000001</v>
      </c>
      <c r="Q44" s="199">
        <f>'תקציב החברה לפיתוח 2020'!Q65</f>
        <v>1300000</v>
      </c>
      <c r="R44" s="199">
        <f>'תקציב החברה לפיתוח 2020'!R65</f>
        <v>0</v>
      </c>
      <c r="S44" s="199">
        <f>'תקציב החברה לפיתוח 2020'!S65</f>
        <v>1300000</v>
      </c>
      <c r="T44" s="199">
        <f>'תקציב החברה לפיתוח 2020'!T65</f>
        <v>0</v>
      </c>
      <c r="U44" s="199">
        <f>'תקציב החברה לפיתוח 2020'!U65</f>
        <v>2000000</v>
      </c>
      <c r="V44" s="199">
        <f>'תקציב החברה לפיתוח 2020'!V65</f>
        <v>2000000</v>
      </c>
      <c r="W44" s="199">
        <f>'תקציב החברה לפיתוח 2020'!W65</f>
        <v>0</v>
      </c>
      <c r="X44" s="199">
        <f>'תקציב החברה לפיתוח 2020'!X65</f>
        <v>0</v>
      </c>
      <c r="Y44" s="199">
        <f>'תקציב החברה לפיתוח 2020'!Y65</f>
        <v>0</v>
      </c>
      <c r="Z44" s="199">
        <f>'תקציב החברה לפיתוח 2020'!Z65</f>
        <v>0</v>
      </c>
      <c r="AA44" s="341" t="str">
        <f>'תקציב החברה לפיתוח 2020'!AA65</f>
        <v>מסגרת עבודות של החלפת עמודי תאורה באיזור התעשיה.</v>
      </c>
      <c r="AB44" s="707">
        <f>'תקציב החברה לפיתוח 2020'!AB65</f>
        <v>742000</v>
      </c>
      <c r="AE44" s="624"/>
      <c r="AF44" s="627"/>
    </row>
    <row r="45" spans="1:39" s="5" customFormat="1" ht="27.6">
      <c r="A45" s="198">
        <f t="shared" si="2"/>
        <v>39</v>
      </c>
      <c r="B45" s="707">
        <f>'תקציב החברה לפיתוח 2020'!B66</f>
        <v>2019</v>
      </c>
      <c r="C45" s="341" t="str">
        <f>'תקציב החברה לפיתוח 2020'!C66</f>
        <v>החלפת עמודי מחסום איזור תעשיה</v>
      </c>
      <c r="D45" s="199">
        <f>'תקציב החברה לפיתוח 2020'!D66</f>
        <v>1200000</v>
      </c>
      <c r="E45" s="199">
        <f>'תקציב החברה לפיתוח 2020'!E66</f>
        <v>1200000</v>
      </c>
      <c r="F45" s="199">
        <f>'תקציב החברה לפיתוח 2020'!F66</f>
        <v>0</v>
      </c>
      <c r="G45" s="199">
        <f>'תקציב החברה לפיתוח 2020'!G66</f>
        <v>1200000</v>
      </c>
      <c r="H45" s="199">
        <f>'תקציב החברה לפיתוח 2020'!H66</f>
        <v>586398</v>
      </c>
      <c r="I45" s="199">
        <f>'תקציב החברה לפיתוח 2020'!I66</f>
        <v>0</v>
      </c>
      <c r="J45" s="199">
        <f>'תקציב החברה לפיתוח 2020'!J66</f>
        <v>613598.77</v>
      </c>
      <c r="K45" s="199">
        <f>'תקציב החברה לפיתוח 2020'!K66</f>
        <v>613598.77</v>
      </c>
      <c r="L45" s="199">
        <f>'תקציב החברה לפיתוח 2020'!L66</f>
        <v>1199996.77</v>
      </c>
      <c r="M45" s="199">
        <f>'תקציב החברה לפיתוח 2020'!M66</f>
        <v>3.2299999999813735</v>
      </c>
      <c r="N45" s="199">
        <f>'תקציב החברה לפיתוח 2020'!N66</f>
        <v>0</v>
      </c>
      <c r="O45" s="199">
        <f>'תקציב החברה לפיתוח 2020'!O66</f>
        <v>0</v>
      </c>
      <c r="P45" s="199">
        <f>'תקציב החברה לפיתוח 2020'!P66</f>
        <v>3.2299999999813735</v>
      </c>
      <c r="Q45" s="199">
        <f>'תקציב החברה לפיתוח 2020'!Q66</f>
        <v>0</v>
      </c>
      <c r="R45" s="199">
        <f>'תקציב החברה לפיתוח 2020'!R66</f>
        <v>0</v>
      </c>
      <c r="S45" s="199">
        <f>'תקציב החברה לפיתוח 2020'!S66</f>
        <v>0</v>
      </c>
      <c r="T45" s="199">
        <f>'תקציב החברה לפיתוח 2020'!T66</f>
        <v>0</v>
      </c>
      <c r="U45" s="199">
        <f>'תקציב החברה לפיתוח 2020'!U66</f>
        <v>0</v>
      </c>
      <c r="V45" s="199">
        <f>'תקציב החברה לפיתוח 2020'!V66</f>
        <v>0</v>
      </c>
      <c r="W45" s="199">
        <f>'תקציב החברה לפיתוח 2020'!W66</f>
        <v>0</v>
      </c>
      <c r="X45" s="199">
        <f>'תקציב החברה לפיתוח 2020'!X66</f>
        <v>0</v>
      </c>
      <c r="Y45" s="199">
        <f>'תקציב החברה לפיתוח 2020'!Y66</f>
        <v>0</v>
      </c>
      <c r="Z45" s="199">
        <f>'תקציב החברה לפיתוח 2020'!Z66</f>
        <v>0</v>
      </c>
      <c r="AA45" s="341" t="str">
        <f>'תקציב החברה לפיתוח 2020'!AA66</f>
        <v>מסגרת עבודות של החלפת עמודי מחסום באיזור התעשיה. חן סופיים.</v>
      </c>
      <c r="AB45" s="707">
        <f>'תקציב החברה לפיתוח 2020'!AB66</f>
        <v>742000</v>
      </c>
      <c r="AC45" s="191"/>
      <c r="AD45" s="191"/>
      <c r="AE45" s="624"/>
      <c r="AF45" s="627"/>
      <c r="AG45" s="331"/>
      <c r="AH45" s="331"/>
      <c r="AI45" s="191"/>
      <c r="AJ45" s="191"/>
      <c r="AK45" s="191"/>
      <c r="AL45" s="191"/>
      <c r="AM45" s="191"/>
    </row>
    <row r="46" spans="1:39" ht="27.6">
      <c r="A46" s="198">
        <f t="shared" si="2"/>
        <v>40</v>
      </c>
      <c r="B46" s="707">
        <f>'תקציב החברה לפיתוח 2020'!B79</f>
        <v>2078</v>
      </c>
      <c r="C46" s="341" t="str">
        <f>'תקציב החברה לפיתוח 2020'!C79</f>
        <v>נילי - עבודות פיתוח והסדרת תנועה</v>
      </c>
      <c r="D46" s="199">
        <f>'תקציב החברה לפיתוח 2020'!D79</f>
        <v>4200000</v>
      </c>
      <c r="E46" s="199">
        <f>'תקציב החברה לפיתוח 2020'!E79</f>
        <v>4200000</v>
      </c>
      <c r="F46" s="199">
        <f>'תקציב החברה לפיתוח 2020'!F79</f>
        <v>0</v>
      </c>
      <c r="G46" s="199">
        <f>'תקציב החברה לפיתוח 2020'!G79</f>
        <v>150000</v>
      </c>
      <c r="H46" s="199">
        <f>'תקציב החברה לפיתוח 2020'!H79</f>
        <v>0</v>
      </c>
      <c r="I46" s="199">
        <f>'תקציב החברה לפיתוח 2020'!I79</f>
        <v>0</v>
      </c>
      <c r="J46" s="199">
        <f>'תקציב החברה לפיתוח 2020'!J79</f>
        <v>0</v>
      </c>
      <c r="K46" s="199">
        <f>'תקציב החברה לפיתוח 2020'!K79</f>
        <v>0</v>
      </c>
      <c r="L46" s="199">
        <f>'תקציב החברה לפיתוח 2020'!L79</f>
        <v>0</v>
      </c>
      <c r="M46" s="199">
        <f>'תקציב החברה לפיתוח 2020'!M79</f>
        <v>1960000</v>
      </c>
      <c r="N46" s="199">
        <f>'תקציב החברה לפיתוח 2020'!N79</f>
        <v>0</v>
      </c>
      <c r="O46" s="199">
        <f>'תקציב החברה לפיתוח 2020'!O79</f>
        <v>2240000</v>
      </c>
      <c r="P46" s="199">
        <f>'תקציב החברה לפיתוח 2020'!P79</f>
        <v>150000</v>
      </c>
      <c r="Q46" s="199">
        <f>'תקציב החברה לפיתוח 2020'!Q79</f>
        <v>0</v>
      </c>
      <c r="R46" s="199">
        <f>'תקציב החברה לפיתוח 2020'!R79</f>
        <v>1810000</v>
      </c>
      <c r="S46" s="199">
        <f>'תקציב החברה לפיתוח 2020'!S79</f>
        <v>1810000</v>
      </c>
      <c r="T46" s="199">
        <f>'תקציב החברה לפיתוח 2020'!T79</f>
        <v>0</v>
      </c>
      <c r="U46" s="199">
        <f>'תקציב החברה לפיתוח 2020'!U79</f>
        <v>0</v>
      </c>
      <c r="V46" s="199">
        <f>'תקציב החברה לפיתוח 2020'!V79</f>
        <v>0</v>
      </c>
      <c r="W46" s="199">
        <f>'תקציב החברה לפיתוח 2020'!W79</f>
        <v>0</v>
      </c>
      <c r="X46" s="199">
        <f>'תקציב החברה לפיתוח 2020'!X79</f>
        <v>0</v>
      </c>
      <c r="Y46" s="199">
        <f>'תקציב החברה לפיתוח 2020'!Y79</f>
        <v>0</v>
      </c>
      <c r="Z46" s="199">
        <f>'תקציב החברה לפיתוח 2020'!Z79</f>
        <v>0</v>
      </c>
      <c r="AA46" s="341" t="str">
        <f>'תקציב החברה לפיתוח 2020'!AA79</f>
        <v>לאור החלטת בימ"ש שהעיריה תבצע שינויים גיאומטרים וקיר.</v>
      </c>
      <c r="AB46" s="707">
        <f>'תקציב החברה לפיתוח 2020'!AB79</f>
        <v>742000</v>
      </c>
      <c r="AE46" s="624"/>
      <c r="AF46" s="627"/>
      <c r="AG46" s="5"/>
      <c r="AH46" s="5"/>
      <c r="AI46" s="5"/>
      <c r="AJ46" s="5"/>
      <c r="AK46" s="5"/>
      <c r="AL46" s="5"/>
      <c r="AM46" s="5"/>
    </row>
    <row r="47" spans="1:39" ht="55.2">
      <c r="A47" s="198">
        <f t="shared" si="2"/>
        <v>41</v>
      </c>
      <c r="B47" s="707">
        <f>'תקציב החברה לפיתוח 2020'!B87</f>
        <v>2104</v>
      </c>
      <c r="C47" s="341" t="str">
        <f>'תקציב החברה לפיתוח 2020'!C87</f>
        <v>החלפת קו ניקוז בדוד המלך</v>
      </c>
      <c r="D47" s="199">
        <f>'תקציב החברה לפיתוח 2020'!D87</f>
        <v>3500000</v>
      </c>
      <c r="E47" s="199">
        <f>'תקציב החברה לפיתוח 2020'!E87</f>
        <v>18500000</v>
      </c>
      <c r="F47" s="199">
        <f>'תקציב החברה לפיתוח 2020'!F87</f>
        <v>-15000000</v>
      </c>
      <c r="G47" s="199">
        <f>'תקציב החברה לפיתוח 2020'!G87</f>
        <v>0</v>
      </c>
      <c r="H47" s="199">
        <f>'תקציב החברה לפיתוח 2020'!H87</f>
        <v>0</v>
      </c>
      <c r="I47" s="199">
        <f>'תקציב החברה לפיתוח 2020'!I87</f>
        <v>0</v>
      </c>
      <c r="J47" s="199">
        <f>'תקציב החברה לפיתוח 2020'!J87</f>
        <v>0</v>
      </c>
      <c r="K47" s="199">
        <f>'תקציב החברה לפיתוח 2020'!K87</f>
        <v>0</v>
      </c>
      <c r="L47" s="199">
        <f>'תקציב החברה לפיתוח 2020'!L87</f>
        <v>0</v>
      </c>
      <c r="M47" s="199">
        <f>'תקציב החברה לפיתוח 2020'!M87</f>
        <v>0</v>
      </c>
      <c r="N47" s="199">
        <f>'תקציב החברה לפיתוח 2020'!N87</f>
        <v>2500000</v>
      </c>
      <c r="O47" s="199">
        <f>'תקציב החברה לפיתוח 2020'!O87</f>
        <v>1000000</v>
      </c>
      <c r="P47" s="199">
        <f>'תקציב החברה לפיתוח 2020'!P87</f>
        <v>0</v>
      </c>
      <c r="Q47" s="199">
        <f>'תקציב החברה לפיתוח 2020'!Q87</f>
        <v>0</v>
      </c>
      <c r="R47" s="199">
        <f>'תקציב החברה לפיתוח 2020'!R87</f>
        <v>0</v>
      </c>
      <c r="S47" s="199">
        <f>'תקציב החברה לפיתוח 2020'!S87</f>
        <v>0</v>
      </c>
      <c r="T47" s="199">
        <f>'תקציב החברה לפיתוח 2020'!T87</f>
        <v>0</v>
      </c>
      <c r="U47" s="199">
        <f>'תקציב החברה לפיתוח 2020'!U87</f>
        <v>2500000</v>
      </c>
      <c r="V47" s="199">
        <f>'תקציב החברה לפיתוח 2020'!V87</f>
        <v>2500000</v>
      </c>
      <c r="W47" s="199">
        <f>'תקציב החברה לפיתוח 2020'!W87</f>
        <v>0</v>
      </c>
      <c r="X47" s="199">
        <f>'תקציב החברה לפיתוח 2020'!X87</f>
        <v>0</v>
      </c>
      <c r="Y47" s="199">
        <f>'תקציב החברה לפיתוח 2020'!Y87</f>
        <v>0</v>
      </c>
      <c r="Z47" s="199">
        <f>'תקציב החברה לפיתוח 2020'!Z87</f>
        <v>0</v>
      </c>
      <c r="AA47" s="341" t="str">
        <f>'תקציב החברה לפיתוח 2020'!AA87</f>
        <v>הגדלת קו הניקוז ברח' דוד המלך בקטע קרן היסוד - מדינת היהודים בתאום עם עבודות מים וביוב של תאגיד המים.</v>
      </c>
      <c r="AB47" s="707">
        <f>'תקציב החברה לפיתוח 2020'!AB87</f>
        <v>742000</v>
      </c>
      <c r="AE47" s="624"/>
      <c r="AF47" s="627"/>
      <c r="AG47" s="5"/>
      <c r="AH47" s="5"/>
      <c r="AI47" s="5"/>
      <c r="AJ47" s="5"/>
      <c r="AK47" s="5"/>
      <c r="AL47" s="5"/>
      <c r="AM47" s="5"/>
    </row>
    <row r="48" spans="1:39" ht="41.4">
      <c r="A48" s="198">
        <f t="shared" si="2"/>
        <v>42</v>
      </c>
      <c r="B48" s="707">
        <f>'תקציב החברה לפיתוח 2020'!B88</f>
        <v>2106</v>
      </c>
      <c r="C48" s="341" t="str">
        <f>'תקציב החברה לפיתוח 2020'!C88</f>
        <v>אוצר הצמחים ,הראשונים ואבן אודם</v>
      </c>
      <c r="D48" s="199">
        <f>'תקציב החברה לפיתוח 2020'!D88</f>
        <v>15000000</v>
      </c>
      <c r="E48" s="199">
        <f>'תקציב החברה לפיתוח 2020'!E88</f>
        <v>15000000</v>
      </c>
      <c r="F48" s="199">
        <f>'תקציב החברה לפיתוח 2020'!F88</f>
        <v>0</v>
      </c>
      <c r="G48" s="199">
        <f>'תקציב החברה לפיתוח 2020'!G88</f>
        <v>0</v>
      </c>
      <c r="H48" s="199">
        <f>'תקציב החברה לפיתוח 2020'!H88</f>
        <v>0</v>
      </c>
      <c r="I48" s="199">
        <f>'תקציב החברה לפיתוח 2020'!I88</f>
        <v>0</v>
      </c>
      <c r="J48" s="199">
        <f>'תקציב החברה לפיתוח 2020'!J88</f>
        <v>0</v>
      </c>
      <c r="K48" s="199">
        <f>'תקציב החברה לפיתוח 2020'!K88</f>
        <v>0</v>
      </c>
      <c r="L48" s="199">
        <f>'תקציב החברה לפיתוח 2020'!L88</f>
        <v>0</v>
      </c>
      <c r="M48" s="199">
        <f>'תקציב החברה לפיתוח 2020'!M88</f>
        <v>0</v>
      </c>
      <c r="N48" s="199">
        <f>'תקציב החברה לפיתוח 2020'!N88</f>
        <v>0</v>
      </c>
      <c r="O48" s="199">
        <f>'תקציב החברה לפיתוח 2020'!O88</f>
        <v>15000000</v>
      </c>
      <c r="P48" s="199">
        <f>'תקציב החברה לפיתוח 2020'!P88</f>
        <v>0</v>
      </c>
      <c r="Q48" s="199">
        <f>'תקציב החברה לפיתוח 2020'!Q88</f>
        <v>0</v>
      </c>
      <c r="R48" s="199">
        <f>'תקציב החברה לפיתוח 2020'!R88</f>
        <v>0</v>
      </c>
      <c r="S48" s="199">
        <f>'תקציב החברה לפיתוח 2020'!S88</f>
        <v>0</v>
      </c>
      <c r="T48" s="199">
        <f>'תקציב החברה לפיתוח 2020'!T88</f>
        <v>0</v>
      </c>
      <c r="U48" s="199">
        <f>'תקציב החברה לפיתוח 2020'!U88</f>
        <v>0</v>
      </c>
      <c r="V48" s="199">
        <f>'תקציב החברה לפיתוח 2020'!V88</f>
        <v>0</v>
      </c>
      <c r="W48" s="199">
        <f>'תקציב החברה לפיתוח 2020'!W88</f>
        <v>0</v>
      </c>
      <c r="X48" s="199">
        <f>'תקציב החברה לפיתוח 2020'!X88</f>
        <v>0</v>
      </c>
      <c r="Y48" s="199">
        <f>'תקציב החברה לפיתוח 2020'!Y88</f>
        <v>0</v>
      </c>
      <c r="Z48" s="199">
        <f>'תקציב החברה לפיתוח 2020'!Z88</f>
        <v>0</v>
      </c>
      <c r="AA48" s="341" t="str">
        <f>'תקציב החברה לפיתוח 2020'!AA88</f>
        <v xml:space="preserve">פיתוח מתחם הרחובות אוצר הצמחים, אבן אודם, הראשונים. 
</v>
      </c>
      <c r="AB48" s="707">
        <f>'תקציב החברה לפיתוח 2020'!AB88</f>
        <v>742000</v>
      </c>
      <c r="AE48" s="624"/>
      <c r="AF48" s="627"/>
      <c r="AG48" s="6"/>
      <c r="AH48" s="6"/>
      <c r="AI48" s="6"/>
      <c r="AJ48" s="6"/>
      <c r="AK48" s="6"/>
      <c r="AL48" s="6"/>
      <c r="AM48" s="6"/>
    </row>
    <row r="49" spans="1:39" s="202" customFormat="1" ht="27.6">
      <c r="A49" s="198">
        <f t="shared" si="2"/>
        <v>43</v>
      </c>
      <c r="B49" s="707">
        <f>'תקציב החברה לפיתוח 2020'!B90</f>
        <v>2109</v>
      </c>
      <c r="C49" s="341" t="str">
        <f>'תקציב החברה לפיתוח 2020'!C90</f>
        <v>רחוב הפרטיזנים</v>
      </c>
      <c r="D49" s="199">
        <f>'תקציב החברה לפיתוח 2020'!D90</f>
        <v>2000000</v>
      </c>
      <c r="E49" s="199">
        <f>'תקציב החברה לפיתוח 2020'!E90</f>
        <v>2000000</v>
      </c>
      <c r="F49" s="199">
        <f>'תקציב החברה לפיתוח 2020'!F90</f>
        <v>0</v>
      </c>
      <c r="G49" s="199">
        <f>'תקציב החברה לפיתוח 2020'!G90</f>
        <v>0</v>
      </c>
      <c r="H49" s="199">
        <f>'תקציב החברה לפיתוח 2020'!H90</f>
        <v>0</v>
      </c>
      <c r="I49" s="199">
        <f>'תקציב החברה לפיתוח 2020'!I90</f>
        <v>0</v>
      </c>
      <c r="J49" s="199">
        <f>'תקציב החברה לפיתוח 2020'!J90</f>
        <v>0</v>
      </c>
      <c r="K49" s="199">
        <f>'תקציב החברה לפיתוח 2020'!K90</f>
        <v>0</v>
      </c>
      <c r="L49" s="199">
        <f>'תקציב החברה לפיתוח 2020'!L90</f>
        <v>0</v>
      </c>
      <c r="M49" s="199">
        <f>'תקציב החברה לפיתוח 2020'!M90</f>
        <v>0</v>
      </c>
      <c r="N49" s="199">
        <f>'תקציב החברה לפיתוח 2020'!N90</f>
        <v>0</v>
      </c>
      <c r="O49" s="199">
        <f>'תקציב החברה לפיתוח 2020'!O90</f>
        <v>2000000</v>
      </c>
      <c r="P49" s="199">
        <f>'תקציב החברה לפיתוח 2020'!P90</f>
        <v>0</v>
      </c>
      <c r="Q49" s="199">
        <f>'תקציב החברה לפיתוח 2020'!Q90</f>
        <v>0</v>
      </c>
      <c r="R49" s="199">
        <f>'תקציב החברה לפיתוח 2020'!R90</f>
        <v>0</v>
      </c>
      <c r="S49" s="199">
        <f>'תקציב החברה לפיתוח 2020'!S90</f>
        <v>0</v>
      </c>
      <c r="T49" s="199">
        <f>'תקציב החברה לפיתוח 2020'!T90</f>
        <v>0</v>
      </c>
      <c r="U49" s="199">
        <f>'תקציב החברה לפיתוח 2020'!U90</f>
        <v>0</v>
      </c>
      <c r="V49" s="199">
        <f>'תקציב החברה לפיתוח 2020'!V90</f>
        <v>0</v>
      </c>
      <c r="W49" s="199">
        <f>'תקציב החברה לפיתוח 2020'!W90</f>
        <v>0</v>
      </c>
      <c r="X49" s="199">
        <f>'תקציב החברה לפיתוח 2020'!X90</f>
        <v>0</v>
      </c>
      <c r="Y49" s="199">
        <f>'תקציב החברה לפיתוח 2020'!Y90</f>
        <v>0</v>
      </c>
      <c r="Z49" s="199">
        <f>'תקציב החברה לפיתוח 2020'!Z90</f>
        <v>0</v>
      </c>
      <c r="AA49" s="341" t="str">
        <f>'תקציב החברה לפיתוח 2020'!AA90</f>
        <v>תכנון פיתוח רחוב הפרטיזנים. עבר מהנדסה.</v>
      </c>
      <c r="AB49" s="707">
        <f>'תקציב החברה לפיתוח 2020'!AB90</f>
        <v>742000</v>
      </c>
      <c r="AC49" s="619"/>
      <c r="AD49" s="52"/>
      <c r="AE49" s="5"/>
      <c r="AF49" s="5"/>
      <c r="AG49" s="5"/>
      <c r="AH49" s="5"/>
      <c r="AI49" s="5"/>
      <c r="AJ49" s="5"/>
      <c r="AK49" s="5"/>
      <c r="AL49" s="5"/>
      <c r="AM49" s="5"/>
    </row>
    <row r="50" spans="1:39">
      <c r="A50" s="198">
        <f t="shared" si="2"/>
        <v>44</v>
      </c>
      <c r="B50" s="707">
        <f>'תקציב החברה לפיתוח 2020'!B91</f>
        <v>2110</v>
      </c>
      <c r="C50" s="341" t="str">
        <f>'תקציב החברה לפיתוח 2020'!C91</f>
        <v>שיכון דרום הר' 2312</v>
      </c>
      <c r="D50" s="199">
        <f>'תקציב החברה לפיתוח 2020'!D91</f>
        <v>16000000</v>
      </c>
      <c r="E50" s="199">
        <f>'תקציב החברה לפיתוח 2020'!E91</f>
        <v>16000000</v>
      </c>
      <c r="F50" s="199">
        <f>'תקציב החברה לפיתוח 2020'!F91</f>
        <v>0</v>
      </c>
      <c r="G50" s="199">
        <f>'תקציב החברה לפיתוח 2020'!G91</f>
        <v>0</v>
      </c>
      <c r="H50" s="199">
        <f>'תקציב החברה לפיתוח 2020'!H91</f>
        <v>0</v>
      </c>
      <c r="I50" s="199">
        <f>'תקציב החברה לפיתוח 2020'!I91</f>
        <v>0</v>
      </c>
      <c r="J50" s="199">
        <f>'תקציב החברה לפיתוח 2020'!J91</f>
        <v>0</v>
      </c>
      <c r="K50" s="199">
        <f>'תקציב החברה לפיתוח 2020'!K91</f>
        <v>0</v>
      </c>
      <c r="L50" s="199">
        <f>'תקציב החברה לפיתוח 2020'!L91</f>
        <v>0</v>
      </c>
      <c r="M50" s="199">
        <f>'תקציב החברה לפיתוח 2020'!M91</f>
        <v>0</v>
      </c>
      <c r="N50" s="199">
        <f>'תקציב החברה לפיתוח 2020'!N91</f>
        <v>0</v>
      </c>
      <c r="O50" s="199">
        <f>'תקציב החברה לפיתוח 2020'!O91</f>
        <v>16000000</v>
      </c>
      <c r="P50" s="199">
        <f>'תקציב החברה לפיתוח 2020'!P91</f>
        <v>0</v>
      </c>
      <c r="Q50" s="199">
        <f>'תקציב החברה לפיתוח 2020'!Q91</f>
        <v>0</v>
      </c>
      <c r="R50" s="199">
        <f>'תקציב החברה לפיתוח 2020'!R91</f>
        <v>0</v>
      </c>
      <c r="S50" s="199">
        <f>'תקציב החברה לפיתוח 2020'!S91</f>
        <v>0</v>
      </c>
      <c r="T50" s="199">
        <f>'תקציב החברה לפיתוח 2020'!T91</f>
        <v>0</v>
      </c>
      <c r="U50" s="199">
        <f>'תקציב החברה לפיתוח 2020'!U91</f>
        <v>0</v>
      </c>
      <c r="V50" s="199">
        <f>'תקציב החברה לפיתוח 2020'!V91</f>
        <v>0</v>
      </c>
      <c r="W50" s="199">
        <f>'תקציב החברה לפיתוח 2020'!W91</f>
        <v>0</v>
      </c>
      <c r="X50" s="199">
        <f>'תקציב החברה לפיתוח 2020'!X91</f>
        <v>0</v>
      </c>
      <c r="Y50" s="199">
        <f>'תקציב החברה לפיתוח 2020'!Y91</f>
        <v>0</v>
      </c>
      <c r="Z50" s="199">
        <f>'תקציב החברה לפיתוח 2020'!Z91</f>
        <v>0</v>
      </c>
      <c r="AA50" s="341" t="str">
        <f>'תקציב החברה לפיתוח 2020'!AA91</f>
        <v>תכנון פיתוח מתחם שיכון דרום.</v>
      </c>
      <c r="AB50" s="707">
        <f>'תקציב החברה לפיתוח 2020'!AB91</f>
        <v>742000</v>
      </c>
      <c r="AE50" s="624"/>
      <c r="AF50" s="627"/>
      <c r="AG50" s="5"/>
      <c r="AH50" s="5"/>
      <c r="AI50" s="5"/>
      <c r="AJ50" s="5"/>
      <c r="AK50" s="5"/>
      <c r="AL50" s="5"/>
      <c r="AM50" s="5"/>
    </row>
    <row r="51" spans="1:39" ht="41.4">
      <c r="A51" s="198">
        <f t="shared" si="2"/>
        <v>45</v>
      </c>
      <c r="B51" s="707">
        <f>'תקציב החברה לפיתוח 2020'!B92</f>
        <v>2111</v>
      </c>
      <c r="C51" s="341" t="str">
        <f>'תקציב החברה לפיתוח 2020'!C92</f>
        <v>הר מירון בר כוכבא הר' 2266</v>
      </c>
      <c r="D51" s="199">
        <f>'תקציב החברה לפיתוח 2020'!D92</f>
        <v>10240000</v>
      </c>
      <c r="E51" s="199">
        <f>'תקציב החברה לפיתוח 2020'!E92</f>
        <v>10240000</v>
      </c>
      <c r="F51" s="199">
        <f>'תקציב החברה לפיתוח 2020'!F92</f>
        <v>0</v>
      </c>
      <c r="G51" s="199">
        <f>'תקציב החברה לפיתוח 2020'!G92</f>
        <v>0</v>
      </c>
      <c r="H51" s="199">
        <f>'תקציב החברה לפיתוח 2020'!H92</f>
        <v>0</v>
      </c>
      <c r="I51" s="199">
        <f>'תקציב החברה לפיתוח 2020'!I92</f>
        <v>0</v>
      </c>
      <c r="J51" s="199">
        <f>'תקציב החברה לפיתוח 2020'!J92</f>
        <v>0</v>
      </c>
      <c r="K51" s="199">
        <f>'תקציב החברה לפיתוח 2020'!K92</f>
        <v>0</v>
      </c>
      <c r="L51" s="199">
        <f>'תקציב החברה לפיתוח 2020'!L92</f>
        <v>0</v>
      </c>
      <c r="M51" s="199">
        <f>'תקציב החברה לפיתוח 2020'!M92</f>
        <v>0</v>
      </c>
      <c r="N51" s="199">
        <f>'תקציב החברה לפיתוח 2020'!N92</f>
        <v>0</v>
      </c>
      <c r="O51" s="199">
        <f>'תקציב החברה לפיתוח 2020'!O92</f>
        <v>10240000</v>
      </c>
      <c r="P51" s="199">
        <f>'תקציב החברה לפיתוח 2020'!P92</f>
        <v>0</v>
      </c>
      <c r="Q51" s="199">
        <f>'תקציב החברה לפיתוח 2020'!Q92</f>
        <v>0</v>
      </c>
      <c r="R51" s="199">
        <f>'תקציב החברה לפיתוח 2020'!R92</f>
        <v>0</v>
      </c>
      <c r="S51" s="199">
        <f>'תקציב החברה לפיתוח 2020'!S92</f>
        <v>0</v>
      </c>
      <c r="T51" s="199">
        <f>'תקציב החברה לפיתוח 2020'!T92</f>
        <v>0</v>
      </c>
      <c r="U51" s="199">
        <f>'תקציב החברה לפיתוח 2020'!U92</f>
        <v>0</v>
      </c>
      <c r="V51" s="199">
        <f>'תקציב החברה לפיתוח 2020'!V92</f>
        <v>0</v>
      </c>
      <c r="W51" s="199">
        <f>'תקציב החברה לפיתוח 2020'!W92</f>
        <v>0</v>
      </c>
      <c r="X51" s="199">
        <f>'תקציב החברה לפיתוח 2020'!X92</f>
        <v>0</v>
      </c>
      <c r="Y51" s="199">
        <f>'תקציב החברה לפיתוח 2020'!Y92</f>
        <v>0</v>
      </c>
      <c r="Z51" s="199">
        <f>'תקציב החברה לפיתוח 2020'!Z92</f>
        <v>0</v>
      </c>
      <c r="AA51" s="341" t="str">
        <f>'תקציב החברה לפיתוח 2020'!AA92</f>
        <v xml:space="preserve">תכנון פיתוח הרחובות הר מירון בר כוכבא בעקבות אישור תוכנית התחדשות עירונית. עבר מהנדסה. </v>
      </c>
      <c r="AB51" s="707">
        <f>'תקציב החברה לפיתוח 2020'!AB92</f>
        <v>742000</v>
      </c>
      <c r="AC51" s="619"/>
      <c r="AD51" s="52"/>
      <c r="AE51" s="5"/>
      <c r="AF51" s="5"/>
      <c r="AG51" s="5"/>
      <c r="AH51" s="5"/>
      <c r="AI51" s="5"/>
      <c r="AJ51" s="5"/>
      <c r="AK51" s="5"/>
      <c r="AL51" s="5"/>
      <c r="AM51" s="5"/>
    </row>
    <row r="52" spans="1:39" ht="55.2">
      <c r="A52" s="198">
        <f t="shared" si="2"/>
        <v>46</v>
      </c>
      <c r="B52" s="707">
        <f>'תקציב החברה לפיתוח 2020'!B95</f>
        <v>2122</v>
      </c>
      <c r="C52" s="341" t="str">
        <f>'תקציב החברה לפיתוח 2020'!C95</f>
        <v>צומת הרב גורן מוהליבר - בטיחות</v>
      </c>
      <c r="D52" s="199">
        <f>'תקציב החברה לפיתוח 2020'!D95</f>
        <v>300000</v>
      </c>
      <c r="E52" s="199">
        <f>'תקציב החברה לפיתוח 2020'!E95</f>
        <v>300000</v>
      </c>
      <c r="F52" s="199">
        <f>'תקציב החברה לפיתוח 2020'!F95</f>
        <v>0</v>
      </c>
      <c r="G52" s="199">
        <f>'תקציב החברה לפיתוח 2020'!G95</f>
        <v>300000</v>
      </c>
      <c r="H52" s="199">
        <f>'תקציב החברה לפיתוח 2020'!H95</f>
        <v>0</v>
      </c>
      <c r="I52" s="199">
        <f>'תקציב החברה לפיתוח 2020'!I95</f>
        <v>0</v>
      </c>
      <c r="J52" s="199">
        <f>'תקציב החברה לפיתוח 2020'!J95</f>
        <v>0</v>
      </c>
      <c r="K52" s="199">
        <f>'תקציב החברה לפיתוח 2020'!K95</f>
        <v>0</v>
      </c>
      <c r="L52" s="199">
        <f>'תקציב החברה לפיתוח 2020'!L95</f>
        <v>0</v>
      </c>
      <c r="M52" s="199">
        <f>'תקציב החברה לפיתוח 2020'!M95</f>
        <v>300000</v>
      </c>
      <c r="N52" s="199">
        <f>'תקציב החברה לפיתוח 2020'!N95</f>
        <v>0</v>
      </c>
      <c r="O52" s="199">
        <f>'תקציב החברה לפיתוח 2020'!O95</f>
        <v>0</v>
      </c>
      <c r="P52" s="199">
        <f>'תקציב החברה לפיתוח 2020'!P95</f>
        <v>300000</v>
      </c>
      <c r="Q52" s="199">
        <f>'תקציב החברה לפיתוח 2020'!Q95</f>
        <v>0</v>
      </c>
      <c r="R52" s="199">
        <f>'תקציב החברה לפיתוח 2020'!R95</f>
        <v>0</v>
      </c>
      <c r="S52" s="199">
        <f>'תקציב החברה לפיתוח 2020'!S95</f>
        <v>0</v>
      </c>
      <c r="T52" s="199">
        <f>'תקציב החברה לפיתוח 2020'!T95</f>
        <v>0</v>
      </c>
      <c r="U52" s="199">
        <f>'תקציב החברה לפיתוח 2020'!U95</f>
        <v>0</v>
      </c>
      <c r="V52" s="199">
        <f>'תקציב החברה לפיתוח 2020'!V95</f>
        <v>0</v>
      </c>
      <c r="W52" s="199">
        <f>'תקציב החברה לפיתוח 2020'!W95</f>
        <v>0</v>
      </c>
      <c r="X52" s="199">
        <f>'תקציב החברה לפיתוח 2020'!X95</f>
        <v>0</v>
      </c>
      <c r="Y52" s="199">
        <f>'תקציב החברה לפיתוח 2020'!Y95</f>
        <v>0</v>
      </c>
      <c r="Z52" s="199">
        <f>'תקציב החברה לפיתוח 2020'!Z95</f>
        <v>0</v>
      </c>
      <c r="AA52" s="341" t="str">
        <f>'תקציב החברה לפיתוח 2020'!AA95</f>
        <v>תכנון צומת הרב גורן מוהליבר עקב ריבוי תאונות דרכים עפ"י נתוני הרלב"ד. מימון מ. התחבורה. עבר מהנדסה.</v>
      </c>
      <c r="AB52" s="707">
        <f>'תקציב החברה לפיתוח 2020'!AB95</f>
        <v>742000</v>
      </c>
      <c r="AE52" s="5"/>
      <c r="AF52" s="5"/>
      <c r="AG52" s="5"/>
      <c r="AH52" s="5"/>
      <c r="AI52" s="5"/>
      <c r="AJ52" s="5"/>
      <c r="AK52" s="5"/>
      <c r="AL52" s="5"/>
      <c r="AM52" s="5"/>
    </row>
    <row r="53" spans="1:39" s="202" customFormat="1" ht="13.8">
      <c r="A53" s="198">
        <f t="shared" si="2"/>
        <v>47</v>
      </c>
      <c r="B53" s="707">
        <f>'תקציב החברה לפיתוח 2020'!B96</f>
        <v>2126</v>
      </c>
      <c r="C53" s="341" t="str">
        <f>'תקציב החברה לפיתוח 2020'!C96</f>
        <v>כיכר העוגן השונית</v>
      </c>
      <c r="D53" s="199">
        <f>'תקציב החברה לפיתוח 2020'!D96</f>
        <v>1375000</v>
      </c>
      <c r="E53" s="199">
        <f>'תקציב החברה לפיתוח 2020'!E96</f>
        <v>1375000</v>
      </c>
      <c r="F53" s="199">
        <f>'תקציב החברה לפיתוח 2020'!F96</f>
        <v>0</v>
      </c>
      <c r="G53" s="199">
        <f>'תקציב החברה לפיתוח 2020'!G96</f>
        <v>0</v>
      </c>
      <c r="H53" s="199">
        <f>'תקציב החברה לפיתוח 2020'!H96</f>
        <v>0</v>
      </c>
      <c r="I53" s="199">
        <f>'תקציב החברה לפיתוח 2020'!I96</f>
        <v>0</v>
      </c>
      <c r="J53" s="199">
        <f>'תקציב החברה לפיתוח 2020'!J96</f>
        <v>0</v>
      </c>
      <c r="K53" s="199">
        <f>'תקציב החברה לפיתוח 2020'!K96</f>
        <v>0</v>
      </c>
      <c r="L53" s="199">
        <f>'תקציב החברה לפיתוח 2020'!L96</f>
        <v>0</v>
      </c>
      <c r="M53" s="199">
        <f>'תקציב החברה לפיתוח 2020'!M96</f>
        <v>0</v>
      </c>
      <c r="N53" s="199">
        <f>'תקציב החברה לפיתוח 2020'!N96</f>
        <v>1375000</v>
      </c>
      <c r="O53" s="199">
        <f>'תקציב החברה לפיתוח 2020'!O96</f>
        <v>0</v>
      </c>
      <c r="P53" s="199">
        <f>'תקציב החברה לפיתוח 2020'!P96</f>
        <v>0</v>
      </c>
      <c r="Q53" s="199">
        <f>'תקציב החברה לפיתוח 2020'!Q96</f>
        <v>0</v>
      </c>
      <c r="R53" s="199">
        <f>'תקציב החברה לפיתוח 2020'!R96</f>
        <v>0</v>
      </c>
      <c r="S53" s="199">
        <f>'תקציב החברה לפיתוח 2020'!S96</f>
        <v>0</v>
      </c>
      <c r="T53" s="199">
        <f>'תקציב החברה לפיתוח 2020'!T96</f>
        <v>0</v>
      </c>
      <c r="U53" s="199">
        <f>'תקציב החברה לפיתוח 2020'!U96</f>
        <v>1375000</v>
      </c>
      <c r="V53" s="199">
        <f>'תקציב החברה לפיתוח 2020'!V96</f>
        <v>473755</v>
      </c>
      <c r="W53" s="199">
        <f>'תקציב החברה לפיתוח 2020'!W96</f>
        <v>0</v>
      </c>
      <c r="X53" s="199">
        <f>'תקציב החברה לפיתוח 2020'!X96</f>
        <v>0</v>
      </c>
      <c r="Y53" s="199">
        <f>'תקציב החברה לפיתוח 2020'!Y96</f>
        <v>0</v>
      </c>
      <c r="Z53" s="199">
        <f>'תקציב החברה לפיתוח 2020'!Z96</f>
        <v>901245</v>
      </c>
      <c r="AA53" s="341" t="str">
        <f>'תקציב החברה לפיתוח 2020'!AA96</f>
        <v xml:space="preserve">מימון מ. התחבורה. עבר מהנדסה. </v>
      </c>
      <c r="AB53" s="707">
        <f>'תקציב החברה לפיתוח 2020'!AB96</f>
        <v>742000</v>
      </c>
      <c r="AC53" s="191"/>
      <c r="AD53" s="191"/>
      <c r="AE53" s="5"/>
      <c r="AF53" s="5"/>
      <c r="AG53" s="5"/>
      <c r="AH53" s="5"/>
      <c r="AI53" s="5"/>
      <c r="AJ53" s="5"/>
      <c r="AK53" s="5"/>
      <c r="AL53" s="5"/>
      <c r="AM53" s="5"/>
    </row>
    <row r="54" spans="1:39" ht="13.8">
      <c r="A54" s="198">
        <f t="shared" si="2"/>
        <v>48</v>
      </c>
      <c r="B54" s="707">
        <f>'תקציב החברה לפיתוח 2020'!B100</f>
        <v>2148</v>
      </c>
      <c r="C54" s="341" t="str">
        <f>'תקציב החברה לפיתוח 2020'!C100</f>
        <v>מתקן חניה עילי בספיר</v>
      </c>
      <c r="D54" s="199">
        <f>'תקציב החברה לפיתוח 2020'!D100</f>
        <v>1200000</v>
      </c>
      <c r="E54" s="199">
        <f>'תקציב החברה לפיתוח 2020'!E100</f>
        <v>0</v>
      </c>
      <c r="F54" s="199">
        <f>'תקציב החברה לפיתוח 2020'!F100</f>
        <v>1200000</v>
      </c>
      <c r="G54" s="199">
        <f>'תקציב החברה לפיתוח 2020'!G100</f>
        <v>0</v>
      </c>
      <c r="H54" s="199">
        <f>'תקציב החברה לפיתוח 2020'!H100</f>
        <v>0</v>
      </c>
      <c r="I54" s="199">
        <f>'תקציב החברה לפיתוח 2020'!I100</f>
        <v>0</v>
      </c>
      <c r="J54" s="199">
        <f>'תקציב החברה לפיתוח 2020'!J100</f>
        <v>0</v>
      </c>
      <c r="K54" s="199">
        <f>'תקציב החברה לפיתוח 2020'!K100</f>
        <v>0</v>
      </c>
      <c r="L54" s="199">
        <f>'תקציב החברה לפיתוח 2020'!L100</f>
        <v>0</v>
      </c>
      <c r="M54" s="199">
        <f>'תקציב החברה לפיתוח 2020'!M100</f>
        <v>0</v>
      </c>
      <c r="N54" s="199">
        <f>'תקציב החברה לפיתוח 2020'!N100</f>
        <v>1200000</v>
      </c>
      <c r="O54" s="199">
        <f>'תקציב החברה לפיתוח 2020'!O100</f>
        <v>0</v>
      </c>
      <c r="P54" s="199">
        <f>'תקציב החברה לפיתוח 2020'!P100</f>
        <v>0</v>
      </c>
      <c r="Q54" s="199">
        <f>'תקציב החברה לפיתוח 2020'!Q100</f>
        <v>0</v>
      </c>
      <c r="R54" s="199">
        <f>'תקציב החברה לפיתוח 2020'!R100</f>
        <v>0</v>
      </c>
      <c r="S54" s="199">
        <f>'תקציב החברה לפיתוח 2020'!S100</f>
        <v>0</v>
      </c>
      <c r="T54" s="199">
        <f>'תקציב החברה לפיתוח 2020'!T100</f>
        <v>0</v>
      </c>
      <c r="U54" s="199">
        <f>'תקציב החברה לפיתוח 2020'!U100</f>
        <v>1200000</v>
      </c>
      <c r="V54" s="199">
        <f>'תקציב החברה לפיתוח 2020'!V100</f>
        <v>1200000</v>
      </c>
      <c r="W54" s="199">
        <f>'תקציב החברה לפיתוח 2020'!W100</f>
        <v>0</v>
      </c>
      <c r="X54" s="199">
        <f>'תקציב החברה לפיתוח 2020'!X100</f>
        <v>0</v>
      </c>
      <c r="Y54" s="199">
        <f>'תקציב החברה לפיתוח 2020'!Y100</f>
        <v>0</v>
      </c>
      <c r="Z54" s="199">
        <f>'תקציב החברה לפיתוח 2020'!Z100</f>
        <v>0</v>
      </c>
      <c r="AA54" s="341" t="str">
        <f>'תקציב החברה לפיתוח 2020'!AA100</f>
        <v>הקמת מתקן חניה עילי בחניון ספיר.</v>
      </c>
      <c r="AB54" s="707">
        <f>'תקציב החברה לפיתוח 2020'!AB100</f>
        <v>742000</v>
      </c>
      <c r="AE54" s="5"/>
      <c r="AF54" s="5"/>
      <c r="AG54" s="5"/>
      <c r="AH54" s="5"/>
      <c r="AI54" s="5"/>
      <c r="AJ54" s="5"/>
      <c r="AK54" s="5"/>
      <c r="AL54" s="5"/>
      <c r="AM54" s="5"/>
    </row>
    <row r="55" spans="1:39" ht="13.8">
      <c r="A55" s="198">
        <f t="shared" si="2"/>
        <v>49</v>
      </c>
      <c r="B55" s="707">
        <f>'תקציב החברה לפיתוח 2020'!B103</f>
        <v>2151</v>
      </c>
      <c r="C55" s="341" t="str">
        <f>'תקציב החברה לפיתוח 2020'!C103</f>
        <v>מתחם בזק</v>
      </c>
      <c r="D55" s="199">
        <f>'תקציב החברה לפיתוח 2020'!D103</f>
        <v>2000000</v>
      </c>
      <c r="E55" s="199">
        <f>'תקציב החברה לפיתוח 2020'!E103</f>
        <v>0</v>
      </c>
      <c r="F55" s="199">
        <f>'תקציב החברה לפיתוח 2020'!F103</f>
        <v>2000000</v>
      </c>
      <c r="G55" s="199">
        <f>'תקציב החברה לפיתוח 2020'!G103</f>
        <v>0</v>
      </c>
      <c r="H55" s="199">
        <f>'תקציב החברה לפיתוח 2020'!H103</f>
        <v>0</v>
      </c>
      <c r="I55" s="199">
        <f>'תקציב החברה לפיתוח 2020'!I103</f>
        <v>0</v>
      </c>
      <c r="J55" s="199">
        <f>'תקציב החברה לפיתוח 2020'!J103</f>
        <v>0</v>
      </c>
      <c r="K55" s="199">
        <f>'תקציב החברה לפיתוח 2020'!K103</f>
        <v>0</v>
      </c>
      <c r="L55" s="199">
        <f>'תקציב החברה לפיתוח 2020'!L103</f>
        <v>0</v>
      </c>
      <c r="M55" s="199">
        <f>'תקציב החברה לפיתוח 2020'!M103</f>
        <v>0</v>
      </c>
      <c r="N55" s="199">
        <f>'תקציב החברה לפיתוח 2020'!N103</f>
        <v>2000000</v>
      </c>
      <c r="O55" s="199">
        <f>'תקציב החברה לפיתוח 2020'!O103</f>
        <v>0</v>
      </c>
      <c r="P55" s="199">
        <f>'תקציב החברה לפיתוח 2020'!P103</f>
        <v>0</v>
      </c>
      <c r="Q55" s="199">
        <f>'תקציב החברה לפיתוח 2020'!Q103</f>
        <v>0</v>
      </c>
      <c r="R55" s="199">
        <f>'תקציב החברה לפיתוח 2020'!R103</f>
        <v>0</v>
      </c>
      <c r="S55" s="199">
        <f>'תקציב החברה לפיתוח 2020'!S103</f>
        <v>0</v>
      </c>
      <c r="T55" s="199">
        <f>'תקציב החברה לפיתוח 2020'!T103</f>
        <v>0</v>
      </c>
      <c r="U55" s="199">
        <f>'תקציב החברה לפיתוח 2020'!U103</f>
        <v>2000000</v>
      </c>
      <c r="V55" s="199">
        <f>'תקציב החברה לפיתוח 2020'!V103</f>
        <v>2000000</v>
      </c>
      <c r="W55" s="199">
        <f>'תקציב החברה לפיתוח 2020'!W103</f>
        <v>0</v>
      </c>
      <c r="X55" s="199">
        <f>'תקציב החברה לפיתוח 2020'!X103</f>
        <v>0</v>
      </c>
      <c r="Y55" s="199">
        <f>'תקציב החברה לפיתוח 2020'!Y103</f>
        <v>0</v>
      </c>
      <c r="Z55" s="199">
        <f>'תקציב החברה לפיתוח 2020'!Z103</f>
        <v>0</v>
      </c>
      <c r="AA55" s="341" t="str">
        <f>'תקציב החברה לפיתוח 2020'!AA103</f>
        <v>תכנון ראשוני של פיתוח מתחם "בזק".</v>
      </c>
      <c r="AB55" s="707">
        <f>'תקציב החברה לפיתוח 2020'!AB103</f>
        <v>742000</v>
      </c>
      <c r="AE55" s="5"/>
      <c r="AF55" s="5"/>
      <c r="AG55" s="5"/>
      <c r="AH55" s="5"/>
      <c r="AI55" s="5"/>
      <c r="AJ55" s="5"/>
      <c r="AK55" s="5"/>
      <c r="AL55" s="5"/>
      <c r="AM55" s="5"/>
    </row>
    <row r="56" spans="1:39" ht="27.6">
      <c r="A56" s="198">
        <f t="shared" si="2"/>
        <v>50</v>
      </c>
      <c r="B56" s="707">
        <f>'תקציב החברה לפיתוח 2020'!B109</f>
        <v>1547</v>
      </c>
      <c r="C56" s="341" t="str">
        <f>'תקציב החברה לפיתוח 2020'!C109</f>
        <v>פיתוח מתחם גליל ים הר' 1985 א'</v>
      </c>
      <c r="D56" s="199">
        <f>'תקציב החברה לפיתוח 2020'!D109</f>
        <v>144000000</v>
      </c>
      <c r="E56" s="199">
        <f>'תקציב החברה לפיתוח 2020'!E109</f>
        <v>144000000</v>
      </c>
      <c r="F56" s="199">
        <f>'תקציב החברה לפיתוח 2020'!F109</f>
        <v>0</v>
      </c>
      <c r="G56" s="199">
        <f>'תקציב החברה לפיתוח 2020'!G109</f>
        <v>102500000</v>
      </c>
      <c r="H56" s="199">
        <f>'תקציב החברה לפיתוח 2020'!H109</f>
        <v>89461541.560000002</v>
      </c>
      <c r="I56" s="199">
        <f>'תקציב החברה לפיתוח 2020'!I109</f>
        <v>1052805.8700000001</v>
      </c>
      <c r="J56" s="199">
        <f>'תקציב החברה לפיתוח 2020'!J109</f>
        <v>1495912.66</v>
      </c>
      <c r="K56" s="199">
        <f>'תקציב החברה לפיתוח 2020'!K109</f>
        <v>2548718.5300000003</v>
      </c>
      <c r="L56" s="199">
        <f>'תקציב החברה לפיתוח 2020'!L109</f>
        <v>92010260.090000004</v>
      </c>
      <c r="M56" s="199">
        <f>'תקציב החברה לפיתוח 2020'!M109</f>
        <v>39489739.909999996</v>
      </c>
      <c r="N56" s="199">
        <f>'תקציב החברה לפיתוח 2020'!N109</f>
        <v>12500000</v>
      </c>
      <c r="O56" s="199">
        <f>'תקציב החברה לפיתוח 2020'!O109</f>
        <v>0</v>
      </c>
      <c r="P56" s="199">
        <f>'תקציב החברה לפיתוח 2020'!P109</f>
        <v>10489739.909999996</v>
      </c>
      <c r="Q56" s="199">
        <f>'תקציב החברה לפיתוח 2020'!Q109</f>
        <v>29000000</v>
      </c>
      <c r="R56" s="199">
        <f>'תקציב החברה לפיתוח 2020'!R109</f>
        <v>0</v>
      </c>
      <c r="S56" s="199">
        <f>'תקציב החברה לפיתוח 2020'!S109</f>
        <v>29000000</v>
      </c>
      <c r="T56" s="199">
        <f>'תקציב החברה לפיתוח 2020'!T109</f>
        <v>0</v>
      </c>
      <c r="U56" s="199">
        <f>'תקציב החברה לפיתוח 2020'!U109</f>
        <v>12500000</v>
      </c>
      <c r="V56" s="199">
        <f>'תקציב החברה לפיתוח 2020'!V109</f>
        <v>0</v>
      </c>
      <c r="W56" s="199">
        <f>'תקציב החברה לפיתוח 2020'!W109</f>
        <v>0</v>
      </c>
      <c r="X56" s="199">
        <f>'תקציב החברה לפיתוח 2020'!X109</f>
        <v>0</v>
      </c>
      <c r="Y56" s="199">
        <f>'תקציב החברה לפיתוח 2020'!Y109</f>
        <v>2527483</v>
      </c>
      <c r="Z56" s="199">
        <f>'תקציב החברה לפיתוח 2020'!Z109</f>
        <v>9972517</v>
      </c>
      <c r="AA56" s="341" t="str">
        <f>'תקציב החברה לפיתוח 2020'!AA109</f>
        <v>עבודות פיתוח. מימון רמ"י במסגרת הסכם "הגג".</v>
      </c>
      <c r="AB56" s="707">
        <f>'תקציב החברה לפיתוח 2020'!AB109</f>
        <v>742000</v>
      </c>
      <c r="AE56" s="202"/>
      <c r="AI56" s="202"/>
      <c r="AJ56" s="202"/>
      <c r="AK56" s="205"/>
      <c r="AL56" s="202"/>
      <c r="AM56" s="202"/>
    </row>
    <row r="57" spans="1:39" ht="27.6">
      <c r="A57" s="198">
        <f t="shared" si="2"/>
        <v>51</v>
      </c>
      <c r="B57" s="707">
        <f>'תקציב החברה לפיתוח 2020'!B119</f>
        <v>1919</v>
      </c>
      <c r="C57" s="341" t="str">
        <f>'תקציב החברה לפיתוח 2020'!C119</f>
        <v>פיתוח גליל ים ב'</v>
      </c>
      <c r="D57" s="199">
        <f>'תקציב החברה לפיתוח 2020'!D119</f>
        <v>135100000</v>
      </c>
      <c r="E57" s="199">
        <f>'תקציב החברה לפיתוח 2020'!E119</f>
        <v>135100000</v>
      </c>
      <c r="F57" s="199">
        <f>'תקציב החברה לפיתוח 2020'!F119</f>
        <v>0</v>
      </c>
      <c r="G57" s="199">
        <f>'תקציב החברה לפיתוח 2020'!G119</f>
        <v>40098527</v>
      </c>
      <c r="H57" s="199">
        <f>'תקציב החברה לפיתוח 2020'!H119</f>
        <v>29982470.539999999</v>
      </c>
      <c r="I57" s="199">
        <f>'תקציב החברה לפיתוח 2020'!I119</f>
        <v>0</v>
      </c>
      <c r="J57" s="199">
        <f>'תקציב החברה לפיתוח 2020'!J119</f>
        <v>1356715.84</v>
      </c>
      <c r="K57" s="199">
        <f>'תקציב החברה לפיתוח 2020'!K119</f>
        <v>1356715.84</v>
      </c>
      <c r="L57" s="199">
        <f>'תקציב החברה לפיתוח 2020'!L119</f>
        <v>31339186.379999999</v>
      </c>
      <c r="M57" s="199">
        <f>'תקציב החברה לפיתוח 2020'!M119</f>
        <v>9265591.620000001</v>
      </c>
      <c r="N57" s="199">
        <f>'תקציב החברה לפיתוח 2020'!N119</f>
        <v>0</v>
      </c>
      <c r="O57" s="199">
        <f>'תקציב החברה לפיתוח 2020'!O119</f>
        <v>94495222</v>
      </c>
      <c r="P57" s="199">
        <f>'תקציב החברה לפיתוח 2020'!P119</f>
        <v>8759340.620000001</v>
      </c>
      <c r="Q57" s="199">
        <f>'תקציב החברה לפיתוח 2020'!Q119</f>
        <v>506251</v>
      </c>
      <c r="R57" s="199">
        <f>'תקציב החברה לפיתוח 2020'!R119</f>
        <v>0</v>
      </c>
      <c r="S57" s="199">
        <f>'תקציב החברה לפיתוח 2020'!S119</f>
        <v>506251</v>
      </c>
      <c r="T57" s="199">
        <f>'תקציב החברה לפיתוח 2020'!T119</f>
        <v>0</v>
      </c>
      <c r="U57" s="199">
        <f>'תקציב החברה לפיתוח 2020'!U119</f>
        <v>0</v>
      </c>
      <c r="V57" s="199">
        <f>'תקציב החברה לפיתוח 2020'!V119</f>
        <v>0</v>
      </c>
      <c r="W57" s="199">
        <f>'תקציב החברה לפיתוח 2020'!W119</f>
        <v>0</v>
      </c>
      <c r="X57" s="199">
        <f>'תקציב החברה לפיתוח 2020'!X119</f>
        <v>0</v>
      </c>
      <c r="Y57" s="199">
        <f>'תקציב החברה לפיתוח 2020'!Y119</f>
        <v>-1170797</v>
      </c>
      <c r="Z57" s="199">
        <f>'תקציב החברה לפיתוח 2020'!Z119</f>
        <v>1170797</v>
      </c>
      <c r="AA57" s="341" t="str">
        <f>'תקציב החברה לפיתוח 2020'!AA119</f>
        <v>עבודות פיתוח. מימון רמ"י במסגרת הסכם "הגג". שינוי מימון  רמ"י.</v>
      </c>
      <c r="AB57" s="707">
        <f>'תקציב החברה לפיתוח 2020'!AB119</f>
        <v>742000</v>
      </c>
      <c r="AE57" s="210"/>
      <c r="AK57" s="192"/>
    </row>
    <row r="58" spans="1:39" s="210" customFormat="1" ht="27.6">
      <c r="A58" s="198">
        <f>1+A57</f>
        <v>52</v>
      </c>
      <c r="B58" s="707">
        <f>'תקציב החברה לפיתוח 2020'!B121</f>
        <v>1961</v>
      </c>
      <c r="C58" s="341" t="str">
        <f>'תקציב החברה לפיתוח 2020'!C121</f>
        <v>גשר מעל כביש 20</v>
      </c>
      <c r="D58" s="199">
        <f>'תקציב החברה לפיתוח 2020'!D121</f>
        <v>128000000</v>
      </c>
      <c r="E58" s="199">
        <f>'תקציב החברה לפיתוח 2020'!E121</f>
        <v>3000000</v>
      </c>
      <c r="F58" s="199">
        <f>'תקציב החברה לפיתוח 2020'!F121</f>
        <v>125000000</v>
      </c>
      <c r="G58" s="199">
        <f>'תקציב החברה לפיתוח 2020'!G121</f>
        <v>1500000</v>
      </c>
      <c r="H58" s="199">
        <f>'תקציב החברה לפיתוח 2020'!H121</f>
        <v>0</v>
      </c>
      <c r="I58" s="199">
        <f>'תקציב החברה לפיתוח 2020'!I121</f>
        <v>0</v>
      </c>
      <c r="J58" s="199">
        <f>'תקציב החברה לפיתוח 2020'!J121</f>
        <v>0</v>
      </c>
      <c r="K58" s="199">
        <f>'תקציב החברה לפיתוח 2020'!K121</f>
        <v>0</v>
      </c>
      <c r="L58" s="199">
        <f>'תקציב החברה לפיתוח 2020'!L121</f>
        <v>0</v>
      </c>
      <c r="M58" s="199">
        <f>'תקציב החברה לפיתוח 2020'!M121</f>
        <v>0</v>
      </c>
      <c r="N58" s="199">
        <f>'תקציב החברה לפיתוח 2020'!N121</f>
        <v>4500000</v>
      </c>
      <c r="O58" s="199">
        <f>'תקציב החברה לפיתוח 2020'!O121</f>
        <v>123500000</v>
      </c>
      <c r="P58" s="199">
        <f>'תקציב החברה לפיתוח 2020'!P121</f>
        <v>1500000</v>
      </c>
      <c r="Q58" s="199">
        <f>'תקציב החברה לפיתוח 2020'!Q121</f>
        <v>0</v>
      </c>
      <c r="R58" s="199">
        <f>'תקציב החברה לפיתוח 2020'!R121</f>
        <v>0</v>
      </c>
      <c r="S58" s="199">
        <f>'תקציב החברה לפיתוח 2020'!S121</f>
        <v>0</v>
      </c>
      <c r="T58" s="199">
        <f>'תקציב החברה לפיתוח 2020'!T121</f>
        <v>1500000</v>
      </c>
      <c r="U58" s="199">
        <f>'תקציב החברה לפיתוח 2020'!U121</f>
        <v>3000000</v>
      </c>
      <c r="V58" s="199">
        <f>'תקציב החברה לפיתוח 2020'!V121</f>
        <v>3000000</v>
      </c>
      <c r="W58" s="199">
        <f>'תקציב החברה לפיתוח 2020'!W121</f>
        <v>0</v>
      </c>
      <c r="X58" s="199">
        <f>'תקציב החברה לפיתוח 2020'!X121</f>
        <v>0</v>
      </c>
      <c r="Y58" s="199">
        <f>'תקציב החברה לפיתוח 2020'!Y121</f>
        <v>0</v>
      </c>
      <c r="Z58" s="199">
        <f>'תקציב החברה לפיתוח 2020'!Z121</f>
        <v>0</v>
      </c>
      <c r="AA58" s="341" t="str">
        <f>'תקציב החברה לפיתוח 2020'!AA121</f>
        <v>פיתוח הגשר מעל כביש 20 איזור גליל ים. תקציב מקרנות הרשות.</v>
      </c>
      <c r="AB58" s="707">
        <f>'תקציב החברה לפיתוח 2020'!AB121</f>
        <v>742000</v>
      </c>
      <c r="AC58" s="191"/>
      <c r="AD58" s="191"/>
      <c r="AF58" s="331"/>
      <c r="AG58" s="331"/>
      <c r="AH58" s="331"/>
      <c r="AI58" s="191"/>
      <c r="AJ58" s="191"/>
      <c r="AK58" s="205"/>
      <c r="AL58" s="191"/>
      <c r="AM58" s="191"/>
    </row>
    <row r="59" spans="1:39" s="210" customFormat="1" ht="27.6">
      <c r="A59" s="198">
        <f>1+A58</f>
        <v>53</v>
      </c>
      <c r="B59" s="707">
        <f>'תקציב החברה לפיתוח 2020'!B122</f>
        <v>1962</v>
      </c>
      <c r="C59" s="341" t="str">
        <f>'תקציב החברה לפיתוח 2020'!C122</f>
        <v>גשר הולכי רגל מעל שבעת הכוכבים</v>
      </c>
      <c r="D59" s="199">
        <f>'תקציב החברה לפיתוח 2020'!D122</f>
        <v>20000000</v>
      </c>
      <c r="E59" s="199">
        <f>'תקציב החברה לפיתוח 2020'!E122</f>
        <v>20000000</v>
      </c>
      <c r="F59" s="199">
        <f>'תקציב החברה לפיתוח 2020'!F122</f>
        <v>0</v>
      </c>
      <c r="G59" s="199">
        <f>'תקציב החברה לפיתוח 2020'!G122</f>
        <v>1000000</v>
      </c>
      <c r="H59" s="199">
        <f>'תקציב החברה לפיתוח 2020'!H122</f>
        <v>0</v>
      </c>
      <c r="I59" s="199">
        <f>'תקציב החברה לפיתוח 2020'!I122</f>
        <v>0</v>
      </c>
      <c r="J59" s="199">
        <f>'תקציב החברה לפיתוח 2020'!J122</f>
        <v>0</v>
      </c>
      <c r="K59" s="199">
        <f>'תקציב החברה לפיתוח 2020'!K122</f>
        <v>0</v>
      </c>
      <c r="L59" s="199">
        <f>'תקציב החברה לפיתוח 2020'!L122</f>
        <v>0</v>
      </c>
      <c r="M59" s="199">
        <f>'תקציב החברה לפיתוח 2020'!M122</f>
        <v>1000000</v>
      </c>
      <c r="N59" s="199">
        <f>'תקציב החברה לפיתוח 2020'!N122</f>
        <v>1000000</v>
      </c>
      <c r="O59" s="199">
        <f>'תקציב החברה לפיתוח 2020'!O122</f>
        <v>18000000</v>
      </c>
      <c r="P59" s="199">
        <f>'תקציב החברה לפיתוח 2020'!P122</f>
        <v>1000000</v>
      </c>
      <c r="Q59" s="199">
        <f>'תקציב החברה לפיתוח 2020'!Q122</f>
        <v>0</v>
      </c>
      <c r="R59" s="199">
        <f>'תקציב החברה לפיתוח 2020'!R122</f>
        <v>0</v>
      </c>
      <c r="S59" s="199">
        <f>'תקציב החברה לפיתוח 2020'!S122</f>
        <v>0</v>
      </c>
      <c r="T59" s="199">
        <f>'תקציב החברה לפיתוח 2020'!T122</f>
        <v>0</v>
      </c>
      <c r="U59" s="199">
        <f>'תקציב החברה לפיתוח 2020'!U122</f>
        <v>1000000</v>
      </c>
      <c r="V59" s="199">
        <f>'תקציב החברה לפיתוח 2020'!V122</f>
        <v>0</v>
      </c>
      <c r="W59" s="199">
        <f>'תקציב החברה לפיתוח 2020'!W122</f>
        <v>0</v>
      </c>
      <c r="X59" s="199">
        <f>'תקציב החברה לפיתוח 2020'!X122</f>
        <v>0</v>
      </c>
      <c r="Y59" s="199">
        <f>'תקציב החברה לפיתוח 2020'!Y122</f>
        <v>1000000</v>
      </c>
      <c r="Z59" s="199">
        <f>'תקציב החברה לפיתוח 2020'!Z122</f>
        <v>0</v>
      </c>
      <c r="AA59" s="341">
        <f>'תקציב החברה לפיתוח 2020'!AA122</f>
        <v>0</v>
      </c>
      <c r="AB59" s="707">
        <f>'תקציב החברה לפיתוח 2020'!AB122</f>
        <v>742000</v>
      </c>
      <c r="AC59" s="191"/>
      <c r="AD59" s="191"/>
      <c r="AF59" s="331"/>
      <c r="AG59" s="331"/>
      <c r="AH59" s="331"/>
      <c r="AI59" s="191"/>
      <c r="AJ59" s="191"/>
      <c r="AK59" s="192"/>
      <c r="AL59" s="191"/>
      <c r="AM59" s="191"/>
    </row>
    <row r="60" spans="1:39" s="210" customFormat="1" ht="27.6">
      <c r="A60" s="198">
        <f>A59+1</f>
        <v>54</v>
      </c>
      <c r="B60" s="707">
        <f>'תקציב החברה לפיתוח 2020'!B55</f>
        <v>1972</v>
      </c>
      <c r="C60" s="341" t="str">
        <f>'תקציב החברה לפיתוח 2020'!C55</f>
        <v>פיתוח חורשת הפרחים</v>
      </c>
      <c r="D60" s="199">
        <f>'תקציב החברה לפיתוח 2020'!D55</f>
        <v>4470000</v>
      </c>
      <c r="E60" s="199">
        <f>'תקציב החברה לפיתוח 2020'!E55</f>
        <v>4470000</v>
      </c>
      <c r="F60" s="199">
        <f>'תקציב החברה לפיתוח 2020'!F55</f>
        <v>0</v>
      </c>
      <c r="G60" s="199">
        <f>'תקציב החברה לפיתוח 2020'!G55</f>
        <v>2470000</v>
      </c>
      <c r="H60" s="199">
        <f>'תקציב החברה לפיתוח 2020'!H55</f>
        <v>997007.92</v>
      </c>
      <c r="I60" s="199">
        <f>'תקציב החברה לפיתוח 2020'!I55</f>
        <v>0</v>
      </c>
      <c r="J60" s="199">
        <f>'תקציב החברה לפיתוח 2020'!J55</f>
        <v>1385901.47</v>
      </c>
      <c r="K60" s="199">
        <f>'תקציב החברה לפיתוח 2020'!K55</f>
        <v>1385901.47</v>
      </c>
      <c r="L60" s="199">
        <f>'תקציב החברה לפיתוח 2020'!L55</f>
        <v>2382909.39</v>
      </c>
      <c r="M60" s="199">
        <f>'תקציב החברה לפיתוח 2020'!M55</f>
        <v>2087090.6099999999</v>
      </c>
      <c r="N60" s="199">
        <f>'תקציב החברה לפיתוח 2020'!N55</f>
        <v>0</v>
      </c>
      <c r="O60" s="199">
        <f>'תקציב החברה לפיתוח 2020'!O55</f>
        <v>0</v>
      </c>
      <c r="P60" s="199">
        <f>'תקציב החברה לפיתוח 2020'!P55</f>
        <v>87090.60999999987</v>
      </c>
      <c r="Q60" s="199">
        <f>'תקציב החברה לפיתוח 2020'!Q55</f>
        <v>2000000</v>
      </c>
      <c r="R60" s="199">
        <f>'תקציב החברה לפיתוח 2020'!R55</f>
        <v>0</v>
      </c>
      <c r="S60" s="199">
        <f>'תקציב החברה לפיתוח 2020'!S55</f>
        <v>2000000</v>
      </c>
      <c r="T60" s="199">
        <f>'תקציב החברה לפיתוח 2020'!T55</f>
        <v>0</v>
      </c>
      <c r="U60" s="199">
        <f>'תקציב החברה לפיתוח 2020'!U55</f>
        <v>0</v>
      </c>
      <c r="V60" s="199">
        <f>'תקציב החברה לפיתוח 2020'!V55</f>
        <v>0</v>
      </c>
      <c r="W60" s="199">
        <f>'תקציב החברה לפיתוח 2020'!W55</f>
        <v>0</v>
      </c>
      <c r="X60" s="199">
        <f>'תקציב החברה לפיתוח 2020'!X55</f>
        <v>0</v>
      </c>
      <c r="Y60" s="199">
        <f>'תקציב החברה לפיתוח 2020'!Y55</f>
        <v>0</v>
      </c>
      <c r="Z60" s="199">
        <f>'תקציב החברה לפיתוח 2020'!Z55</f>
        <v>0</v>
      </c>
      <c r="AA60" s="341" t="str">
        <f>'תקציב החברה לפיתוח 2020'!AA55</f>
        <v>פיתוח שצ"פ בגבעת הפרחים כולל הנגשה.</v>
      </c>
      <c r="AB60" s="707">
        <f>'תקציב החברה לפיתוח 2020'!AB55</f>
        <v>746000</v>
      </c>
      <c r="AC60" s="191"/>
      <c r="AD60" s="191"/>
      <c r="AE60" s="624"/>
      <c r="AF60" s="627"/>
      <c r="AG60" s="331"/>
      <c r="AH60" s="331"/>
      <c r="AI60" s="191"/>
      <c r="AJ60" s="191"/>
      <c r="AK60" s="205"/>
      <c r="AL60" s="191"/>
      <c r="AM60" s="191"/>
    </row>
    <row r="61" spans="1:39" s="5" customFormat="1" ht="13.8">
      <c r="A61" s="198">
        <f>A60+1</f>
        <v>55</v>
      </c>
      <c r="B61" s="707">
        <f>'תקציב החברה לפיתוח 2020'!B73</f>
        <v>2051</v>
      </c>
      <c r="C61" s="341" t="str">
        <f>'תקציב החברה לפיתוח 2020'!C73</f>
        <v>חורשת אקליפטוסים נחלת עדה</v>
      </c>
      <c r="D61" s="199">
        <f>'תקציב החברה לפיתוח 2020'!D73</f>
        <v>2600000</v>
      </c>
      <c r="E61" s="199">
        <f>'תקציב החברה לפיתוח 2020'!E73</f>
        <v>2600000</v>
      </c>
      <c r="F61" s="199">
        <f>'תקציב החברה לפיתוח 2020'!F73</f>
        <v>0</v>
      </c>
      <c r="G61" s="199">
        <f>'תקציב החברה לפיתוח 2020'!G73</f>
        <v>400000</v>
      </c>
      <c r="H61" s="199">
        <f>'תקציב החברה לפיתוח 2020'!H73</f>
        <v>64727.01</v>
      </c>
      <c r="I61" s="199">
        <f>'תקציב החברה לפיתוח 2020'!I73</f>
        <v>26325</v>
      </c>
      <c r="J61" s="199">
        <f>'תקציב החברה לפיתוח 2020'!J73</f>
        <v>36365.06</v>
      </c>
      <c r="K61" s="199">
        <f>'תקציב החברה לפיתוח 2020'!K73</f>
        <v>62690.06</v>
      </c>
      <c r="L61" s="199">
        <f>'תקציב החברה לפיתוח 2020'!L73</f>
        <v>127417.07</v>
      </c>
      <c r="M61" s="199">
        <f>'תקציב החברה לפיתוח 2020'!M73</f>
        <v>272582.93</v>
      </c>
      <c r="N61" s="199">
        <f>'תקציב החברה לפיתוח 2020'!N73</f>
        <v>0</v>
      </c>
      <c r="O61" s="199">
        <f>'תקציב החברה לפיתוח 2020'!O73</f>
        <v>2200000</v>
      </c>
      <c r="P61" s="199">
        <f>'תקציב החברה לפיתוח 2020'!P73</f>
        <v>272582.93</v>
      </c>
      <c r="Q61" s="199">
        <f>'תקציב החברה לפיתוח 2020'!Q73</f>
        <v>0</v>
      </c>
      <c r="R61" s="199">
        <f>'תקציב החברה לפיתוח 2020'!R73</f>
        <v>0</v>
      </c>
      <c r="S61" s="199">
        <f>'תקציב החברה לפיתוח 2020'!S73</f>
        <v>0</v>
      </c>
      <c r="T61" s="199">
        <f>'תקציב החברה לפיתוח 2020'!T73</f>
        <v>0</v>
      </c>
      <c r="U61" s="199">
        <f>'תקציב החברה לפיתוח 2020'!U73</f>
        <v>0</v>
      </c>
      <c r="V61" s="199">
        <f>'תקציב החברה לפיתוח 2020'!V73</f>
        <v>0</v>
      </c>
      <c r="W61" s="199">
        <f>'תקציב החברה לפיתוח 2020'!W73</f>
        <v>0</v>
      </c>
      <c r="X61" s="199">
        <f>'תקציב החברה לפיתוח 2020'!X73</f>
        <v>0</v>
      </c>
      <c r="Y61" s="199">
        <f>'תקציב החברה לפיתוח 2020'!Y73</f>
        <v>0</v>
      </c>
      <c r="Z61" s="199">
        <f>'תקציב החברה לפיתוח 2020'!Z73</f>
        <v>0</v>
      </c>
      <c r="AA61" s="341" t="str">
        <f>'תקציב החברה לפיתוח 2020'!AA73</f>
        <v xml:space="preserve">עבר משאיפה/איכות הסביבה. </v>
      </c>
      <c r="AB61" s="707">
        <f>'תקציב החברה לפיתוח 2020'!AB73</f>
        <v>746000</v>
      </c>
      <c r="AC61" s="191"/>
      <c r="AD61" s="191"/>
    </row>
    <row r="62" spans="1:39" s="5" customFormat="1" ht="41.4">
      <c r="A62" s="198">
        <f>A61+1</f>
        <v>56</v>
      </c>
      <c r="B62" s="707">
        <f>'תקציב החברה לפיתוח 2020'!B89</f>
        <v>2108</v>
      </c>
      <c r="C62" s="341" t="str">
        <f>'תקציב החברה לפיתוח 2020'!C89</f>
        <v>תכנון שצ"פים במתחם הר' 1960</v>
      </c>
      <c r="D62" s="199">
        <f>'תקציב החברה לפיתוח 2020'!D89</f>
        <v>14100000</v>
      </c>
      <c r="E62" s="199">
        <f>'תקציב החברה לפיתוח 2020'!E89</f>
        <v>14100000</v>
      </c>
      <c r="F62" s="199">
        <f>'תקציב החברה לפיתוח 2020'!F89</f>
        <v>0</v>
      </c>
      <c r="G62" s="199">
        <f>'תקציב החברה לפיתוח 2020'!G89</f>
        <v>0</v>
      </c>
      <c r="H62" s="199">
        <f>'תקציב החברה לפיתוח 2020'!H89</f>
        <v>0</v>
      </c>
      <c r="I62" s="199">
        <f>'תקציב החברה לפיתוח 2020'!I89</f>
        <v>0</v>
      </c>
      <c r="J62" s="199">
        <f>'תקציב החברה לפיתוח 2020'!J89</f>
        <v>0</v>
      </c>
      <c r="K62" s="199">
        <f>'תקציב החברה לפיתוח 2020'!K89</f>
        <v>0</v>
      </c>
      <c r="L62" s="199">
        <f>'תקציב החברה לפיתוח 2020'!L89</f>
        <v>0</v>
      </c>
      <c r="M62" s="199">
        <f>'תקציב החברה לפיתוח 2020'!M89</f>
        <v>0</v>
      </c>
      <c r="N62" s="199">
        <f>'תקציב החברה לפיתוח 2020'!N89</f>
        <v>1200000</v>
      </c>
      <c r="O62" s="199">
        <f>'תקציב החברה לפיתוח 2020'!O89</f>
        <v>12900000</v>
      </c>
      <c r="P62" s="199">
        <f>'תקציב החברה לפיתוח 2020'!P89</f>
        <v>0</v>
      </c>
      <c r="Q62" s="199">
        <f>'תקציב החברה לפיתוח 2020'!Q89</f>
        <v>0</v>
      </c>
      <c r="R62" s="199">
        <f>'תקציב החברה לפיתוח 2020'!R89</f>
        <v>0</v>
      </c>
      <c r="S62" s="199">
        <f>'תקציב החברה לפיתוח 2020'!S89</f>
        <v>0</v>
      </c>
      <c r="T62" s="199">
        <f>'תקציב החברה לפיתוח 2020'!T89</f>
        <v>0</v>
      </c>
      <c r="U62" s="199">
        <f>'תקציב החברה לפיתוח 2020'!U89</f>
        <v>1200000</v>
      </c>
      <c r="V62" s="199">
        <f>'תקציב החברה לפיתוח 2020'!V89</f>
        <v>1200000</v>
      </c>
      <c r="W62" s="199">
        <f>'תקציב החברה לפיתוח 2020'!W89</f>
        <v>0</v>
      </c>
      <c r="X62" s="199">
        <f>'תקציב החברה לפיתוח 2020'!X89</f>
        <v>0</v>
      </c>
      <c r="Y62" s="199">
        <f>'תקציב החברה לפיתוח 2020'!Y89</f>
        <v>0</v>
      </c>
      <c r="Z62" s="199">
        <f>'תקציב החברה לפיתוח 2020'!Z89</f>
        <v>0</v>
      </c>
      <c r="AA62" s="341" t="str">
        <f>'תקציב החברה לפיתוח 2020'!AA89</f>
        <v>תכנון שצ"פים במתחם  הר' 1960 : קורן,דן שומרון ,דורי ומשה שמיר. עבר מהנדסה.</v>
      </c>
      <c r="AB62" s="707">
        <f>'תקציב החברה לפיתוח 2020'!AB89</f>
        <v>746000</v>
      </c>
      <c r="AC62" s="619"/>
      <c r="AD62" s="52"/>
      <c r="AG62" s="6"/>
      <c r="AH62" s="6"/>
      <c r="AI62" s="6"/>
      <c r="AJ62" s="6"/>
      <c r="AK62" s="6"/>
      <c r="AL62" s="6"/>
      <c r="AM62" s="6"/>
    </row>
    <row r="63" spans="1:39" s="210" customFormat="1" ht="41.4">
      <c r="A63" s="198">
        <f>A62+1</f>
        <v>57</v>
      </c>
      <c r="B63" s="707">
        <f>'תקציב החברה לפיתוח 2020'!B94</f>
        <v>2118</v>
      </c>
      <c r="C63" s="341" t="str">
        <f>'תקציב החברה לפיתוח 2020'!C94</f>
        <v>שצ"פ דליה רביקוביץ בשכונת אלתרמן (הר/1920)</v>
      </c>
      <c r="D63" s="199">
        <f>'תקציב החברה לפיתוח 2020'!D94</f>
        <v>1800000</v>
      </c>
      <c r="E63" s="199">
        <f>'תקציב החברה לפיתוח 2020'!E94</f>
        <v>1800000</v>
      </c>
      <c r="F63" s="199">
        <f>'תקציב החברה לפיתוח 2020'!F94</f>
        <v>0</v>
      </c>
      <c r="G63" s="199">
        <f>'תקציב החברה לפיתוח 2020'!G94</f>
        <v>100000</v>
      </c>
      <c r="H63" s="199">
        <f>'תקציב החברה לפיתוח 2020'!H94</f>
        <v>0</v>
      </c>
      <c r="I63" s="199">
        <f>'תקציב החברה לפיתוח 2020'!I94</f>
        <v>0</v>
      </c>
      <c r="J63" s="199">
        <f>'תקציב החברה לפיתוח 2020'!J94</f>
        <v>0</v>
      </c>
      <c r="K63" s="199">
        <f>'תקציב החברה לפיתוח 2020'!K94</f>
        <v>0</v>
      </c>
      <c r="L63" s="199">
        <f>'תקציב החברה לפיתוח 2020'!L94</f>
        <v>0</v>
      </c>
      <c r="M63" s="199">
        <f>'תקציב החברה לפיתוח 2020'!M94</f>
        <v>100000</v>
      </c>
      <c r="N63" s="199">
        <f>'תקציב החברה לפיתוח 2020'!N94</f>
        <v>1700000</v>
      </c>
      <c r="O63" s="199">
        <f>'תקציב החברה לפיתוח 2020'!O94</f>
        <v>0</v>
      </c>
      <c r="P63" s="199">
        <f>'תקציב החברה לפיתוח 2020'!P94</f>
        <v>100000</v>
      </c>
      <c r="Q63" s="199">
        <f>'תקציב החברה לפיתוח 2020'!Q94</f>
        <v>0</v>
      </c>
      <c r="R63" s="199">
        <f>'תקציב החברה לפיתוח 2020'!R94</f>
        <v>0</v>
      </c>
      <c r="S63" s="199">
        <f>'תקציב החברה לפיתוח 2020'!S94</f>
        <v>0</v>
      </c>
      <c r="T63" s="199">
        <f>'תקציב החברה לפיתוח 2020'!T94</f>
        <v>0</v>
      </c>
      <c r="U63" s="199">
        <f>'תקציב החברה לפיתוח 2020'!U94</f>
        <v>1700000</v>
      </c>
      <c r="V63" s="199">
        <f>'תקציב החברה לפיתוח 2020'!V94</f>
        <v>1700000</v>
      </c>
      <c r="W63" s="199">
        <f>'תקציב החברה לפיתוח 2020'!W94</f>
        <v>0</v>
      </c>
      <c r="X63" s="199">
        <f>'תקציב החברה לפיתוח 2020'!X94</f>
        <v>0</v>
      </c>
      <c r="Y63" s="199">
        <f>'תקציב החברה לפיתוח 2020'!Y94</f>
        <v>0</v>
      </c>
      <c r="Z63" s="199">
        <f>'תקציב החברה לפיתוח 2020'!Z94</f>
        <v>0</v>
      </c>
      <c r="AA63" s="341" t="str">
        <f>'תקציב החברה לפיתוח 2020'!AA94</f>
        <v xml:space="preserve">ביצוע שצ"פ בקטע רח' דליה רביקוביץ פינת אסתר רהב. עבר מהנדסה. </v>
      </c>
      <c r="AB63" s="707">
        <f>'תקציב החברה לפיתוח 2020'!AB94</f>
        <v>746000</v>
      </c>
      <c r="AC63" s="191"/>
      <c r="AD63" s="191"/>
      <c r="AE63" s="6"/>
      <c r="AF63" s="6"/>
      <c r="AG63" s="6"/>
      <c r="AH63" s="6"/>
      <c r="AI63" s="6"/>
      <c r="AJ63" s="6"/>
      <c r="AK63" s="6"/>
      <c r="AL63" s="6"/>
      <c r="AM63" s="6"/>
    </row>
    <row r="64" spans="1:39" s="203" customFormat="1" ht="41.4">
      <c r="A64" s="198">
        <f>A63+1</f>
        <v>58</v>
      </c>
      <c r="B64" s="707">
        <f>'תקציב החברה לפיתוח 2020'!B102</f>
        <v>2150</v>
      </c>
      <c r="C64" s="341" t="str">
        <f>'תקציב החברה לפיתוח 2020'!C102</f>
        <v>חורשת האקליפטוסים במתחם הר 1960</v>
      </c>
      <c r="D64" s="199">
        <f>'תקציב החברה לפיתוח 2020'!D102</f>
        <v>3500000</v>
      </c>
      <c r="E64" s="199">
        <f>'תקציב החברה לפיתוח 2020'!E102</f>
        <v>0</v>
      </c>
      <c r="F64" s="199">
        <f>'תקציב החברה לפיתוח 2020'!F102</f>
        <v>3500000</v>
      </c>
      <c r="G64" s="199">
        <f>'תקציב החברה לפיתוח 2020'!G102</f>
        <v>0</v>
      </c>
      <c r="H64" s="199">
        <f>'תקציב החברה לפיתוח 2020'!H102</f>
        <v>0</v>
      </c>
      <c r="I64" s="199">
        <f>'תקציב החברה לפיתוח 2020'!I102</f>
        <v>0</v>
      </c>
      <c r="J64" s="199">
        <f>'תקציב החברה לפיתוח 2020'!J102</f>
        <v>0</v>
      </c>
      <c r="K64" s="199">
        <f>'תקציב החברה לפיתוח 2020'!K102</f>
        <v>0</v>
      </c>
      <c r="L64" s="199">
        <f>'תקציב החברה לפיתוח 2020'!L102</f>
        <v>0</v>
      </c>
      <c r="M64" s="199">
        <f>'תקציב החברה לפיתוח 2020'!M102</f>
        <v>0</v>
      </c>
      <c r="N64" s="199">
        <f>'תקציב החברה לפיתוח 2020'!N102</f>
        <v>3500000</v>
      </c>
      <c r="O64" s="199">
        <f>'תקציב החברה לפיתוח 2020'!O102</f>
        <v>0</v>
      </c>
      <c r="P64" s="199">
        <f>'תקציב החברה לפיתוח 2020'!P102</f>
        <v>0</v>
      </c>
      <c r="Q64" s="199">
        <f>'תקציב החברה לפיתוח 2020'!Q102</f>
        <v>0</v>
      </c>
      <c r="R64" s="199">
        <f>'תקציב החברה לפיתוח 2020'!R102</f>
        <v>0</v>
      </c>
      <c r="S64" s="199">
        <f>'תקציב החברה לפיתוח 2020'!S102</f>
        <v>0</v>
      </c>
      <c r="T64" s="199">
        <f>'תקציב החברה לפיתוח 2020'!T102</f>
        <v>0</v>
      </c>
      <c r="U64" s="199">
        <f>'תקציב החברה לפיתוח 2020'!U102</f>
        <v>3500000</v>
      </c>
      <c r="V64" s="199">
        <f>'תקציב החברה לפיתוח 2020'!V102</f>
        <v>3500000</v>
      </c>
      <c r="W64" s="199">
        <f>'תקציב החברה לפיתוח 2020'!W102</f>
        <v>0</v>
      </c>
      <c r="X64" s="199">
        <f>'תקציב החברה לפיתוח 2020'!X102</f>
        <v>0</v>
      </c>
      <c r="Y64" s="199">
        <f>'תקציב החברה לפיתוח 2020'!Y102</f>
        <v>0</v>
      </c>
      <c r="Z64" s="199">
        <f>'תקציב החברה לפיתוח 2020'!Z102</f>
        <v>0</v>
      </c>
      <c r="AA64" s="341" t="str">
        <f>'תקציב החברה לפיתוח 2020'!AA102</f>
        <v>ביצוע שצ"פ מלכי יהודה (האקליפטוס) תב"ע 1960. עבר מהנדסה.</v>
      </c>
      <c r="AB64" s="707">
        <f>'תקציב החברה לפיתוח 2020'!AB102</f>
        <v>746000</v>
      </c>
      <c r="AC64" s="191"/>
      <c r="AD64" s="191"/>
      <c r="AE64" s="5"/>
      <c r="AF64" s="5"/>
      <c r="AG64" s="5"/>
      <c r="AH64" s="5"/>
      <c r="AI64" s="5"/>
      <c r="AJ64" s="5"/>
      <c r="AK64" s="5"/>
      <c r="AL64" s="5"/>
      <c r="AM64" s="5"/>
    </row>
    <row r="65" spans="1:39" ht="27.6">
      <c r="A65" s="198">
        <f>1+A64</f>
        <v>59</v>
      </c>
      <c r="B65" s="707">
        <f>'תקציב החברה לפיתוח 2020'!B110</f>
        <v>1827</v>
      </c>
      <c r="C65" s="341" t="str">
        <f>'תקציב החברה לפיתוח 2020'!C110</f>
        <v xml:space="preserve">פארק גליל ים </v>
      </c>
      <c r="D65" s="199">
        <f>'תקציב החברה לפיתוח 2020'!D110</f>
        <v>100000000</v>
      </c>
      <c r="E65" s="199">
        <f>'תקציב החברה לפיתוח 2020'!E110</f>
        <v>100000000</v>
      </c>
      <c r="F65" s="199">
        <f>'תקציב החברה לפיתוח 2020'!F110</f>
        <v>0</v>
      </c>
      <c r="G65" s="199">
        <f>'תקציב החברה לפיתוח 2020'!G110</f>
        <v>55268638</v>
      </c>
      <c r="H65" s="199">
        <f>'תקציב החברה לפיתוח 2020'!H110</f>
        <v>50987035</v>
      </c>
      <c r="I65" s="199">
        <f>'תקציב החברה לפיתוח 2020'!I110</f>
        <v>0</v>
      </c>
      <c r="J65" s="199">
        <f>'תקציב החברה לפיתוח 2020'!J110</f>
        <v>984074.35</v>
      </c>
      <c r="K65" s="199">
        <f>'תקציב החברה לפיתוח 2020'!K110</f>
        <v>984074.35</v>
      </c>
      <c r="L65" s="199">
        <f>'תקציב החברה לפיתוח 2020'!L110</f>
        <v>51971109.350000001</v>
      </c>
      <c r="M65" s="199">
        <f>'תקציב החברה לפיתוח 2020'!M110</f>
        <v>11297528.649999999</v>
      </c>
      <c r="N65" s="199">
        <f>'תקציב החברה לפיתוח 2020'!N110</f>
        <v>36731362</v>
      </c>
      <c r="O65" s="199">
        <f>'תקציב החברה לפיתוח 2020'!O110</f>
        <v>0</v>
      </c>
      <c r="P65" s="199">
        <f>'תקציב החברה לפיתוח 2020'!P110</f>
        <v>3297528.6499999985</v>
      </c>
      <c r="Q65" s="199">
        <f>'תקציב החברה לפיתוח 2020'!Q110</f>
        <v>8000000</v>
      </c>
      <c r="R65" s="199">
        <f>'תקציב החברה לפיתוח 2020'!R110</f>
        <v>0</v>
      </c>
      <c r="S65" s="199">
        <f>'תקציב החברה לפיתוח 2020'!S110</f>
        <v>8000000</v>
      </c>
      <c r="T65" s="199">
        <f>'תקציב החברה לפיתוח 2020'!T110</f>
        <v>0</v>
      </c>
      <c r="U65" s="199">
        <f>'תקציב החברה לפיתוח 2020'!U110</f>
        <v>36731362</v>
      </c>
      <c r="V65" s="199">
        <f>'תקציב החברה לפיתוח 2020'!V110</f>
        <v>0</v>
      </c>
      <c r="W65" s="199">
        <f>'תקציב החברה לפיתוח 2020'!W110</f>
        <v>0</v>
      </c>
      <c r="X65" s="199">
        <f>'תקציב החברה לפיתוח 2020'!X110</f>
        <v>0</v>
      </c>
      <c r="Y65" s="199">
        <f>'תקציב החברה לפיתוח 2020'!Y110</f>
        <v>0</v>
      </c>
      <c r="Z65" s="199">
        <f>'תקציב החברה לפיתוח 2020'!Z110</f>
        <v>36731362</v>
      </c>
      <c r="AA65" s="341" t="str">
        <f>'תקציב החברה לפיתוח 2020'!AA110</f>
        <v>עבודות פיתוח. מימון רמ"י במסגרת הסכם "הגג".</v>
      </c>
      <c r="AB65" s="707">
        <f>'תקציב החברה לפיתוח 2020'!AB110</f>
        <v>746000</v>
      </c>
      <c r="AE65" s="210"/>
      <c r="AK65" s="205"/>
    </row>
    <row r="66" spans="1:39" ht="27.6">
      <c r="A66" s="198">
        <f>1+A65</f>
        <v>60</v>
      </c>
      <c r="B66" s="707">
        <f>'תקציב החברה לפיתוח 2020'!B111</f>
        <v>1905</v>
      </c>
      <c r="C66" s="341" t="str">
        <f>'תקציב החברה לפיתוח 2020'!C111</f>
        <v>שצ"פ מערב קיר אקוסטי גליל ים ב'</v>
      </c>
      <c r="D66" s="199">
        <f>'תקציב החברה לפיתוח 2020'!D111</f>
        <v>3366000</v>
      </c>
      <c r="E66" s="199">
        <f>'תקציב החברה לפיתוח 2020'!E111</f>
        <v>3366000</v>
      </c>
      <c r="F66" s="199">
        <f>'תקציב החברה לפיתוח 2020'!F111</f>
        <v>0</v>
      </c>
      <c r="G66" s="199">
        <f>'תקציב החברה לפיתוח 2020'!G111</f>
        <v>3366000</v>
      </c>
      <c r="H66" s="199">
        <f>'תקציב החברה לפיתוח 2020'!H111</f>
        <v>0</v>
      </c>
      <c r="I66" s="199">
        <f>'תקציב החברה לפיתוח 2020'!I111</f>
        <v>0</v>
      </c>
      <c r="J66" s="199">
        <f>'תקציב החברה לפיתוח 2020'!J111</f>
        <v>0</v>
      </c>
      <c r="K66" s="199">
        <f>'תקציב החברה לפיתוח 2020'!K111</f>
        <v>0</v>
      </c>
      <c r="L66" s="199">
        <f>'תקציב החברה לפיתוח 2020'!L111</f>
        <v>0</v>
      </c>
      <c r="M66" s="199">
        <f>'תקציב החברה לפיתוח 2020'!M111</f>
        <v>3366000</v>
      </c>
      <c r="N66" s="199">
        <f>'תקציב החברה לפיתוח 2020'!N111</f>
        <v>0</v>
      </c>
      <c r="O66" s="199">
        <f>'תקציב החברה לפיתוח 2020'!O111</f>
        <v>0</v>
      </c>
      <c r="P66" s="199">
        <f>'תקציב החברה לפיתוח 2020'!P111</f>
        <v>3366000</v>
      </c>
      <c r="Q66" s="199">
        <f>'תקציב החברה לפיתוח 2020'!Q111</f>
        <v>0</v>
      </c>
      <c r="R66" s="199">
        <f>'תקציב החברה לפיתוח 2020'!R111</f>
        <v>0</v>
      </c>
      <c r="S66" s="199">
        <f>'תקציב החברה לפיתוח 2020'!S111</f>
        <v>0</v>
      </c>
      <c r="T66" s="199">
        <f>'תקציב החברה לפיתוח 2020'!T111</f>
        <v>0</v>
      </c>
      <c r="U66" s="199">
        <f>'תקציב החברה לפיתוח 2020'!U111</f>
        <v>0</v>
      </c>
      <c r="V66" s="199">
        <f>'תקציב החברה לפיתוח 2020'!V111</f>
        <v>0</v>
      </c>
      <c r="W66" s="199">
        <f>'תקציב החברה לפיתוח 2020'!W111</f>
        <v>0</v>
      </c>
      <c r="X66" s="199">
        <f>'תקציב החברה לפיתוח 2020'!X111</f>
        <v>0</v>
      </c>
      <c r="Y66" s="199">
        <f>'תקציב החברה לפיתוח 2020'!Y111</f>
        <v>0</v>
      </c>
      <c r="Z66" s="199">
        <f>'תקציב החברה לפיתוח 2020'!Z111</f>
        <v>0</v>
      </c>
      <c r="AA66" s="341" t="str">
        <f>'תקציב החברה לפיתוח 2020'!AA111</f>
        <v>מימון רמ"י במסגרת הסכם "הגג".</v>
      </c>
      <c r="AB66" s="707">
        <f>'תקציב החברה לפיתוח 2020'!AB111</f>
        <v>746000</v>
      </c>
      <c r="AE66" s="202"/>
      <c r="AI66" s="202"/>
      <c r="AJ66" s="202"/>
      <c r="AK66" s="202"/>
      <c r="AL66" s="202"/>
      <c r="AM66" s="202"/>
    </row>
    <row r="67" spans="1:39" s="428" customFormat="1">
      <c r="A67" s="339"/>
      <c r="B67" s="727"/>
      <c r="C67" s="778" t="s">
        <v>691</v>
      </c>
      <c r="D67" s="439">
        <f>SUM(D15:D66)</f>
        <v>1221347330</v>
      </c>
      <c r="E67" s="439">
        <f t="shared" ref="E67:Z67" si="3">SUM(E15:E66)</f>
        <v>1099897330</v>
      </c>
      <c r="F67" s="439">
        <f t="shared" si="3"/>
        <v>121450000</v>
      </c>
      <c r="G67" s="439">
        <f t="shared" si="3"/>
        <v>567914495</v>
      </c>
      <c r="H67" s="439">
        <f t="shared" si="3"/>
        <v>444457772.19999999</v>
      </c>
      <c r="I67" s="439">
        <f t="shared" si="3"/>
        <v>2075146.81</v>
      </c>
      <c r="J67" s="439">
        <f t="shared" si="3"/>
        <v>24997959.089999996</v>
      </c>
      <c r="K67" s="439">
        <f t="shared" si="3"/>
        <v>27073105.899999999</v>
      </c>
      <c r="L67" s="439">
        <f t="shared" si="3"/>
        <v>471530878.09999996</v>
      </c>
      <c r="M67" s="439">
        <f t="shared" si="3"/>
        <v>177884867.90000007</v>
      </c>
      <c r="N67" s="439">
        <f t="shared" si="3"/>
        <v>112856362</v>
      </c>
      <c r="O67" s="439">
        <f t="shared" si="3"/>
        <v>459075222</v>
      </c>
      <c r="P67" s="439">
        <f t="shared" si="3"/>
        <v>96383616.900000006</v>
      </c>
      <c r="Q67" s="439">
        <f t="shared" si="3"/>
        <v>84141251</v>
      </c>
      <c r="R67" s="439">
        <f t="shared" si="3"/>
        <v>1810000</v>
      </c>
      <c r="S67" s="439">
        <f t="shared" si="3"/>
        <v>85951251</v>
      </c>
      <c r="T67" s="439">
        <f t="shared" si="3"/>
        <v>4450000</v>
      </c>
      <c r="U67" s="439">
        <f t="shared" si="3"/>
        <v>108406362</v>
      </c>
      <c r="V67" s="439">
        <f t="shared" si="3"/>
        <v>55107489</v>
      </c>
      <c r="W67" s="439">
        <f t="shared" si="3"/>
        <v>0</v>
      </c>
      <c r="X67" s="439">
        <f t="shared" si="3"/>
        <v>0</v>
      </c>
      <c r="Y67" s="439">
        <f t="shared" si="3"/>
        <v>2356686</v>
      </c>
      <c r="Z67" s="439">
        <f t="shared" si="3"/>
        <v>50942187</v>
      </c>
      <c r="AA67" s="441"/>
      <c r="AB67" s="727"/>
      <c r="AE67" s="411"/>
      <c r="AF67" s="414"/>
      <c r="AG67" s="414"/>
      <c r="AH67" s="414"/>
      <c r="AI67" s="411"/>
      <c r="AJ67" s="411"/>
      <c r="AK67" s="411"/>
      <c r="AL67" s="411"/>
      <c r="AM67" s="411"/>
    </row>
    <row r="68" spans="1:39" ht="27.6">
      <c r="A68" s="198">
        <f>A66+1</f>
        <v>61</v>
      </c>
      <c r="B68" s="707">
        <f>'תקציב החברה לפיתוח 2020'!B18</f>
        <v>1375</v>
      </c>
      <c r="C68" s="341" t="str">
        <f>'תקציב החברה לפיתוח 2020'!C18</f>
        <v>הקמת בריכה ומרכז לאומנויות לחימה</v>
      </c>
      <c r="D68" s="199">
        <f>'תקציב החברה לפיתוח 2020'!D18</f>
        <v>40150000</v>
      </c>
      <c r="E68" s="199">
        <f>'תקציב החברה לפיתוח 2020'!E18</f>
        <v>40150000</v>
      </c>
      <c r="F68" s="199">
        <f>'תקציב החברה לפיתוח 2020'!F18</f>
        <v>0</v>
      </c>
      <c r="G68" s="199">
        <f>'תקציב החברה לפיתוח 2020'!G18</f>
        <v>29500000</v>
      </c>
      <c r="H68" s="199">
        <f>'תקציב החברה לפיתוח 2020'!H18</f>
        <v>27491253.710000001</v>
      </c>
      <c r="I68" s="199">
        <f>'תקציב החברה לפיתוח 2020'!I18</f>
        <v>0</v>
      </c>
      <c r="J68" s="199">
        <f>'תקציב החברה לפיתוח 2020'!J18</f>
        <v>73394.25</v>
      </c>
      <c r="K68" s="199">
        <f>'תקציב החברה לפיתוח 2020'!K18</f>
        <v>73394.25</v>
      </c>
      <c r="L68" s="199">
        <f>'תקציב החברה לפיתוח 2020'!L18</f>
        <v>27564647.960000001</v>
      </c>
      <c r="M68" s="199">
        <f>'תקציב החברה לפיתוח 2020'!M18</f>
        <v>2585352.0399999991</v>
      </c>
      <c r="N68" s="199">
        <f>'תקציב החברה לפיתוח 2020'!N18</f>
        <v>0</v>
      </c>
      <c r="O68" s="199">
        <f>'תקציב החברה לפיתוח 2020'!O18</f>
        <v>10000000</v>
      </c>
      <c r="P68" s="199">
        <f>'תקציב החברה לפיתוח 2020'!P18</f>
        <v>1935352.0399999991</v>
      </c>
      <c r="Q68" s="199">
        <f>'תקציב החברה לפיתוח 2020'!Q18</f>
        <v>650000</v>
      </c>
      <c r="R68" s="199">
        <f>'תקציב החברה לפיתוח 2020'!R18</f>
        <v>0</v>
      </c>
      <c r="S68" s="199">
        <f>'תקציב החברה לפיתוח 2020'!S18</f>
        <v>650000</v>
      </c>
      <c r="T68" s="199">
        <f>'תקציב החברה לפיתוח 2020'!T18</f>
        <v>0</v>
      </c>
      <c r="U68" s="199">
        <f>'תקציב החברה לפיתוח 2020'!U18</f>
        <v>0</v>
      </c>
      <c r="V68" s="199">
        <f>'תקציב החברה לפיתוח 2020'!V18</f>
        <v>0</v>
      </c>
      <c r="W68" s="199">
        <f>'תקציב החברה לפיתוח 2020'!W18</f>
        <v>0</v>
      </c>
      <c r="X68" s="199">
        <f>'תקציב החברה לפיתוח 2020'!X18</f>
        <v>0</v>
      </c>
      <c r="Y68" s="199">
        <f>'תקציב החברה לפיתוח 2020'!Y18</f>
        <v>0</v>
      </c>
      <c r="Z68" s="199">
        <f>'תקציב החברה לפיתוח 2020'!Z18</f>
        <v>0</v>
      </c>
      <c r="AA68" s="341" t="str">
        <f>'תקציב החברה לפיתוח 2020'!AA18</f>
        <v xml:space="preserve">המשך עבודות הקמת חדרי פעילויות, בית קפה לרבות תוספת שרותים. </v>
      </c>
      <c r="AB68" s="707">
        <f>'תקציב החברה לפיתוח 2020'!AB18</f>
        <v>747000</v>
      </c>
      <c r="AE68" s="624"/>
      <c r="AF68" s="627"/>
      <c r="AI68" s="202"/>
      <c r="AJ68" s="202"/>
      <c r="AK68" s="202"/>
      <c r="AL68" s="202"/>
      <c r="AM68" s="202"/>
    </row>
    <row r="69" spans="1:39" s="202" customFormat="1" ht="27.6">
      <c r="A69" s="198">
        <f>A68+1</f>
        <v>62</v>
      </c>
      <c r="B69" s="707">
        <f>'תקציב החברה לפיתוח 2020'!B81</f>
        <v>2080</v>
      </c>
      <c r="C69" s="341" t="str">
        <f>'תקציב החברה לפיתוח 2020'!C81</f>
        <v>הכשרת החוף הנפרד</v>
      </c>
      <c r="D69" s="199">
        <f>'תקציב החברה לפיתוח 2020'!D81</f>
        <v>2400000</v>
      </c>
      <c r="E69" s="199">
        <f>'תקציב החברה לפיתוח 2020'!E81</f>
        <v>2050000</v>
      </c>
      <c r="F69" s="199">
        <f>'תקציב החברה לפיתוח 2020'!F81</f>
        <v>350000</v>
      </c>
      <c r="G69" s="199">
        <f>'תקציב החברה לפיתוח 2020'!G81</f>
        <v>2050000</v>
      </c>
      <c r="H69" s="199">
        <f>'תקציב החברה לפיתוח 2020'!H81</f>
        <v>1430935</v>
      </c>
      <c r="I69" s="199">
        <f>'תקציב החברה לפיתוח 2020'!I81</f>
        <v>0</v>
      </c>
      <c r="J69" s="199">
        <f>'תקציב החברה לפיתוח 2020'!J81</f>
        <v>569918.30000000005</v>
      </c>
      <c r="K69" s="199">
        <f>'תקציב החברה לפיתוח 2020'!K81</f>
        <v>569918.30000000005</v>
      </c>
      <c r="L69" s="199">
        <f>'תקציב החברה לפיתוח 2020'!L81</f>
        <v>2000853.3</v>
      </c>
      <c r="M69" s="199">
        <f>'תקציב החברה לפיתוח 2020'!M81</f>
        <v>49146.699999999953</v>
      </c>
      <c r="N69" s="199">
        <f>'תקציב החברה לפיתוח 2020'!N81</f>
        <v>350000</v>
      </c>
      <c r="O69" s="199">
        <f>'תקציב החברה לפיתוח 2020'!O81</f>
        <v>0</v>
      </c>
      <c r="P69" s="199">
        <f>'תקציב החברה לפיתוח 2020'!P81</f>
        <v>49146.699999999953</v>
      </c>
      <c r="Q69" s="199">
        <f>'תקציב החברה לפיתוח 2020'!Q81</f>
        <v>0</v>
      </c>
      <c r="R69" s="199">
        <f>'תקציב החברה לפיתוח 2020'!R81</f>
        <v>0</v>
      </c>
      <c r="S69" s="199">
        <f>'תקציב החברה לפיתוח 2020'!S81</f>
        <v>0</v>
      </c>
      <c r="T69" s="199">
        <f>'תקציב החברה לפיתוח 2020'!T81</f>
        <v>0</v>
      </c>
      <c r="U69" s="199">
        <f>'תקציב החברה לפיתוח 2020'!U81</f>
        <v>350000</v>
      </c>
      <c r="V69" s="199">
        <f>'תקציב החברה לפיתוח 2020'!V81</f>
        <v>350000</v>
      </c>
      <c r="W69" s="199">
        <f>'תקציב החברה לפיתוח 2020'!W81</f>
        <v>0</v>
      </c>
      <c r="X69" s="199">
        <f>'תקציב החברה לפיתוח 2020'!X81</f>
        <v>0</v>
      </c>
      <c r="Y69" s="199">
        <f>'תקציב החברה לפיתוח 2020'!Y81</f>
        <v>0</v>
      </c>
      <c r="Z69" s="199">
        <f>'תקציב החברה לפיתוח 2020'!Z81</f>
        <v>0</v>
      </c>
      <c r="AA69" s="341" t="str">
        <f>'תקציב החברה לפיתוח 2020'!AA81</f>
        <v xml:space="preserve">עבודות הכשרת החוף הנפרד, מעברים ושיפוץ כולל גשר מעבר. </v>
      </c>
      <c r="AB69" s="707">
        <f>'תקציב החברה לפיתוח 2020'!AB81</f>
        <v>747000</v>
      </c>
      <c r="AC69" s="191"/>
      <c r="AD69" s="191"/>
      <c r="AE69" s="624"/>
      <c r="AF69" s="627"/>
      <c r="AG69" s="331"/>
      <c r="AH69" s="331"/>
      <c r="AI69" s="191"/>
      <c r="AJ69" s="191"/>
      <c r="AK69" s="205"/>
      <c r="AL69" s="191"/>
      <c r="AM69" s="191"/>
    </row>
    <row r="70" spans="1:39" s="411" customFormat="1">
      <c r="A70" s="339"/>
      <c r="B70" s="725"/>
      <c r="C70" s="778" t="s">
        <v>701</v>
      </c>
      <c r="D70" s="439">
        <f>SUM(D68:D69)</f>
        <v>42550000</v>
      </c>
      <c r="E70" s="439">
        <f t="shared" ref="E70:Z70" si="4">SUM(E68:E69)</f>
        <v>42200000</v>
      </c>
      <c r="F70" s="439">
        <f t="shared" si="4"/>
        <v>350000</v>
      </c>
      <c r="G70" s="439">
        <f t="shared" si="4"/>
        <v>31550000</v>
      </c>
      <c r="H70" s="439">
        <f t="shared" si="4"/>
        <v>28922188.710000001</v>
      </c>
      <c r="I70" s="439">
        <f t="shared" si="4"/>
        <v>0</v>
      </c>
      <c r="J70" s="439">
        <f t="shared" si="4"/>
        <v>643312.55000000005</v>
      </c>
      <c r="K70" s="439">
        <f t="shared" si="4"/>
        <v>643312.55000000005</v>
      </c>
      <c r="L70" s="439">
        <f t="shared" si="4"/>
        <v>29565501.260000002</v>
      </c>
      <c r="M70" s="439">
        <f t="shared" si="4"/>
        <v>2634498.7399999993</v>
      </c>
      <c r="N70" s="439">
        <f t="shared" si="4"/>
        <v>350000</v>
      </c>
      <c r="O70" s="439">
        <f t="shared" si="4"/>
        <v>10000000</v>
      </c>
      <c r="P70" s="439">
        <f t="shared" si="4"/>
        <v>1984498.7399999991</v>
      </c>
      <c r="Q70" s="439">
        <f t="shared" si="4"/>
        <v>650000</v>
      </c>
      <c r="R70" s="439">
        <f t="shared" si="4"/>
        <v>0</v>
      </c>
      <c r="S70" s="439">
        <f t="shared" si="4"/>
        <v>650000</v>
      </c>
      <c r="T70" s="439">
        <f t="shared" si="4"/>
        <v>0</v>
      </c>
      <c r="U70" s="439">
        <f t="shared" si="4"/>
        <v>350000</v>
      </c>
      <c r="V70" s="439">
        <f t="shared" si="4"/>
        <v>350000</v>
      </c>
      <c r="W70" s="439">
        <f t="shared" si="4"/>
        <v>0</v>
      </c>
      <c r="X70" s="439">
        <f t="shared" si="4"/>
        <v>0</v>
      </c>
      <c r="Y70" s="439">
        <f t="shared" si="4"/>
        <v>0</v>
      </c>
      <c r="Z70" s="439">
        <f t="shared" si="4"/>
        <v>0</v>
      </c>
      <c r="AA70" s="441"/>
      <c r="AB70" s="727"/>
      <c r="AC70" s="428"/>
      <c r="AD70" s="428"/>
      <c r="AE70" s="728"/>
      <c r="AF70" s="729"/>
      <c r="AG70" s="414"/>
      <c r="AH70" s="414"/>
      <c r="AI70" s="428"/>
      <c r="AJ70" s="428"/>
      <c r="AK70" s="440"/>
      <c r="AL70" s="428"/>
      <c r="AM70" s="428"/>
    </row>
    <row r="71" spans="1:39" s="202" customFormat="1">
      <c r="A71" s="198">
        <f>A69+1</f>
        <v>63</v>
      </c>
      <c r="B71" s="707">
        <f>'תקציב החברה לפיתוח 2020'!B20</f>
        <v>1443</v>
      </c>
      <c r="C71" s="341" t="str">
        <f>'תקציב החברה לפיתוח 2020'!C20</f>
        <v>עבודות פינוי ומיחזור הר' 1903</v>
      </c>
      <c r="D71" s="199">
        <f>'תקציב החברה לפיתוח 2020'!D20</f>
        <v>78500000</v>
      </c>
      <c r="E71" s="199">
        <f>'תקציב החברה לפיתוח 2020'!E20</f>
        <v>78500000</v>
      </c>
      <c r="F71" s="199">
        <f>'תקציב החברה לפיתוח 2020'!F20</f>
        <v>0</v>
      </c>
      <c r="G71" s="199">
        <f>'תקציב החברה לפיתוח 2020'!G20</f>
        <v>50840000</v>
      </c>
      <c r="H71" s="199">
        <f>'תקציב החברה לפיתוח 2020'!H20</f>
        <v>50824299</v>
      </c>
      <c r="I71" s="199">
        <f>'תקציב החברה לפיתוח 2020'!I20</f>
        <v>0</v>
      </c>
      <c r="J71" s="199">
        <f>'תקציב החברה לפיתוח 2020'!J20</f>
        <v>0</v>
      </c>
      <c r="K71" s="199">
        <f>'תקציב החברה לפיתוח 2020'!K20</f>
        <v>0</v>
      </c>
      <c r="L71" s="199">
        <f>'תקציב החברה לפיתוח 2020'!L20</f>
        <v>50824299</v>
      </c>
      <c r="M71" s="199">
        <f>'תקציב החברה לפיתוח 2020'!M20</f>
        <v>15701</v>
      </c>
      <c r="N71" s="199">
        <f>'תקציב החברה לפיתוח 2020'!N20</f>
        <v>0</v>
      </c>
      <c r="O71" s="199">
        <f>'תקציב החברה לפיתוח 2020'!O20</f>
        <v>27660000</v>
      </c>
      <c r="P71" s="199">
        <f>'תקציב החברה לפיתוח 2020'!P20</f>
        <v>15701</v>
      </c>
      <c r="Q71" s="199">
        <f>'תקציב החברה לפיתוח 2020'!Q20</f>
        <v>0</v>
      </c>
      <c r="R71" s="199">
        <f>'תקציב החברה לפיתוח 2020'!R20</f>
        <v>0</v>
      </c>
      <c r="S71" s="199">
        <f>'תקציב החברה לפיתוח 2020'!S20</f>
        <v>0</v>
      </c>
      <c r="T71" s="199">
        <f>'תקציב החברה לפיתוח 2020'!T20</f>
        <v>0</v>
      </c>
      <c r="U71" s="199">
        <f>'תקציב החברה לפיתוח 2020'!U20</f>
        <v>0</v>
      </c>
      <c r="V71" s="199">
        <f>'תקציב החברה לפיתוח 2020'!V20</f>
        <v>0</v>
      </c>
      <c r="W71" s="199">
        <f>'תקציב החברה לפיתוח 2020'!W20</f>
        <v>0</v>
      </c>
      <c r="X71" s="199">
        <f>'תקציב החברה לפיתוח 2020'!X20</f>
        <v>0</v>
      </c>
      <c r="Y71" s="199">
        <f>'תקציב החברה לפיתוח 2020'!Y20</f>
        <v>0</v>
      </c>
      <c r="Z71" s="199">
        <f>'תקציב החברה לפיתוח 2020'!Z20</f>
        <v>0</v>
      </c>
      <c r="AA71" s="341">
        <f>'תקציב החברה לפיתוח 2020'!AA20</f>
        <v>0</v>
      </c>
      <c r="AB71" s="707">
        <f>'תקציב החברה לפיתוח 2020'!AB20</f>
        <v>749000</v>
      </c>
      <c r="AC71" s="191"/>
      <c r="AD71" s="191"/>
      <c r="AE71" s="624"/>
      <c r="AF71" s="627"/>
      <c r="AG71" s="331"/>
      <c r="AH71" s="331"/>
    </row>
    <row r="72" spans="1:39" s="411" customFormat="1">
      <c r="A72" s="339"/>
      <c r="B72" s="727"/>
      <c r="C72" s="778" t="s">
        <v>707</v>
      </c>
      <c r="D72" s="439">
        <f>SUM(D71)</f>
        <v>78500000</v>
      </c>
      <c r="E72" s="439">
        <f t="shared" ref="E72:Z72" si="5">SUM(E71)</f>
        <v>78500000</v>
      </c>
      <c r="F72" s="439">
        <f t="shared" si="5"/>
        <v>0</v>
      </c>
      <c r="G72" s="439">
        <f t="shared" si="5"/>
        <v>50840000</v>
      </c>
      <c r="H72" s="439">
        <f t="shared" si="5"/>
        <v>50824299</v>
      </c>
      <c r="I72" s="439">
        <f t="shared" si="5"/>
        <v>0</v>
      </c>
      <c r="J72" s="439">
        <f t="shared" si="5"/>
        <v>0</v>
      </c>
      <c r="K72" s="439">
        <f t="shared" si="5"/>
        <v>0</v>
      </c>
      <c r="L72" s="439">
        <f t="shared" si="5"/>
        <v>50824299</v>
      </c>
      <c r="M72" s="439">
        <f t="shared" si="5"/>
        <v>15701</v>
      </c>
      <c r="N72" s="439">
        <f t="shared" si="5"/>
        <v>0</v>
      </c>
      <c r="O72" s="439">
        <f t="shared" si="5"/>
        <v>27660000</v>
      </c>
      <c r="P72" s="439">
        <f t="shared" si="5"/>
        <v>15701</v>
      </c>
      <c r="Q72" s="439">
        <f t="shared" si="5"/>
        <v>0</v>
      </c>
      <c r="R72" s="439">
        <f t="shared" si="5"/>
        <v>0</v>
      </c>
      <c r="S72" s="439">
        <f t="shared" si="5"/>
        <v>0</v>
      </c>
      <c r="T72" s="439">
        <f t="shared" si="5"/>
        <v>0</v>
      </c>
      <c r="U72" s="439">
        <f t="shared" si="5"/>
        <v>0</v>
      </c>
      <c r="V72" s="439">
        <f t="shared" si="5"/>
        <v>0</v>
      </c>
      <c r="W72" s="439">
        <f t="shared" si="5"/>
        <v>0</v>
      </c>
      <c r="X72" s="439">
        <f t="shared" si="5"/>
        <v>0</v>
      </c>
      <c r="Y72" s="439">
        <f t="shared" si="5"/>
        <v>0</v>
      </c>
      <c r="Z72" s="439">
        <f t="shared" si="5"/>
        <v>0</v>
      </c>
      <c r="AA72" s="441"/>
      <c r="AB72" s="727"/>
      <c r="AC72" s="428"/>
      <c r="AD72" s="428"/>
      <c r="AE72" s="728"/>
      <c r="AF72" s="729"/>
      <c r="AG72" s="414"/>
      <c r="AH72" s="414"/>
    </row>
    <row r="73" spans="1:39" s="202" customFormat="1" ht="27.6">
      <c r="A73" s="198">
        <f>A71+1</f>
        <v>64</v>
      </c>
      <c r="B73" s="707">
        <f>'תקציב החברה לפיתוח 2020'!B8</f>
        <v>576</v>
      </c>
      <c r="C73" s="341" t="str">
        <f>'תקציב החברה לפיתוח 2020'!C8</f>
        <v>בית העלמין החדש</v>
      </c>
      <c r="D73" s="199">
        <f>'תקציב החברה לפיתוח 2020'!D8</f>
        <v>58113000</v>
      </c>
      <c r="E73" s="199">
        <f>'תקציב החברה לפיתוח 2020'!E8</f>
        <v>55113000</v>
      </c>
      <c r="F73" s="199">
        <f>'תקציב החברה לפיתוח 2020'!F8</f>
        <v>3000000</v>
      </c>
      <c r="G73" s="199">
        <f>'תקציב החברה לפיתוח 2020'!G8</f>
        <v>55113000</v>
      </c>
      <c r="H73" s="199">
        <f>'תקציב החברה לפיתוח 2020'!H8</f>
        <v>47204085.600000001</v>
      </c>
      <c r="I73" s="199">
        <f>'תקציב החברה לפיתוח 2020'!I8</f>
        <v>0</v>
      </c>
      <c r="J73" s="199">
        <f>'תקציב החברה לפיתוח 2020'!J8</f>
        <v>2886324.39</v>
      </c>
      <c r="K73" s="199">
        <f>'תקציב החברה לפיתוח 2020'!K8</f>
        <v>2886324.39</v>
      </c>
      <c r="L73" s="199">
        <f>'תקציב החברה לפיתוח 2020'!L8</f>
        <v>50090409.990000002</v>
      </c>
      <c r="M73" s="199">
        <f>'תקציב החברה לפיתוח 2020'!M8</f>
        <v>5022590.0099999979</v>
      </c>
      <c r="N73" s="199">
        <f>'תקציב החברה לפיתוח 2020'!N8</f>
        <v>3000000</v>
      </c>
      <c r="O73" s="199">
        <f>'תקציב החברה לפיתוח 2020'!O8</f>
        <v>0</v>
      </c>
      <c r="P73" s="199">
        <f>'תקציב החברה לפיתוח 2020'!P8</f>
        <v>5022590.0099999979</v>
      </c>
      <c r="Q73" s="199">
        <f>'תקציב החברה לפיתוח 2020'!Q8</f>
        <v>0</v>
      </c>
      <c r="R73" s="199">
        <f>'תקציב החברה לפיתוח 2020'!R8</f>
        <v>0</v>
      </c>
      <c r="S73" s="199">
        <f>'תקציב החברה לפיתוח 2020'!S8</f>
        <v>0</v>
      </c>
      <c r="T73" s="199">
        <f>'תקציב החברה לפיתוח 2020'!T8</f>
        <v>0</v>
      </c>
      <c r="U73" s="199">
        <f>'תקציב החברה לפיתוח 2020'!U8</f>
        <v>3000000</v>
      </c>
      <c r="V73" s="199">
        <f>'תקציב החברה לפיתוח 2020'!V8</f>
        <v>3000000</v>
      </c>
      <c r="W73" s="199">
        <f>'תקציב החברה לפיתוח 2020'!W8</f>
        <v>0</v>
      </c>
      <c r="X73" s="199">
        <f>'תקציב החברה לפיתוח 2020'!X8</f>
        <v>0</v>
      </c>
      <c r="Y73" s="199">
        <f>'תקציב החברה לפיתוח 2020'!Y8</f>
        <v>0</v>
      </c>
      <c r="Z73" s="199">
        <f>'תקציב החברה לפיתוח 2020'!Z8</f>
        <v>0</v>
      </c>
      <c r="AA73" s="341" t="str">
        <f>'תקציב החברה לפיתוח 2020'!AA8</f>
        <v>עבודות הרחבת והכשרת חלקות נוספות בבית העלמין החדש.</v>
      </c>
      <c r="AB73" s="707">
        <f>'תקציב החברה לפיתוח 2020'!AB8</f>
        <v>760000</v>
      </c>
      <c r="AC73" s="191"/>
      <c r="AD73" s="191"/>
      <c r="AE73" s="624"/>
      <c r="AF73" s="627"/>
      <c r="AG73" s="331"/>
      <c r="AH73" s="331"/>
      <c r="AI73" s="203"/>
      <c r="AJ73" s="203"/>
      <c r="AK73" s="203"/>
      <c r="AL73" s="203"/>
      <c r="AM73" s="203"/>
    </row>
    <row r="74" spans="1:39" s="411" customFormat="1">
      <c r="A74" s="339"/>
      <c r="B74" s="727"/>
      <c r="C74" s="778" t="s">
        <v>692</v>
      </c>
      <c r="D74" s="439">
        <f>SUM(D73)</f>
        <v>58113000</v>
      </c>
      <c r="E74" s="439">
        <f t="shared" ref="E74:Z74" si="6">SUM(E73)</f>
        <v>55113000</v>
      </c>
      <c r="F74" s="439">
        <f t="shared" si="6"/>
        <v>3000000</v>
      </c>
      <c r="G74" s="439">
        <f t="shared" si="6"/>
        <v>55113000</v>
      </c>
      <c r="H74" s="439">
        <f t="shared" si="6"/>
        <v>47204085.600000001</v>
      </c>
      <c r="I74" s="439">
        <f t="shared" si="6"/>
        <v>0</v>
      </c>
      <c r="J74" s="439">
        <f t="shared" si="6"/>
        <v>2886324.39</v>
      </c>
      <c r="K74" s="439">
        <f t="shared" si="6"/>
        <v>2886324.39</v>
      </c>
      <c r="L74" s="439">
        <f t="shared" si="6"/>
        <v>50090409.990000002</v>
      </c>
      <c r="M74" s="439">
        <f t="shared" si="6"/>
        <v>5022590.0099999979</v>
      </c>
      <c r="N74" s="439">
        <f t="shared" si="6"/>
        <v>3000000</v>
      </c>
      <c r="O74" s="439">
        <f t="shared" si="6"/>
        <v>0</v>
      </c>
      <c r="P74" s="439">
        <f t="shared" si="6"/>
        <v>5022590.0099999979</v>
      </c>
      <c r="Q74" s="439">
        <f t="shared" si="6"/>
        <v>0</v>
      </c>
      <c r="R74" s="439">
        <f t="shared" si="6"/>
        <v>0</v>
      </c>
      <c r="S74" s="439">
        <f t="shared" si="6"/>
        <v>0</v>
      </c>
      <c r="T74" s="439">
        <f t="shared" si="6"/>
        <v>0</v>
      </c>
      <c r="U74" s="439">
        <f t="shared" si="6"/>
        <v>3000000</v>
      </c>
      <c r="V74" s="439">
        <f t="shared" si="6"/>
        <v>3000000</v>
      </c>
      <c r="W74" s="439">
        <f t="shared" si="6"/>
        <v>0</v>
      </c>
      <c r="X74" s="439">
        <f t="shared" si="6"/>
        <v>0</v>
      </c>
      <c r="Y74" s="439">
        <f t="shared" si="6"/>
        <v>0</v>
      </c>
      <c r="Z74" s="439">
        <f t="shared" si="6"/>
        <v>0</v>
      </c>
      <c r="AA74" s="441"/>
      <c r="AB74" s="727"/>
      <c r="AC74" s="428"/>
      <c r="AD74" s="428"/>
      <c r="AE74" s="728"/>
      <c r="AF74" s="729"/>
      <c r="AG74" s="414"/>
      <c r="AH74" s="414"/>
    </row>
    <row r="75" spans="1:39" s="202" customFormat="1" ht="27.6">
      <c r="A75" s="198">
        <f>A73+1</f>
        <v>65</v>
      </c>
      <c r="B75" s="707">
        <f>'תקציב החברה לפיתוח 2020'!B31</f>
        <v>1751</v>
      </c>
      <c r="C75" s="341" t="str">
        <f>'תקציב החברה לפיתוח 2020'!C31</f>
        <v>תכנון מבנה מעונות הסטודנטים</v>
      </c>
      <c r="D75" s="199">
        <f>'תקציב החברה לפיתוח 2020'!D31</f>
        <v>4800000</v>
      </c>
      <c r="E75" s="199">
        <f>'תקציב החברה לפיתוח 2020'!E31</f>
        <v>4800000</v>
      </c>
      <c r="F75" s="199">
        <f>'תקציב החברה לפיתוח 2020'!F31</f>
        <v>0</v>
      </c>
      <c r="G75" s="199">
        <f>'תקציב החברה לפיתוח 2020'!G31</f>
        <v>4800000</v>
      </c>
      <c r="H75" s="199">
        <f>'תקציב החברה לפיתוח 2020'!H31</f>
        <v>2455646</v>
      </c>
      <c r="I75" s="199">
        <f>'תקציב החברה לפיתוח 2020'!I31</f>
        <v>0</v>
      </c>
      <c r="J75" s="199">
        <f>'תקציב החברה לפיתוח 2020'!J31</f>
        <v>68843.38</v>
      </c>
      <c r="K75" s="199">
        <f>'תקציב החברה לפיתוח 2020'!K31</f>
        <v>68843.38</v>
      </c>
      <c r="L75" s="199">
        <f>'תקציב החברה לפיתוח 2020'!L31</f>
        <v>2524489.38</v>
      </c>
      <c r="M75" s="199">
        <f>'תקציב החברה לפיתוח 2020'!M31</f>
        <v>2275510.62</v>
      </c>
      <c r="N75" s="199">
        <f>'תקציב החברה לפיתוח 2020'!N31</f>
        <v>0</v>
      </c>
      <c r="O75" s="199">
        <f>'תקציב החברה לפיתוח 2020'!O31</f>
        <v>0</v>
      </c>
      <c r="P75" s="199">
        <f>'תקציב החברה לפיתוח 2020'!P31</f>
        <v>2275510.62</v>
      </c>
      <c r="Q75" s="199">
        <f>'תקציב החברה לפיתוח 2020'!Q31</f>
        <v>0</v>
      </c>
      <c r="R75" s="199">
        <f>'תקציב החברה לפיתוח 2020'!R31</f>
        <v>0</v>
      </c>
      <c r="S75" s="199">
        <f>'תקציב החברה לפיתוח 2020'!S31</f>
        <v>0</v>
      </c>
      <c r="T75" s="199">
        <f>'תקציב החברה לפיתוח 2020'!T31</f>
        <v>0</v>
      </c>
      <c r="U75" s="199">
        <f>'תקציב החברה לפיתוח 2020'!U31</f>
        <v>0</v>
      </c>
      <c r="V75" s="199">
        <f>'תקציב החברה לפיתוח 2020'!V31</f>
        <v>0</v>
      </c>
      <c r="W75" s="199">
        <f>'תקציב החברה לפיתוח 2020'!W31</f>
        <v>0</v>
      </c>
      <c r="X75" s="199">
        <f>'תקציב החברה לפיתוח 2020'!X31</f>
        <v>0</v>
      </c>
      <c r="Y75" s="199">
        <f>'תקציב החברה לפיתוח 2020'!Y31</f>
        <v>0</v>
      </c>
      <c r="Z75" s="199">
        <f>'תקציב החברה לפיתוח 2020'!Z31</f>
        <v>0</v>
      </c>
      <c r="AA75" s="341" t="str">
        <f>'תקציב החברה לפיתוח 2020'!AA31</f>
        <v>תכנון מבנה מעונות לסטודנטים ברח' בן שפרוט.חשבונות סופיים.יש היתר.</v>
      </c>
      <c r="AB75" s="707">
        <f>'תקציב החברה לפיתוח 2020'!AB31</f>
        <v>810000</v>
      </c>
      <c r="AC75" s="191"/>
      <c r="AD75" s="191"/>
      <c r="AE75" s="624"/>
      <c r="AF75" s="627"/>
      <c r="AG75" s="331"/>
      <c r="AH75" s="331"/>
    </row>
    <row r="76" spans="1:39" s="202" customFormat="1" ht="27.6">
      <c r="A76" s="198">
        <f t="shared" ref="A76:A88" si="7">A75+1</f>
        <v>66</v>
      </c>
      <c r="B76" s="707">
        <f>'תקציב החברה לפיתוח 2020'!B36</f>
        <v>1825</v>
      </c>
      <c r="C76" s="341" t="str">
        <f>'תקציב החברה לפיתוח 2020'!C36</f>
        <v xml:space="preserve">בי"ס חדש "יצחק נבון" מתחם אלתרמן </v>
      </c>
      <c r="D76" s="199">
        <f>'תקציב החברה לפיתוח 2020'!D36</f>
        <v>39000000</v>
      </c>
      <c r="E76" s="199">
        <f>'תקציב החברה לפיתוח 2020'!E36</f>
        <v>39000000</v>
      </c>
      <c r="F76" s="199">
        <f>'תקציב החברה לפיתוח 2020'!F36</f>
        <v>0</v>
      </c>
      <c r="G76" s="199">
        <f>'תקציב החברה לפיתוח 2020'!G36</f>
        <v>39000000</v>
      </c>
      <c r="H76" s="199">
        <f>'תקציב החברה לפיתוח 2020'!H36</f>
        <v>36409869</v>
      </c>
      <c r="I76" s="199">
        <f>'תקציב החברה לפיתוח 2020'!I36</f>
        <v>0</v>
      </c>
      <c r="J76" s="199">
        <f>'תקציב החברה לפיתוח 2020'!J36</f>
        <v>2583458.11</v>
      </c>
      <c r="K76" s="199">
        <f>'תקציב החברה לפיתוח 2020'!K36</f>
        <v>2583458.11</v>
      </c>
      <c r="L76" s="199">
        <f>'תקציב החברה לפיתוח 2020'!L36</f>
        <v>38993327.109999999</v>
      </c>
      <c r="M76" s="199">
        <f>'תקציב החברה לפיתוח 2020'!M36</f>
        <v>6672.890000000596</v>
      </c>
      <c r="N76" s="199">
        <f>'תקציב החברה לפיתוח 2020'!N36</f>
        <v>0</v>
      </c>
      <c r="O76" s="199">
        <f>'תקציב החברה לפיתוח 2020'!O36</f>
        <v>0</v>
      </c>
      <c r="P76" s="199">
        <f>'תקציב החברה לפיתוח 2020'!P36</f>
        <v>6672.890000000596</v>
      </c>
      <c r="Q76" s="199">
        <f>'תקציב החברה לפיתוח 2020'!Q36</f>
        <v>0</v>
      </c>
      <c r="R76" s="199">
        <f>'תקציב החברה לפיתוח 2020'!R36</f>
        <v>0</v>
      </c>
      <c r="S76" s="199">
        <f>'תקציב החברה לפיתוח 2020'!S36</f>
        <v>0</v>
      </c>
      <c r="T76" s="199">
        <f>'תקציב החברה לפיתוח 2020'!T36</f>
        <v>0</v>
      </c>
      <c r="U76" s="199">
        <f>'תקציב החברה לפיתוח 2020'!U36</f>
        <v>0</v>
      </c>
      <c r="V76" s="199">
        <f>'תקציב החברה לפיתוח 2020'!V36</f>
        <v>0</v>
      </c>
      <c r="W76" s="199">
        <f>'תקציב החברה לפיתוח 2020'!W36</f>
        <v>0</v>
      </c>
      <c r="X76" s="199">
        <f>'תקציב החברה לפיתוח 2020'!X36</f>
        <v>0</v>
      </c>
      <c r="Y76" s="199">
        <f>'תקציב החברה לפיתוח 2020'!Y36</f>
        <v>0</v>
      </c>
      <c r="Z76" s="199">
        <f>'תקציב החברה לפיתוח 2020'!Z36</f>
        <v>0</v>
      </c>
      <c r="AA76" s="341" t="str">
        <f>'תקציב החברה לפיתוח 2020'!AA36</f>
        <v>המשך עבודות בניית בי"ס חדש ברחוב אלתרמן. ח-ן סופיים.</v>
      </c>
      <c r="AB76" s="707">
        <f>'תקציב החברה לפיתוח 2020'!AB36</f>
        <v>810000</v>
      </c>
      <c r="AC76" s="191"/>
      <c r="AD76" s="191"/>
      <c r="AE76" s="624"/>
      <c r="AF76" s="627"/>
      <c r="AG76" s="331"/>
      <c r="AH76" s="331"/>
    </row>
    <row r="77" spans="1:39" s="202" customFormat="1">
      <c r="A77" s="198">
        <f t="shared" si="7"/>
        <v>67</v>
      </c>
      <c r="B77" s="707">
        <f>'תקציב החברה לפיתוח 2020'!B45</f>
        <v>1894</v>
      </c>
      <c r="C77" s="341" t="str">
        <f>'תקציב החברה לפיתוח 2020'!C45</f>
        <v>בנית 3 גני ילדים (המסילה)</v>
      </c>
      <c r="D77" s="199">
        <f>'תקציב החברה לפיתוח 2020'!D45</f>
        <v>7100000</v>
      </c>
      <c r="E77" s="199">
        <f>'תקציב החברה לפיתוח 2020'!E45</f>
        <v>7100000</v>
      </c>
      <c r="F77" s="199">
        <f>'תקציב החברה לפיתוח 2020'!F45</f>
        <v>0</v>
      </c>
      <c r="G77" s="199">
        <f>'תקציב החברה לפיתוח 2020'!G45</f>
        <v>7100000</v>
      </c>
      <c r="H77" s="199">
        <f>'תקציב החברה לפיתוח 2020'!H45</f>
        <v>6269033</v>
      </c>
      <c r="I77" s="199">
        <f>'תקציב החברה לפיתוח 2020'!I45</f>
        <v>0</v>
      </c>
      <c r="J77" s="199">
        <f>'תקציב החברה לפיתוח 2020'!J45</f>
        <v>823004.96</v>
      </c>
      <c r="K77" s="199">
        <f>'תקציב החברה לפיתוח 2020'!K45</f>
        <v>823004.96</v>
      </c>
      <c r="L77" s="199">
        <f>'תקציב החברה לפיתוח 2020'!L45</f>
        <v>7092037.96</v>
      </c>
      <c r="M77" s="199">
        <f>'תקציב החברה לפיתוח 2020'!M45</f>
        <v>7962.0400000000373</v>
      </c>
      <c r="N77" s="199">
        <f>'תקציב החברה לפיתוח 2020'!N45</f>
        <v>0</v>
      </c>
      <c r="O77" s="199">
        <f>'תקציב החברה לפיתוח 2020'!O45</f>
        <v>0</v>
      </c>
      <c r="P77" s="199">
        <f>'תקציב החברה לפיתוח 2020'!P45</f>
        <v>7962.0400000000373</v>
      </c>
      <c r="Q77" s="199">
        <f>'תקציב החברה לפיתוח 2020'!Q45</f>
        <v>0</v>
      </c>
      <c r="R77" s="199">
        <f>'תקציב החברה לפיתוח 2020'!R45</f>
        <v>0</v>
      </c>
      <c r="S77" s="199">
        <f>'תקציב החברה לפיתוח 2020'!S45</f>
        <v>0</v>
      </c>
      <c r="T77" s="199">
        <f>'תקציב החברה לפיתוח 2020'!T45</f>
        <v>0</v>
      </c>
      <c r="U77" s="199">
        <f>'תקציב החברה לפיתוח 2020'!U45</f>
        <v>0</v>
      </c>
      <c r="V77" s="199">
        <f>'תקציב החברה לפיתוח 2020'!V45</f>
        <v>0</v>
      </c>
      <c r="W77" s="199">
        <f>'תקציב החברה לפיתוח 2020'!W45</f>
        <v>0</v>
      </c>
      <c r="X77" s="199">
        <f>'תקציב החברה לפיתוח 2020'!X45</f>
        <v>0</v>
      </c>
      <c r="Y77" s="199">
        <f>'תקציב החברה לפיתוח 2020'!Y45</f>
        <v>0</v>
      </c>
      <c r="Z77" s="199">
        <f>'תקציב החברה לפיתוח 2020'!Z45</f>
        <v>0</v>
      </c>
      <c r="AA77" s="341" t="str">
        <f>'תקציב החברה לפיתוח 2020'!AA45</f>
        <v>חן סופיים.</v>
      </c>
      <c r="AB77" s="707">
        <f>'תקציב החברה לפיתוח 2020'!AB45</f>
        <v>810000</v>
      </c>
      <c r="AC77" s="191"/>
      <c r="AD77" s="191"/>
      <c r="AE77" s="624"/>
      <c r="AF77" s="627"/>
      <c r="AG77" s="331"/>
      <c r="AH77" s="331"/>
      <c r="AI77" s="191"/>
      <c r="AJ77" s="191"/>
      <c r="AK77" s="191"/>
      <c r="AL77" s="191"/>
      <c r="AM77" s="191"/>
    </row>
    <row r="78" spans="1:39" s="5" customFormat="1" ht="27.6">
      <c r="A78" s="198">
        <f t="shared" si="7"/>
        <v>68</v>
      </c>
      <c r="B78" s="707">
        <f>'תקציב החברה לפיתוח 2020'!B54</f>
        <v>1957</v>
      </c>
      <c r="C78" s="341" t="str">
        <f>'תקציב החברה לפיתוח 2020'!C54</f>
        <v>מתחם קמפוס הרצליה (יד גיורא)</v>
      </c>
      <c r="D78" s="199">
        <f>'תקציב החברה לפיתוח 2020'!D54</f>
        <v>60000000</v>
      </c>
      <c r="E78" s="199">
        <f>'תקציב החברה לפיתוח 2020'!E54</f>
        <v>60000000</v>
      </c>
      <c r="F78" s="199">
        <f>'תקציב החברה לפיתוח 2020'!F54</f>
        <v>0</v>
      </c>
      <c r="G78" s="199">
        <f>'תקציב החברה לפיתוח 2020'!G54</f>
        <v>16500000</v>
      </c>
      <c r="H78" s="199">
        <f>'תקציב החברה לפיתוח 2020'!H54</f>
        <v>2599801</v>
      </c>
      <c r="I78" s="199">
        <f>'תקציב החברה לפיתוח 2020'!I54</f>
        <v>0</v>
      </c>
      <c r="J78" s="199">
        <f>'תקציב החברה לפיתוח 2020'!J54</f>
        <v>1784381.46</v>
      </c>
      <c r="K78" s="199">
        <f>'תקציב החברה לפיתוח 2020'!K54</f>
        <v>1784381.46</v>
      </c>
      <c r="L78" s="199">
        <f>'תקציב החברה לפיתוח 2020'!L54</f>
        <v>4384182.46</v>
      </c>
      <c r="M78" s="199">
        <f>'תקציב החברה לפיתוח 2020'!M54</f>
        <v>10615817.539999999</v>
      </c>
      <c r="N78" s="199">
        <f>'תקציב החברה לפיתוח 2020'!N54</f>
        <v>14000000</v>
      </c>
      <c r="O78" s="199">
        <f>'תקציב החברה לפיתוח 2020'!O54</f>
        <v>31000000</v>
      </c>
      <c r="P78" s="199">
        <f>'תקציב החברה לפיתוח 2020'!P54</f>
        <v>12115817.539999999</v>
      </c>
      <c r="Q78" s="199">
        <f>'תקציב החברה לפיתוח 2020'!Q54</f>
        <v>14500000</v>
      </c>
      <c r="R78" s="199">
        <f>'תקציב החברה לפיתוח 2020'!R54</f>
        <v>0</v>
      </c>
      <c r="S78" s="199">
        <f>'תקציב החברה לפיתוח 2020'!S54</f>
        <v>14500000</v>
      </c>
      <c r="T78" s="199">
        <f>'תקציב החברה לפיתוח 2020'!T54</f>
        <v>16000000</v>
      </c>
      <c r="U78" s="199">
        <f>'תקציב החברה לפיתוח 2020'!U54</f>
        <v>-2000000</v>
      </c>
      <c r="V78" s="199">
        <f>'תקציב החברה לפיתוח 2020'!V54</f>
        <v>-2000000</v>
      </c>
      <c r="W78" s="199">
        <f>'תקציב החברה לפיתוח 2020'!W54</f>
        <v>0</v>
      </c>
      <c r="X78" s="199">
        <f>'תקציב החברה לפיתוח 2020'!X54</f>
        <v>0</v>
      </c>
      <c r="Y78" s="199">
        <f>'תקציב החברה לפיתוח 2020'!Y54</f>
        <v>0</v>
      </c>
      <c r="Z78" s="199">
        <f>'תקציב החברה לפיתוח 2020'!Z54</f>
        <v>0</v>
      </c>
      <c r="AA78" s="341" t="str">
        <f>'תקציב החברה לפיתוח 2020'!AA54</f>
        <v xml:space="preserve">הקמה של קמפוס המדעים:בי"ס להנדסאים ותיכון חדש. </v>
      </c>
      <c r="AB78" s="707">
        <f>'תקציב החברה לפיתוח 2020'!AB54</f>
        <v>810000</v>
      </c>
      <c r="AC78" s="191"/>
      <c r="AD78" s="191"/>
      <c r="AE78" s="624"/>
      <c r="AF78" s="627"/>
      <c r="AG78" s="331"/>
      <c r="AH78" s="331"/>
      <c r="AI78" s="191"/>
      <c r="AJ78" s="191"/>
      <c r="AK78" s="191"/>
      <c r="AL78" s="191"/>
      <c r="AM78" s="191"/>
    </row>
    <row r="79" spans="1:39" ht="27.6">
      <c r="A79" s="198">
        <f t="shared" si="7"/>
        <v>69</v>
      </c>
      <c r="B79" s="707">
        <f>'תקציב החברה לפיתוח 2020'!B62</f>
        <v>2015</v>
      </c>
      <c r="C79" s="341" t="str">
        <f>'תקציב החברה לפיתוח 2020'!C62</f>
        <v>(3) גנ"י מדעיים באלתרמן</v>
      </c>
      <c r="D79" s="199">
        <f>'תקציב החברה לפיתוח 2020'!D62</f>
        <v>25000000</v>
      </c>
      <c r="E79" s="199">
        <f>'תקציב החברה לפיתוח 2020'!E62</f>
        <v>10500000</v>
      </c>
      <c r="F79" s="199">
        <f>'תקציב החברה לפיתוח 2020'!F62</f>
        <v>14500000</v>
      </c>
      <c r="G79" s="199">
        <f>'תקציב החברה לפיתוח 2020'!G62</f>
        <v>5500000</v>
      </c>
      <c r="H79" s="199">
        <f>'תקציב החברה לפיתוח 2020'!H62</f>
        <v>307009</v>
      </c>
      <c r="I79" s="199">
        <f>'תקציב החברה לפיתוח 2020'!I62</f>
        <v>0</v>
      </c>
      <c r="J79" s="199">
        <f>'תקציב החברה לפיתוח 2020'!J62</f>
        <v>192991.08</v>
      </c>
      <c r="K79" s="199">
        <f>'תקציב החברה לפיתוח 2020'!K62</f>
        <v>192991.08</v>
      </c>
      <c r="L79" s="199">
        <f>'תקציב החברה לפיתוח 2020'!L62</f>
        <v>500000.07999999996</v>
      </c>
      <c r="M79" s="199">
        <f>'תקציב החברה לפיתוח 2020'!M62</f>
        <v>4999999.92</v>
      </c>
      <c r="N79" s="199">
        <f>'תקציב החברה לפיתוח 2020'!N62</f>
        <v>14500000</v>
      </c>
      <c r="O79" s="199">
        <f>'תקציב החברה לפיתוח 2020'!O62</f>
        <v>5000000</v>
      </c>
      <c r="P79" s="199">
        <f>'תקציב החברה לפיתוח 2020'!P62</f>
        <v>4999999.92</v>
      </c>
      <c r="Q79" s="199">
        <f>'תקציב החברה לפיתוח 2020'!Q62</f>
        <v>5000000</v>
      </c>
      <c r="R79" s="199">
        <f>'תקציב החברה לפיתוח 2020'!R62</f>
        <v>0</v>
      </c>
      <c r="S79" s="199">
        <f>'תקציב החברה לפיתוח 2020'!S62</f>
        <v>5000000</v>
      </c>
      <c r="T79" s="199">
        <f>'תקציב החברה לפיתוח 2020'!T62</f>
        <v>5000000</v>
      </c>
      <c r="U79" s="199">
        <f>'תקציב החברה לפיתוח 2020'!U62</f>
        <v>9500000</v>
      </c>
      <c r="V79" s="199">
        <f>'תקציב החברה לפיתוח 2020'!V62</f>
        <v>9500000</v>
      </c>
      <c r="W79" s="199">
        <f>'תקציב החברה לפיתוח 2020'!W62</f>
        <v>0</v>
      </c>
      <c r="X79" s="199">
        <f>'תקציב החברה לפיתוח 2020'!X62</f>
        <v>0</v>
      </c>
      <c r="Y79" s="199">
        <f>'תקציב החברה לפיתוח 2020'!Y62</f>
        <v>0</v>
      </c>
      <c r="Z79" s="199">
        <f>'תקציב החברה לפיתוח 2020'!Z62</f>
        <v>0</v>
      </c>
      <c r="AA79" s="341" t="str">
        <f>'תקציב החברה לפיתוח 2020'!AA62</f>
        <v>עבודות בניה ופיתוח גנ"י מדעיים באלתרמן. מבנה 3 קומות ופיתוח.</v>
      </c>
      <c r="AB79" s="707">
        <f>'תקציב החברה לפיתוח 2020'!AB62</f>
        <v>810000</v>
      </c>
      <c r="AE79" s="624"/>
      <c r="AF79" s="627"/>
      <c r="AI79" s="210"/>
      <c r="AJ79" s="210"/>
      <c r="AK79" s="210"/>
      <c r="AL79" s="210"/>
      <c r="AM79" s="210"/>
    </row>
    <row r="80" spans="1:39" ht="27.6">
      <c r="A80" s="198">
        <f t="shared" si="7"/>
        <v>70</v>
      </c>
      <c r="B80" s="707">
        <f>'תקציב החברה לפיתוח 2020'!B63</f>
        <v>2016</v>
      </c>
      <c r="C80" s="341" t="str">
        <f>'תקציב החברה לפיתוח 2020'!C63</f>
        <v>(3) גנ"י  במתחם אלתרמן</v>
      </c>
      <c r="D80" s="199">
        <f>'תקציב החברה לפיתוח 2020'!D63</f>
        <v>7340000</v>
      </c>
      <c r="E80" s="199">
        <f>'תקציב החברה לפיתוח 2020'!E63</f>
        <v>7340000</v>
      </c>
      <c r="F80" s="199">
        <f>'תקציב החברה לפיתוח 2020'!F63</f>
        <v>0</v>
      </c>
      <c r="G80" s="199">
        <f>'תקציב החברה לפיתוח 2020'!G63</f>
        <v>7340000</v>
      </c>
      <c r="H80" s="199">
        <f>'תקציב החברה לפיתוח 2020'!H63</f>
        <v>6978013</v>
      </c>
      <c r="I80" s="199">
        <f>'תקציב החברה לפיתוח 2020'!I63</f>
        <v>0</v>
      </c>
      <c r="J80" s="199">
        <f>'תקציב החברה לפיתוח 2020'!J63</f>
        <v>335053.92</v>
      </c>
      <c r="K80" s="199">
        <f>'תקציב החברה לפיתוח 2020'!K63</f>
        <v>335053.92</v>
      </c>
      <c r="L80" s="199">
        <f>'תקציב החברה לפיתוח 2020'!L63</f>
        <v>7313066.9199999999</v>
      </c>
      <c r="M80" s="199">
        <f>'תקציב החברה לפיתוח 2020'!M63</f>
        <v>26933.080000000075</v>
      </c>
      <c r="N80" s="199">
        <f>'תקציב החברה לפיתוח 2020'!N63</f>
        <v>0</v>
      </c>
      <c r="O80" s="199">
        <f>'תקציב החברה לפיתוח 2020'!O63</f>
        <v>0</v>
      </c>
      <c r="P80" s="199">
        <f>'תקציב החברה לפיתוח 2020'!P63</f>
        <v>26933.080000000075</v>
      </c>
      <c r="Q80" s="199">
        <f>'תקציב החברה לפיתוח 2020'!Q63</f>
        <v>0</v>
      </c>
      <c r="R80" s="199">
        <f>'תקציב החברה לפיתוח 2020'!R63</f>
        <v>0</v>
      </c>
      <c r="S80" s="199">
        <f>'תקציב החברה לפיתוח 2020'!S63</f>
        <v>0</v>
      </c>
      <c r="T80" s="199">
        <f>'תקציב החברה לפיתוח 2020'!T63</f>
        <v>0</v>
      </c>
      <c r="U80" s="199">
        <f>'תקציב החברה לפיתוח 2020'!U63</f>
        <v>0</v>
      </c>
      <c r="V80" s="199">
        <f>'תקציב החברה לפיתוח 2020'!V63</f>
        <v>0</v>
      </c>
      <c r="W80" s="199">
        <f>'תקציב החברה לפיתוח 2020'!W63</f>
        <v>0</v>
      </c>
      <c r="X80" s="199">
        <f>'תקציב החברה לפיתוח 2020'!X63</f>
        <v>0</v>
      </c>
      <c r="Y80" s="199">
        <f>'תקציב החברה לפיתוח 2020'!Y63</f>
        <v>0</v>
      </c>
      <c r="Z80" s="199">
        <f>'תקציב החברה לפיתוח 2020'!Z63</f>
        <v>0</v>
      </c>
      <c r="AA80" s="341" t="str">
        <f>'תקציב החברה לפיתוח 2020'!AA63</f>
        <v>ממתין לחן סופי ותקבול מימון מ. החינוך.</v>
      </c>
      <c r="AB80" s="707">
        <f>'תקציב החברה לפיתוח 2020'!AB63</f>
        <v>810000</v>
      </c>
      <c r="AE80" s="624"/>
      <c r="AF80" s="627"/>
      <c r="AI80" s="203"/>
      <c r="AJ80" s="203"/>
      <c r="AK80" s="203"/>
      <c r="AL80" s="203"/>
      <c r="AM80" s="203"/>
    </row>
    <row r="81" spans="1:39" ht="41.4">
      <c r="A81" s="198">
        <f t="shared" si="7"/>
        <v>71</v>
      </c>
      <c r="B81" s="707">
        <f>'תקציב החברה לפיתוח 2020'!B69</f>
        <v>2023</v>
      </c>
      <c r="C81" s="341" t="str">
        <f>'תקציב החברה לפיתוח 2020'!C69</f>
        <v>גנ"י נווה עמל ציפורן מוריה</v>
      </c>
      <c r="D81" s="199">
        <f>'תקציב החברה לפיתוח 2020'!D69</f>
        <v>7340000</v>
      </c>
      <c r="E81" s="199">
        <f>'תקציב החברה לפיתוח 2020'!E69</f>
        <v>7340000</v>
      </c>
      <c r="F81" s="199">
        <f>'תקציב החברה לפיתוח 2020'!F69</f>
        <v>0</v>
      </c>
      <c r="G81" s="199">
        <f>'תקציב החברה לפיתוח 2020'!G69</f>
        <v>3000000</v>
      </c>
      <c r="H81" s="199">
        <f>'תקציב החברה לפיתוח 2020'!H69</f>
        <v>123926</v>
      </c>
      <c r="I81" s="199">
        <f>'תקציב החברה לפיתוח 2020'!I69</f>
        <v>0</v>
      </c>
      <c r="J81" s="199">
        <f>'תקציב החברה לפיתוח 2020'!J69</f>
        <v>101216.5</v>
      </c>
      <c r="K81" s="199">
        <f>'תקציב החברה לפיתוח 2020'!K69</f>
        <v>101216.5</v>
      </c>
      <c r="L81" s="199">
        <f>'תקציב החברה לפיתוח 2020'!L69</f>
        <v>225142.5</v>
      </c>
      <c r="M81" s="199">
        <f>'תקציב החברה לפיתוח 2020'!M69</f>
        <v>114857.5</v>
      </c>
      <c r="N81" s="199">
        <f>'תקציב החברה לפיתוח 2020'!N69</f>
        <v>0</v>
      </c>
      <c r="O81" s="199">
        <f>'תקציב החברה לפיתוח 2020'!O69</f>
        <v>7000000</v>
      </c>
      <c r="P81" s="199">
        <f>'תקציב החברה לפיתוח 2020'!P69</f>
        <v>2774857.5</v>
      </c>
      <c r="Q81" s="199">
        <f>'תקציב החברה לפיתוח 2020'!Q69</f>
        <v>0</v>
      </c>
      <c r="R81" s="199">
        <f>'תקציב החברה לפיתוח 2020'!R69</f>
        <v>0</v>
      </c>
      <c r="S81" s="199">
        <f>'תקציב החברה לפיתוח 2020'!S69</f>
        <v>0</v>
      </c>
      <c r="T81" s="199">
        <f>'תקציב החברה לפיתוח 2020'!T69</f>
        <v>2660000</v>
      </c>
      <c r="U81" s="199">
        <f>'תקציב החברה לפיתוח 2020'!U69</f>
        <v>-2660000</v>
      </c>
      <c r="V81" s="199">
        <f>'תקציב החברה לפיתוח 2020'!V69</f>
        <v>-2660000</v>
      </c>
      <c r="W81" s="199">
        <f>'תקציב החברה לפיתוח 2020'!W69</f>
        <v>0</v>
      </c>
      <c r="X81" s="199">
        <f>'תקציב החברה לפיתוח 2020'!X69</f>
        <v>0</v>
      </c>
      <c r="Y81" s="199">
        <f>'תקציב החברה לפיתוח 2020'!Y69</f>
        <v>0</v>
      </c>
      <c r="Z81" s="199">
        <f>'תקציב החברה לפיתוח 2020'!Z69</f>
        <v>0</v>
      </c>
      <c r="AA81" s="341" t="str">
        <f>'תקציב החברה לפיתוח 2020'!AA69</f>
        <v>בניית גנ"י בנווה עמל. חלקות בבעלות רמ"י. נדחה עד הכרת מ. החינוך והסכם חכירה רמ"י.</v>
      </c>
      <c r="AB81" s="707">
        <f>'תקציב החברה לפיתוח 2020'!AB69</f>
        <v>810000</v>
      </c>
      <c r="AE81" s="624"/>
      <c r="AF81" s="627"/>
      <c r="AI81" s="202"/>
      <c r="AJ81" s="202"/>
      <c r="AK81" s="202"/>
      <c r="AL81" s="202"/>
      <c r="AM81" s="202"/>
    </row>
    <row r="82" spans="1:39" ht="27.6">
      <c r="A82" s="198">
        <f t="shared" si="7"/>
        <v>72</v>
      </c>
      <c r="B82" s="707">
        <f>'תקציב החברה לפיתוח 2020'!B70</f>
        <v>2024</v>
      </c>
      <c r="C82" s="341" t="str">
        <f>'תקציב החברה לפיתוח 2020'!C70</f>
        <v>גנ"י מרכז ויצמן תמר תאנה</v>
      </c>
      <c r="D82" s="199">
        <f>'תקציב החברה לפיתוח 2020'!D70</f>
        <v>7340000</v>
      </c>
      <c r="E82" s="199">
        <f>'תקציב החברה לפיתוח 2020'!E70</f>
        <v>7340000</v>
      </c>
      <c r="F82" s="199">
        <f>'תקציב החברה לפיתוח 2020'!F70</f>
        <v>0</v>
      </c>
      <c r="G82" s="199">
        <f>'תקציב החברה לפיתוח 2020'!G70</f>
        <v>700000</v>
      </c>
      <c r="H82" s="199">
        <f>'תקציב החברה לפיתוח 2020'!H70</f>
        <v>125012</v>
      </c>
      <c r="I82" s="199">
        <f>'תקציב החברה לפיתוח 2020'!I70</f>
        <v>0</v>
      </c>
      <c r="J82" s="199">
        <f>'תקציב החברה לפיתוח 2020'!J70</f>
        <v>117459.94</v>
      </c>
      <c r="K82" s="199">
        <f>'תקציב החברה לפיתוח 2020'!K70</f>
        <v>117459.94</v>
      </c>
      <c r="L82" s="199">
        <f>'תקציב החברה לפיתוח 2020'!L70</f>
        <v>242471.94</v>
      </c>
      <c r="M82" s="199">
        <f>'תקציב החברה לפיתוח 2020'!M70</f>
        <v>457528.06</v>
      </c>
      <c r="N82" s="199">
        <f>'תקציב החברה לפיתוח 2020'!N70</f>
        <v>6640000</v>
      </c>
      <c r="O82" s="199">
        <f>'תקציב החברה לפיתוח 2020'!O70</f>
        <v>0</v>
      </c>
      <c r="P82" s="199">
        <f>'תקציב החברה לפיתוח 2020'!P70</f>
        <v>457528.06</v>
      </c>
      <c r="Q82" s="199">
        <f>'תקציב החברה לפיתוח 2020'!Q70</f>
        <v>0</v>
      </c>
      <c r="R82" s="199">
        <f>'תקציב החברה לפיתוח 2020'!R70</f>
        <v>0</v>
      </c>
      <c r="S82" s="199">
        <f>'תקציב החברה לפיתוח 2020'!S70</f>
        <v>0</v>
      </c>
      <c r="T82" s="199">
        <f>'תקציב החברה לפיתוח 2020'!T70</f>
        <v>0</v>
      </c>
      <c r="U82" s="199">
        <f>'תקציב החברה לפיתוח 2020'!U70</f>
        <v>6640000</v>
      </c>
      <c r="V82" s="199">
        <f>'תקציב החברה לפיתוח 2020'!V70</f>
        <v>6640000</v>
      </c>
      <c r="W82" s="199">
        <f>'תקציב החברה לפיתוח 2020'!W70</f>
        <v>0</v>
      </c>
      <c r="X82" s="199">
        <f>'תקציב החברה לפיתוח 2020'!X70</f>
        <v>0</v>
      </c>
      <c r="Y82" s="199">
        <f>'תקציב החברה לפיתוח 2020'!Y70</f>
        <v>0</v>
      </c>
      <c r="Z82" s="199">
        <f>'תקציב החברה לפיתוח 2020'!Z70</f>
        <v>0</v>
      </c>
      <c r="AA82" s="341" t="str">
        <f>'תקציב החברה לפיתוח 2020'!AA70</f>
        <v>בניית גנ"י בויצמן. פינסקר פינת מנדלבלט.</v>
      </c>
      <c r="AB82" s="707">
        <f>'תקציב החברה לפיתוח 2020'!AB70</f>
        <v>810000</v>
      </c>
      <c r="AE82" s="624"/>
      <c r="AF82" s="627"/>
      <c r="AI82" s="202"/>
      <c r="AJ82" s="202"/>
      <c r="AK82" s="202"/>
      <c r="AL82" s="202"/>
      <c r="AM82" s="202"/>
    </row>
    <row r="83" spans="1:39">
      <c r="A83" s="198">
        <f t="shared" si="7"/>
        <v>73</v>
      </c>
      <c r="B83" s="707">
        <f>'תקציב החברה לפיתוח 2020'!B71</f>
        <v>2025</v>
      </c>
      <c r="C83" s="341" t="str">
        <f>'תקציב החברה לפיתוח 2020'!C71</f>
        <v>גן ילדים מתחם זרובבל</v>
      </c>
      <c r="D83" s="199">
        <f>'תקציב החברה לפיתוח 2020'!D71</f>
        <v>2600000</v>
      </c>
      <c r="E83" s="199">
        <f>'תקציב החברה לפיתוח 2020'!E71</f>
        <v>2600000</v>
      </c>
      <c r="F83" s="199">
        <f>'תקציב החברה לפיתוח 2020'!F71</f>
        <v>0</v>
      </c>
      <c r="G83" s="199">
        <f>'תקציב החברה לפיתוח 2020'!G71</f>
        <v>1600000</v>
      </c>
      <c r="H83" s="199">
        <f>'תקציב החברה לפיתוח 2020'!H71</f>
        <v>102209</v>
      </c>
      <c r="I83" s="199">
        <f>'תקציב החברה לפיתוח 2020'!I71</f>
        <v>0</v>
      </c>
      <c r="J83" s="199">
        <f>'תקציב החברה לפיתוח 2020'!J71</f>
        <v>43328.59</v>
      </c>
      <c r="K83" s="199">
        <f>'תקציב החברה לפיתוח 2020'!K71</f>
        <v>43328.59</v>
      </c>
      <c r="L83" s="199">
        <f>'תקציב החברה לפיתוח 2020'!L71</f>
        <v>145537.59</v>
      </c>
      <c r="M83" s="199">
        <f>'תקציב החברה לפיתוח 2020'!M71</f>
        <v>2454462.41</v>
      </c>
      <c r="N83" s="199">
        <f>'תקציב החברה לפיתוח 2020'!N71</f>
        <v>0</v>
      </c>
      <c r="O83" s="199">
        <f>'תקציב החברה לפיתוח 2020'!O71</f>
        <v>0</v>
      </c>
      <c r="P83" s="199">
        <f>'תקציב החברה לפיתוח 2020'!P71</f>
        <v>1454462.41</v>
      </c>
      <c r="Q83" s="199">
        <f>'תקציב החברה לפיתוח 2020'!Q71</f>
        <v>1000000</v>
      </c>
      <c r="R83" s="199">
        <f>'תקציב החברה לפיתוח 2020'!R71</f>
        <v>0</v>
      </c>
      <c r="S83" s="199">
        <f>'תקציב החברה לפיתוח 2020'!S71</f>
        <v>1000000</v>
      </c>
      <c r="T83" s="199">
        <f>'תקציב החברה לפיתוח 2020'!T71</f>
        <v>0</v>
      </c>
      <c r="U83" s="199">
        <f>'תקציב החברה לפיתוח 2020'!U71</f>
        <v>0</v>
      </c>
      <c r="V83" s="199">
        <f>'תקציב החברה לפיתוח 2020'!V71</f>
        <v>0</v>
      </c>
      <c r="W83" s="199">
        <f>'תקציב החברה לפיתוח 2020'!W71</f>
        <v>0</v>
      </c>
      <c r="X83" s="199">
        <f>'תקציב החברה לפיתוח 2020'!X71</f>
        <v>0</v>
      </c>
      <c r="Y83" s="199">
        <f>'תקציב החברה לפיתוח 2020'!Y71</f>
        <v>0</v>
      </c>
      <c r="Z83" s="199">
        <f>'תקציב החברה לפיתוח 2020'!Z71</f>
        <v>0</v>
      </c>
      <c r="AA83" s="341" t="str">
        <f>'תקציב החברה לפיתוח 2020'!AA71</f>
        <v>בניית גן ילדים במתחם זרובבל.</v>
      </c>
      <c r="AB83" s="707">
        <f>'תקציב החברה לפיתוח 2020'!AB71</f>
        <v>810000</v>
      </c>
      <c r="AE83" s="624"/>
      <c r="AF83" s="627"/>
      <c r="AI83" s="202"/>
      <c r="AJ83" s="202"/>
      <c r="AK83" s="202"/>
      <c r="AL83" s="202"/>
      <c r="AM83" s="202"/>
    </row>
    <row r="84" spans="1:39" s="5" customFormat="1">
      <c r="A84" s="198">
        <f t="shared" si="7"/>
        <v>74</v>
      </c>
      <c r="B84" s="707">
        <f>'תקציב החברה לפיתוח 2020'!B72</f>
        <v>2026</v>
      </c>
      <c r="C84" s="341" t="str">
        <f>'תקציב החברה לפיתוח 2020'!C72</f>
        <v>גן רשל, גנ"י בבי"ס אילנות</v>
      </c>
      <c r="D84" s="199">
        <f>'תקציב החברה לפיתוח 2020'!D72</f>
        <v>8200000</v>
      </c>
      <c r="E84" s="199">
        <f>'תקציב החברה לפיתוח 2020'!E72</f>
        <v>8200000</v>
      </c>
      <c r="F84" s="199">
        <f>'תקציב החברה לפיתוח 2020'!F72</f>
        <v>0</v>
      </c>
      <c r="G84" s="199">
        <f>'תקציב החברה לפיתוח 2020'!G72</f>
        <v>4700000</v>
      </c>
      <c r="H84" s="199">
        <f>'תקציב החברה לפיתוח 2020'!H72</f>
        <v>1894216</v>
      </c>
      <c r="I84" s="199">
        <f>'תקציב החברה לפיתוח 2020'!I72</f>
        <v>0</v>
      </c>
      <c r="J84" s="199">
        <f>'תקציב החברה לפיתוח 2020'!J72</f>
        <v>1769986.1</v>
      </c>
      <c r="K84" s="199">
        <f>'תקציב החברה לפיתוח 2020'!K72</f>
        <v>1769986.1</v>
      </c>
      <c r="L84" s="199">
        <f>'תקציב החברה לפיתוח 2020'!L72</f>
        <v>3664202.1</v>
      </c>
      <c r="M84" s="199">
        <f>'תקציב החברה לפיתוח 2020'!M72</f>
        <v>4535797.9000000004</v>
      </c>
      <c r="N84" s="199">
        <f>'תקציב החברה לפיתוח 2020'!N72</f>
        <v>0</v>
      </c>
      <c r="O84" s="199">
        <f>'תקציב החברה לפיתוח 2020'!O72</f>
        <v>0</v>
      </c>
      <c r="P84" s="199">
        <f>'תקציב החברה לפיתוח 2020'!P72</f>
        <v>1035797.8999999999</v>
      </c>
      <c r="Q84" s="199">
        <f>'תקציב החברה לפיתוח 2020'!Q72</f>
        <v>3500000</v>
      </c>
      <c r="R84" s="199">
        <f>'תקציב החברה לפיתוח 2020'!R72</f>
        <v>0</v>
      </c>
      <c r="S84" s="199">
        <f>'תקציב החברה לפיתוח 2020'!S72</f>
        <v>3500000</v>
      </c>
      <c r="T84" s="199">
        <f>'תקציב החברה לפיתוח 2020'!T72</f>
        <v>0</v>
      </c>
      <c r="U84" s="199">
        <f>'תקציב החברה לפיתוח 2020'!U72</f>
        <v>0</v>
      </c>
      <c r="V84" s="199">
        <f>'תקציב החברה לפיתוח 2020'!V72</f>
        <v>0</v>
      </c>
      <c r="W84" s="199">
        <f>'תקציב החברה לפיתוח 2020'!W72</f>
        <v>0</v>
      </c>
      <c r="X84" s="199">
        <f>'תקציב החברה לפיתוח 2020'!X72</f>
        <v>0</v>
      </c>
      <c r="Y84" s="199">
        <f>'תקציב החברה לפיתוח 2020'!Y72</f>
        <v>0</v>
      </c>
      <c r="Z84" s="199">
        <f>'תקציב החברה לפיתוח 2020'!Z72</f>
        <v>0</v>
      </c>
      <c r="AA84" s="341" t="str">
        <f>'תקציב החברה לפיתוח 2020'!AA72</f>
        <v>בניית גנ"י - גן רשל ובב"ס אילנות.</v>
      </c>
      <c r="AB84" s="707">
        <f>'תקציב החברה לפיתוח 2020'!AB72</f>
        <v>810000</v>
      </c>
      <c r="AC84" s="191"/>
      <c r="AD84" s="191"/>
      <c r="AE84" s="624"/>
      <c r="AF84" s="627"/>
      <c r="AG84" s="331"/>
      <c r="AH84" s="331"/>
      <c r="AI84" s="202"/>
      <c r="AJ84" s="202"/>
      <c r="AK84" s="202"/>
      <c r="AL84" s="202"/>
      <c r="AM84" s="202"/>
    </row>
    <row r="85" spans="1:39" ht="27.6">
      <c r="A85" s="198">
        <f t="shared" si="7"/>
        <v>75</v>
      </c>
      <c r="B85" s="707">
        <f>'תקציב החברה לפיתוח 2020'!B82</f>
        <v>2097</v>
      </c>
      <c r="C85" s="341" t="str">
        <f>'תקציב החברה לפיתוח 2020'!C82</f>
        <v>בית ספר בן גוריון</v>
      </c>
      <c r="D85" s="199">
        <f>'תקציב החברה לפיתוח 2020'!D82</f>
        <v>79000000</v>
      </c>
      <c r="E85" s="199">
        <f>'תקציב החברה לפיתוח 2020'!E82</f>
        <v>41000000</v>
      </c>
      <c r="F85" s="199">
        <f>'תקציב החברה לפיתוח 2020'!F82</f>
        <v>38000000</v>
      </c>
      <c r="G85" s="199">
        <f>'תקציב החברה לפיתוח 2020'!G82</f>
        <v>400000</v>
      </c>
      <c r="H85" s="199">
        <f>'תקציב החברה לפיתוח 2020'!H82</f>
        <v>223459</v>
      </c>
      <c r="I85" s="199">
        <f>'תקציב החברה לפיתוח 2020'!I82</f>
        <v>0</v>
      </c>
      <c r="J85" s="199">
        <f>'תקציב החברה לפיתוח 2020'!J82</f>
        <v>176539.19</v>
      </c>
      <c r="K85" s="199">
        <f>'תקציב החברה לפיתוח 2020'!K82</f>
        <v>176539.19</v>
      </c>
      <c r="L85" s="199">
        <f>'תקציב החברה לפיתוח 2020'!L82</f>
        <v>399998.19</v>
      </c>
      <c r="M85" s="199">
        <f>'תקציב החברה לפיתוח 2020'!M82</f>
        <v>600001.81000000006</v>
      </c>
      <c r="N85" s="199">
        <f>'תקציב החברה לפיתוח 2020'!N82</f>
        <v>5000000</v>
      </c>
      <c r="O85" s="199">
        <f>'תקציב החברה לפיתוח 2020'!O82</f>
        <v>73000000</v>
      </c>
      <c r="P85" s="199">
        <f>'תקציב החברה לפיתוח 2020'!P82</f>
        <v>1.8099999999976717</v>
      </c>
      <c r="Q85" s="199">
        <f>'תקציב החברה לפיתוח 2020'!Q82</f>
        <v>600000</v>
      </c>
      <c r="R85" s="199">
        <f>'תקציב החברה לפיתוח 2020'!R82</f>
        <v>0</v>
      </c>
      <c r="S85" s="199">
        <f>'תקציב החברה לפיתוח 2020'!S82</f>
        <v>600000</v>
      </c>
      <c r="T85" s="199">
        <f>'תקציב החברה לפיתוח 2020'!T82</f>
        <v>0</v>
      </c>
      <c r="U85" s="199">
        <f>'תקציב החברה לפיתוח 2020'!U82</f>
        <v>5000000</v>
      </c>
      <c r="V85" s="199">
        <f>'תקציב החברה לפיתוח 2020'!V82</f>
        <v>5000000</v>
      </c>
      <c r="W85" s="199">
        <f>'תקציב החברה לפיתוח 2020'!W82</f>
        <v>0</v>
      </c>
      <c r="X85" s="199">
        <f>'תקציב החברה לפיתוח 2020'!X82</f>
        <v>0</v>
      </c>
      <c r="Y85" s="199">
        <f>'תקציב החברה לפיתוח 2020'!Y82</f>
        <v>0</v>
      </c>
      <c r="Z85" s="199">
        <f>'תקציב החברה לפיתוח 2020'!Z82</f>
        <v>0</v>
      </c>
      <c r="AA85" s="341" t="str">
        <f>'תקציב החברה לפיתוח 2020'!AA82</f>
        <v xml:space="preserve">תכנון שיפוץ/הריסה ובניה מחדש של בי"ס. ב - 2020: המשך תכנון. </v>
      </c>
      <c r="AB85" s="707">
        <f>'תקציב החברה לפיתוח 2020'!AB82</f>
        <v>810000</v>
      </c>
      <c r="AE85" s="624"/>
      <c r="AF85" s="627"/>
      <c r="AK85" s="205"/>
    </row>
    <row r="86" spans="1:39" ht="27.6">
      <c r="A86" s="198">
        <f t="shared" si="7"/>
        <v>76</v>
      </c>
      <c r="B86" s="707">
        <f>'תקציב החברה לפיתוח 2020'!B99</f>
        <v>2147</v>
      </c>
      <c r="C86" s="341" t="str">
        <f>'תקציב החברה לפיתוח 2020'!C99</f>
        <v>השלמת 6 כיתות בנבון</v>
      </c>
      <c r="D86" s="199">
        <f>'תקציב החברה לפיתוח 2020'!D99</f>
        <v>5030000</v>
      </c>
      <c r="E86" s="199">
        <f>'תקציב החברה לפיתוח 2020'!E99</f>
        <v>0</v>
      </c>
      <c r="F86" s="199">
        <f>'תקציב החברה לפיתוח 2020'!F99</f>
        <v>5030000</v>
      </c>
      <c r="G86" s="199">
        <f>'תקציב החברה לפיתוח 2020'!G99</f>
        <v>0</v>
      </c>
      <c r="H86" s="199">
        <f>'תקציב החברה לפיתוח 2020'!H99</f>
        <v>0</v>
      </c>
      <c r="I86" s="199">
        <f>'תקציב החברה לפיתוח 2020'!I99</f>
        <v>0</v>
      </c>
      <c r="J86" s="199">
        <f>'תקציב החברה לפיתוח 2020'!J99</f>
        <v>0</v>
      </c>
      <c r="K86" s="199">
        <f>'תקציב החברה לפיתוח 2020'!K99</f>
        <v>0</v>
      </c>
      <c r="L86" s="199">
        <f>'תקציב החברה לפיתוח 2020'!L99</f>
        <v>0</v>
      </c>
      <c r="M86" s="199">
        <f>'תקציב החברה לפיתוח 2020'!M99</f>
        <v>0</v>
      </c>
      <c r="N86" s="199">
        <f>'תקציב החברה לפיתוח 2020'!N99</f>
        <v>4030000</v>
      </c>
      <c r="O86" s="199">
        <f>'תקציב החברה לפיתוח 2020'!O99</f>
        <v>1000000</v>
      </c>
      <c r="P86" s="199">
        <f>'תקציב החברה לפיתוח 2020'!P99</f>
        <v>0</v>
      </c>
      <c r="Q86" s="199">
        <f>'תקציב החברה לפיתוח 2020'!Q99</f>
        <v>0</v>
      </c>
      <c r="R86" s="199">
        <f>'תקציב החברה לפיתוח 2020'!R99</f>
        <v>0</v>
      </c>
      <c r="S86" s="199">
        <f>'תקציב החברה לפיתוח 2020'!S99</f>
        <v>0</v>
      </c>
      <c r="T86" s="199">
        <f>'תקציב החברה לפיתוח 2020'!T99</f>
        <v>0</v>
      </c>
      <c r="U86" s="199">
        <f>'תקציב החברה לפיתוח 2020'!U99</f>
        <v>4030000</v>
      </c>
      <c r="V86" s="199">
        <f>'תקציב החברה לפיתוח 2020'!V99</f>
        <v>4030000</v>
      </c>
      <c r="W86" s="199">
        <f>'תקציב החברה לפיתוח 2020'!W99</f>
        <v>0</v>
      </c>
      <c r="X86" s="199">
        <f>'תקציב החברה לפיתוח 2020'!X99</f>
        <v>0</v>
      </c>
      <c r="Y86" s="199">
        <f>'תקציב החברה לפיתוח 2020'!Y99</f>
        <v>0</v>
      </c>
      <c r="Z86" s="199">
        <f>'תקציב החברה לפיתוח 2020'!Z99</f>
        <v>0</v>
      </c>
      <c r="AA86" s="341" t="str">
        <f>'תקציב החברה לפיתוח 2020'!AA99</f>
        <v xml:space="preserve">הוספת 6 כיתות כולל מיקלוט במתחם בי"ס נבון. הצטיידות בחינוך. </v>
      </c>
      <c r="AB86" s="707">
        <f>'תקציב החברה לפיתוח 2020'!AB99</f>
        <v>810000</v>
      </c>
      <c r="AE86" s="5"/>
      <c r="AF86" s="5"/>
      <c r="AG86" s="5"/>
      <c r="AH86" s="5"/>
      <c r="AI86" s="5"/>
      <c r="AJ86" s="5"/>
      <c r="AK86" s="5"/>
      <c r="AL86" s="5"/>
      <c r="AM86" s="5"/>
    </row>
    <row r="87" spans="1:39" ht="55.2">
      <c r="A87" s="198">
        <f t="shared" si="7"/>
        <v>77</v>
      </c>
      <c r="B87" s="707">
        <f>'תקציב החברה לפיתוח 2020'!B101</f>
        <v>2149</v>
      </c>
      <c r="C87" s="341" t="str">
        <f>'תקציב החברה לפיתוח 2020'!C101</f>
        <v>גנ"י חדשים</v>
      </c>
      <c r="D87" s="199">
        <f>'תקציב החברה לפיתוח 2020'!D101</f>
        <v>30000000</v>
      </c>
      <c r="E87" s="199">
        <f>'תקציב החברה לפיתוח 2020'!E101</f>
        <v>0</v>
      </c>
      <c r="F87" s="199">
        <f>'תקציב החברה לפיתוח 2020'!F101</f>
        <v>30000000</v>
      </c>
      <c r="G87" s="199">
        <f>'תקציב החברה לפיתוח 2020'!G101</f>
        <v>0</v>
      </c>
      <c r="H87" s="199">
        <f>'תקציב החברה לפיתוח 2020'!H101</f>
        <v>0</v>
      </c>
      <c r="I87" s="199">
        <f>'תקציב החברה לפיתוח 2020'!I101</f>
        <v>0</v>
      </c>
      <c r="J87" s="199">
        <f>'תקציב החברה לפיתוח 2020'!J101</f>
        <v>0</v>
      </c>
      <c r="K87" s="199">
        <f>'תקציב החברה לפיתוח 2020'!K101</f>
        <v>0</v>
      </c>
      <c r="L87" s="199">
        <f>'תקציב החברה לפיתוח 2020'!L101</f>
        <v>0</v>
      </c>
      <c r="M87" s="199">
        <f>'תקציב החברה לפיתוח 2020'!M101</f>
        <v>0</v>
      </c>
      <c r="N87" s="199">
        <f>'תקציב החברה לפיתוח 2020'!N101</f>
        <v>2000000</v>
      </c>
      <c r="O87" s="199">
        <f>'תקציב החברה לפיתוח 2020'!O101</f>
        <v>28000000</v>
      </c>
      <c r="P87" s="199">
        <f>'תקציב החברה לפיתוח 2020'!P101</f>
        <v>0</v>
      </c>
      <c r="Q87" s="199">
        <f>'תקציב החברה לפיתוח 2020'!Q101</f>
        <v>0</v>
      </c>
      <c r="R87" s="199">
        <f>'תקציב החברה לפיתוח 2020'!R101</f>
        <v>0</v>
      </c>
      <c r="S87" s="199">
        <f>'תקציב החברה לפיתוח 2020'!S101</f>
        <v>0</v>
      </c>
      <c r="T87" s="199">
        <f>'תקציב החברה לפיתוח 2020'!T101</f>
        <v>0</v>
      </c>
      <c r="U87" s="199">
        <f>'תקציב החברה לפיתוח 2020'!U101</f>
        <v>2000000</v>
      </c>
      <c r="V87" s="199">
        <f>'תקציב החברה לפיתוח 2020'!V101</f>
        <v>2000000</v>
      </c>
      <c r="W87" s="199">
        <f>'תקציב החברה לפיתוח 2020'!W101</f>
        <v>0</v>
      </c>
      <c r="X87" s="199">
        <f>'תקציב החברה לפיתוח 2020'!X101</f>
        <v>0</v>
      </c>
      <c r="Y87" s="199">
        <f>'תקציב החברה לפיתוח 2020'!Y101</f>
        <v>0</v>
      </c>
      <c r="Z87" s="199">
        <f>'תקציב החברה לפיתוח 2020'!Z101</f>
        <v>0</v>
      </c>
      <c r="AA87" s="341" t="str">
        <f>'תקציב החברה לפיתוח 2020'!AA101</f>
        <v xml:space="preserve">מתחמים (2) בשז"ר ומתחמים (2) באיזור לב טוב. כל מתחם 3 גנ"י. לפי אומדן של 7.5 מלשח למתחם. ב - 2020 תכנון. </v>
      </c>
      <c r="AB87" s="707">
        <f>'תקציב החברה לפיתוח 2020'!AB101</f>
        <v>810000</v>
      </c>
      <c r="AE87" s="5"/>
      <c r="AF87" s="5"/>
      <c r="AG87" s="5"/>
      <c r="AH87" s="5"/>
      <c r="AI87" s="5"/>
      <c r="AJ87" s="5"/>
      <c r="AK87" s="5"/>
      <c r="AL87" s="5"/>
      <c r="AM87" s="5"/>
    </row>
    <row r="88" spans="1:39" ht="13.8">
      <c r="A88" s="198">
        <f t="shared" si="7"/>
        <v>78</v>
      </c>
      <c r="B88" s="707">
        <f>'תקציב החברה לפיתוח 2020'!B104</f>
        <v>2152</v>
      </c>
      <c r="C88" s="341" t="str">
        <f>'תקציב החברה לפיתוח 2020'!C104</f>
        <v>בית ספר בן צבי</v>
      </c>
      <c r="D88" s="199">
        <f>'תקציב החברה לפיתוח 2020'!D104</f>
        <v>500000</v>
      </c>
      <c r="E88" s="199">
        <f>'תקציב החברה לפיתוח 2020'!E104</f>
        <v>0</v>
      </c>
      <c r="F88" s="199">
        <f>'תקציב החברה לפיתוח 2020'!F104</f>
        <v>500000</v>
      </c>
      <c r="G88" s="199">
        <f>'תקציב החברה לפיתוח 2020'!G104</f>
        <v>0</v>
      </c>
      <c r="H88" s="199">
        <f>'תקציב החברה לפיתוח 2020'!H104</f>
        <v>0</v>
      </c>
      <c r="I88" s="199">
        <f>'תקציב החברה לפיתוח 2020'!I104</f>
        <v>0</v>
      </c>
      <c r="J88" s="199">
        <f>'תקציב החברה לפיתוח 2020'!J104</f>
        <v>0</v>
      </c>
      <c r="K88" s="199">
        <f>'תקציב החברה לפיתוח 2020'!K104</f>
        <v>0</v>
      </c>
      <c r="L88" s="199">
        <f>'תקציב החברה לפיתוח 2020'!L104</f>
        <v>0</v>
      </c>
      <c r="M88" s="199">
        <f>'תקציב החברה לפיתוח 2020'!M104</f>
        <v>0</v>
      </c>
      <c r="N88" s="199">
        <f>'תקציב החברה לפיתוח 2020'!N104</f>
        <v>500000</v>
      </c>
      <c r="O88" s="199">
        <f>'תקציב החברה לפיתוח 2020'!O104</f>
        <v>0</v>
      </c>
      <c r="P88" s="199">
        <f>'תקציב החברה לפיתוח 2020'!P104</f>
        <v>0</v>
      </c>
      <c r="Q88" s="199">
        <f>'תקציב החברה לפיתוח 2020'!Q104</f>
        <v>0</v>
      </c>
      <c r="R88" s="199">
        <f>'תקציב החברה לפיתוח 2020'!R104</f>
        <v>0</v>
      </c>
      <c r="S88" s="199">
        <f>'תקציב החברה לפיתוח 2020'!S104</f>
        <v>0</v>
      </c>
      <c r="T88" s="199">
        <f>'תקציב החברה לפיתוח 2020'!T104</f>
        <v>0</v>
      </c>
      <c r="U88" s="199">
        <f>'תקציב החברה לפיתוח 2020'!U104</f>
        <v>500000</v>
      </c>
      <c r="V88" s="199">
        <f>'תקציב החברה לפיתוח 2020'!V104</f>
        <v>500000</v>
      </c>
      <c r="W88" s="199">
        <f>'תקציב החברה לפיתוח 2020'!W104</f>
        <v>0</v>
      </c>
      <c r="X88" s="199">
        <f>'תקציב החברה לפיתוח 2020'!X104</f>
        <v>0</v>
      </c>
      <c r="Y88" s="199">
        <f>'תקציב החברה לפיתוח 2020'!Y104</f>
        <v>0</v>
      </c>
      <c r="Z88" s="199">
        <f>'תקציב החברה לפיתוח 2020'!Z104</f>
        <v>0</v>
      </c>
      <c r="AA88" s="341" t="str">
        <f>'תקציב החברה לפיתוח 2020'!AA104</f>
        <v>תכנון ראשוני בי"ס בן צבי.</v>
      </c>
      <c r="AB88" s="707">
        <f>'תקציב החברה לפיתוח 2020'!AB104</f>
        <v>810000</v>
      </c>
      <c r="AE88" s="5"/>
      <c r="AF88" s="5"/>
      <c r="AG88" s="5"/>
      <c r="AH88" s="5"/>
      <c r="AI88" s="5"/>
      <c r="AJ88" s="5"/>
      <c r="AK88" s="5"/>
      <c r="AL88" s="5"/>
      <c r="AM88" s="5"/>
    </row>
    <row r="89" spans="1:39">
      <c r="A89" s="198">
        <f t="shared" ref="A89:A97" si="8">1+A88</f>
        <v>79</v>
      </c>
      <c r="B89" s="707">
        <f>'תקציב החברה לפיתוח 2020'!B112</f>
        <v>1906</v>
      </c>
      <c r="C89" s="341" t="str">
        <f>'תקציב החברה לפיתוח 2020'!C112</f>
        <v>כיתות גן 4 שטח 301 גליל ים א'</v>
      </c>
      <c r="D89" s="199">
        <f>'תקציב החברה לפיתוח 2020'!D112</f>
        <v>9708844</v>
      </c>
      <c r="E89" s="199">
        <f>'תקציב החברה לפיתוח 2020'!E112</f>
        <v>10000000</v>
      </c>
      <c r="F89" s="199">
        <f>'תקציב החברה לפיתוח 2020'!F112</f>
        <v>-291156</v>
      </c>
      <c r="G89" s="199">
        <f>'תקציב החברה לפיתוח 2020'!G112</f>
        <v>9708844</v>
      </c>
      <c r="H89" s="199">
        <f>'תקציב החברה לפיתוח 2020'!H112</f>
        <v>9224905.7799999993</v>
      </c>
      <c r="I89" s="199">
        <f>'תקציב החברה לפיתוח 2020'!I112</f>
        <v>0</v>
      </c>
      <c r="J89" s="199">
        <f>'תקציב החברה לפיתוח 2020'!J112</f>
        <v>422602.59</v>
      </c>
      <c r="K89" s="199">
        <f>'תקציב החברה לפיתוח 2020'!K112</f>
        <v>422602.59</v>
      </c>
      <c r="L89" s="199">
        <f>'תקציב החברה לפיתוח 2020'!L112</f>
        <v>9647508.3699999992</v>
      </c>
      <c r="M89" s="199">
        <f>'תקציב החברה לפיתוח 2020'!M112</f>
        <v>61335.63000000082</v>
      </c>
      <c r="N89" s="199">
        <f>'תקציב החברה לפיתוח 2020'!N112</f>
        <v>0</v>
      </c>
      <c r="O89" s="199">
        <f>'תקציב החברה לפיתוח 2020'!O112</f>
        <v>0</v>
      </c>
      <c r="P89" s="199">
        <f>'תקציב החברה לפיתוח 2020'!P112</f>
        <v>61335.63000000082</v>
      </c>
      <c r="Q89" s="199">
        <f>'תקציב החברה לפיתוח 2020'!Q112</f>
        <v>0</v>
      </c>
      <c r="R89" s="199">
        <f>'תקציב החברה לפיתוח 2020'!R112</f>
        <v>0</v>
      </c>
      <c r="S89" s="199">
        <f>'תקציב החברה לפיתוח 2020'!S112</f>
        <v>0</v>
      </c>
      <c r="T89" s="199">
        <f>'תקציב החברה לפיתוח 2020'!T112</f>
        <v>0</v>
      </c>
      <c r="U89" s="199">
        <f>'תקציב החברה לפיתוח 2020'!U112</f>
        <v>0</v>
      </c>
      <c r="V89" s="199">
        <f>'תקציב החברה לפיתוח 2020'!V112</f>
        <v>0</v>
      </c>
      <c r="W89" s="199">
        <f>'תקציב החברה לפיתוח 2020'!W112</f>
        <v>0</v>
      </c>
      <c r="X89" s="199">
        <f>'תקציב החברה לפיתוח 2020'!X112</f>
        <v>0</v>
      </c>
      <c r="Y89" s="199">
        <f>'תקציב החברה לפיתוח 2020'!Y112</f>
        <v>0</v>
      </c>
      <c r="Z89" s="199">
        <f>'תקציב החברה לפיתוח 2020'!Z112</f>
        <v>0</v>
      </c>
      <c r="AA89" s="341">
        <f>'תקציב החברה לפיתוח 2020'!AA112</f>
        <v>0</v>
      </c>
      <c r="AB89" s="707">
        <f>'תקציב החברה לפיתוח 2020'!AB112</f>
        <v>810000</v>
      </c>
      <c r="AE89" s="202"/>
      <c r="AI89" s="202"/>
      <c r="AJ89" s="202"/>
      <c r="AK89" s="202"/>
      <c r="AL89" s="202"/>
      <c r="AM89" s="202"/>
    </row>
    <row r="90" spans="1:39">
      <c r="A90" s="198">
        <f t="shared" si="8"/>
        <v>80</v>
      </c>
      <c r="B90" s="707">
        <f>'תקציב החברה לפיתוח 2020'!B113</f>
        <v>1907</v>
      </c>
      <c r="C90" s="341" t="str">
        <f>'תקציב החברה לפיתוח 2020'!C113</f>
        <v>כיתות גן 4 שטח 302 גליל ים א'</v>
      </c>
      <c r="D90" s="199">
        <f>'תקציב החברה לפיתוח 2020'!D113</f>
        <v>9708844</v>
      </c>
      <c r="E90" s="199">
        <f>'תקציב החברה לפיתוח 2020'!E113</f>
        <v>10000000</v>
      </c>
      <c r="F90" s="199">
        <f>'תקציב החברה לפיתוח 2020'!F113</f>
        <v>-291156</v>
      </c>
      <c r="G90" s="199">
        <f>'תקציב החברה לפיתוח 2020'!G113</f>
        <v>9708844</v>
      </c>
      <c r="H90" s="199">
        <f>'תקציב החברה לפיתוח 2020'!H113</f>
        <v>8237288.5</v>
      </c>
      <c r="I90" s="199">
        <f>'תקציב החברה לפיתוח 2020'!I113</f>
        <v>0</v>
      </c>
      <c r="J90" s="199">
        <f>'תקציב החברה לפיתוח 2020'!J113</f>
        <v>1303229.23</v>
      </c>
      <c r="K90" s="199">
        <f>'תקציב החברה לפיתוח 2020'!K113</f>
        <v>1303229.23</v>
      </c>
      <c r="L90" s="199">
        <f>'תקציב החברה לפיתוח 2020'!L113</f>
        <v>9540517.7300000004</v>
      </c>
      <c r="M90" s="199">
        <f>'תקציב החברה לפיתוח 2020'!M113</f>
        <v>168326.26999999955</v>
      </c>
      <c r="N90" s="199">
        <f>'תקציב החברה לפיתוח 2020'!N113</f>
        <v>0</v>
      </c>
      <c r="O90" s="199">
        <f>'תקציב החברה לפיתוח 2020'!O113</f>
        <v>0</v>
      </c>
      <c r="P90" s="199">
        <f>'תקציב החברה לפיתוח 2020'!P113</f>
        <v>168326.26999999955</v>
      </c>
      <c r="Q90" s="199">
        <f>'תקציב החברה לפיתוח 2020'!Q113</f>
        <v>0</v>
      </c>
      <c r="R90" s="199">
        <f>'תקציב החברה לפיתוח 2020'!R113</f>
        <v>0</v>
      </c>
      <c r="S90" s="199">
        <f>'תקציב החברה לפיתוח 2020'!S113</f>
        <v>0</v>
      </c>
      <c r="T90" s="199">
        <f>'תקציב החברה לפיתוח 2020'!T113</f>
        <v>0</v>
      </c>
      <c r="U90" s="199">
        <f>'תקציב החברה לפיתוח 2020'!U113</f>
        <v>0</v>
      </c>
      <c r="V90" s="199">
        <f>'תקציב החברה לפיתוח 2020'!V113</f>
        <v>0</v>
      </c>
      <c r="W90" s="199">
        <f>'תקציב החברה לפיתוח 2020'!W113</f>
        <v>0</v>
      </c>
      <c r="X90" s="199">
        <f>'תקציב החברה לפיתוח 2020'!X113</f>
        <v>0</v>
      </c>
      <c r="Y90" s="199">
        <f>'תקציב החברה לפיתוח 2020'!Y113</f>
        <v>0</v>
      </c>
      <c r="Z90" s="199">
        <f>'תקציב החברה לפיתוח 2020'!Z113</f>
        <v>0</v>
      </c>
      <c r="AA90" s="341">
        <f>'תקציב החברה לפיתוח 2020'!AA113</f>
        <v>0</v>
      </c>
      <c r="AB90" s="707">
        <f>'תקציב החברה לפיתוח 2020'!AB113</f>
        <v>810000</v>
      </c>
      <c r="AE90" s="202"/>
      <c r="AI90" s="202"/>
      <c r="AJ90" s="202"/>
      <c r="AK90" s="202"/>
      <c r="AL90" s="202"/>
      <c r="AM90" s="202"/>
    </row>
    <row r="91" spans="1:39" ht="41.4">
      <c r="A91" s="198">
        <f t="shared" si="8"/>
        <v>81</v>
      </c>
      <c r="B91" s="707">
        <f>'תקציב החברה לפיתוח 2020'!B114</f>
        <v>1908</v>
      </c>
      <c r="C91" s="341" t="str">
        <f>'תקציב החברה לפיתוח 2020'!C114</f>
        <v>כיתות מעון וגן שטח 303 גליל ים א'</v>
      </c>
      <c r="D91" s="199">
        <f>'תקציב החברה לפיתוח 2020'!D114</f>
        <v>19080000</v>
      </c>
      <c r="E91" s="199">
        <f>'תקציב החברה לפיתוח 2020'!E114</f>
        <v>16900000</v>
      </c>
      <c r="F91" s="199">
        <f>'תקציב החברה לפיתוח 2020'!F114</f>
        <v>2180000</v>
      </c>
      <c r="G91" s="199">
        <f>'תקציב החברה לפיתוח 2020'!G114</f>
        <v>10943329</v>
      </c>
      <c r="H91" s="199">
        <f>'תקציב החברה לפיתוח 2020'!H114</f>
        <v>307961</v>
      </c>
      <c r="I91" s="199">
        <f>'תקציב החברה לפיתוח 2020'!I114</f>
        <v>0</v>
      </c>
      <c r="J91" s="199">
        <f>'תקציב החברה לפיתוח 2020'!J114</f>
        <v>95657.37</v>
      </c>
      <c r="K91" s="199">
        <f>'תקציב החברה לפיתוח 2020'!K114</f>
        <v>95657.37</v>
      </c>
      <c r="L91" s="199">
        <f>'תקציב החברה לפיתוח 2020'!L114</f>
        <v>403618.37</v>
      </c>
      <c r="M91" s="199">
        <f>'תקציב החברה לפיתוח 2020'!M114</f>
        <v>10539710.630000001</v>
      </c>
      <c r="N91" s="199">
        <f>'תקציב החברה לפיתוח 2020'!N114</f>
        <v>8136671</v>
      </c>
      <c r="O91" s="199">
        <f>'תקציב החברה לפיתוח 2020'!O114</f>
        <v>0</v>
      </c>
      <c r="P91" s="199">
        <f>'תקציב החברה לפיתוח 2020'!P114</f>
        <v>10539710.630000001</v>
      </c>
      <c r="Q91" s="199">
        <f>'תקציב החברה לפיתוח 2020'!Q114</f>
        <v>0</v>
      </c>
      <c r="R91" s="199">
        <f>'תקציב החברה לפיתוח 2020'!R114</f>
        <v>0</v>
      </c>
      <c r="S91" s="199">
        <f>'תקציב החברה לפיתוח 2020'!S114</f>
        <v>0</v>
      </c>
      <c r="T91" s="199">
        <f>'תקציב החברה לפיתוח 2020'!T114</f>
        <v>0</v>
      </c>
      <c r="U91" s="199">
        <f>'תקציב החברה לפיתוח 2020'!U114</f>
        <v>8136671</v>
      </c>
      <c r="V91" s="199">
        <f>'תקציב החברה לפיתוח 2020'!V114</f>
        <v>0</v>
      </c>
      <c r="W91" s="199">
        <f>'תקציב החברה לפיתוח 2020'!W114</f>
        <v>0</v>
      </c>
      <c r="X91" s="199">
        <f>'תקציב החברה לפיתוח 2020'!X114</f>
        <v>0</v>
      </c>
      <c r="Y91" s="199">
        <f>'תקציב החברה לפיתוח 2020'!Y114</f>
        <v>6736671</v>
      </c>
      <c r="Z91" s="199">
        <f>'תקציב החברה לפיתוח 2020'!Z114</f>
        <v>1400000</v>
      </c>
      <c r="AA91" s="341" t="str">
        <f>'תקציב החברה לפיתוח 2020'!AA114</f>
        <v xml:space="preserve"> כיתות גן (2) וכיתות מעון (5).מתוקצב 8.9 מלשח רמ"י. 2020:אומדן מימון מ.החינוך גנ"י. </v>
      </c>
      <c r="AB91" s="707">
        <f>'תקציב החברה לפיתוח 2020'!AB114</f>
        <v>810000</v>
      </c>
      <c r="AE91" s="202"/>
      <c r="AI91" s="202"/>
      <c r="AJ91" s="202"/>
      <c r="AK91" s="202"/>
      <c r="AL91" s="202"/>
      <c r="AM91" s="202"/>
    </row>
    <row r="92" spans="1:39" s="5" customFormat="1" ht="96.6">
      <c r="A92" s="198">
        <f t="shared" si="8"/>
        <v>82</v>
      </c>
      <c r="B92" s="707">
        <f>'תקציב החברה לפיתוח 2020'!B115</f>
        <v>1909</v>
      </c>
      <c r="C92" s="341" t="str">
        <f>'תקציב החברה לפיתוח 2020'!C115</f>
        <v xml:space="preserve">שטח 408 גליל ים ב'-גנ"י, בי"ס, ספריה </v>
      </c>
      <c r="D92" s="199">
        <f>'תקציב החברה לפיתוח 2020'!D115</f>
        <v>184500000</v>
      </c>
      <c r="E92" s="199">
        <f>'תקציב החברה לפיתוח 2020'!E115</f>
        <v>147000000</v>
      </c>
      <c r="F92" s="199">
        <f>'תקציב החברה לפיתוח 2020'!F115</f>
        <v>37500000</v>
      </c>
      <c r="G92" s="199">
        <f>'תקציב החברה לפיתוח 2020'!G115</f>
        <v>1650000</v>
      </c>
      <c r="H92" s="199">
        <f>'תקציב החברה לפיתוח 2020'!H115</f>
        <v>1083363</v>
      </c>
      <c r="I92" s="199">
        <f>'תקציב החברה לפיתוח 2020'!I115</f>
        <v>0</v>
      </c>
      <c r="J92" s="199">
        <f>'תקציב החברה לפיתוח 2020'!J115</f>
        <v>566633.36</v>
      </c>
      <c r="K92" s="199">
        <f>'תקציב החברה לפיתוח 2020'!K115</f>
        <v>566633.36</v>
      </c>
      <c r="L92" s="199">
        <f>'תקציב החברה לפיתוח 2020'!L115</f>
        <v>1649996.3599999999</v>
      </c>
      <c r="M92" s="199">
        <f>'תקציב החברה לפיתוח 2020'!M115</f>
        <v>3.6400000001303852</v>
      </c>
      <c r="N92" s="199">
        <f>'תקציב החברה לפיתוח 2020'!N115</f>
        <v>55500000</v>
      </c>
      <c r="O92" s="199">
        <f>'תקציב החברה לפיתוח 2020'!O115</f>
        <v>127350000</v>
      </c>
      <c r="P92" s="199">
        <f>'תקציב החברה לפיתוח 2020'!P115</f>
        <v>3.6400000001303852</v>
      </c>
      <c r="Q92" s="199">
        <f>'תקציב החברה לפיתוח 2020'!Q115</f>
        <v>0</v>
      </c>
      <c r="R92" s="199">
        <f>'תקציב החברה לפיתוח 2020'!R115</f>
        <v>0</v>
      </c>
      <c r="S92" s="199">
        <f>'תקציב החברה לפיתוח 2020'!S115</f>
        <v>0</v>
      </c>
      <c r="T92" s="199">
        <f>'תקציב החברה לפיתוח 2020'!T115</f>
        <v>0</v>
      </c>
      <c r="U92" s="199">
        <f>'תקציב החברה לפיתוח 2020'!U115</f>
        <v>55500000</v>
      </c>
      <c r="V92" s="199">
        <f>'תקציב החברה לפיתוח 2020'!V115</f>
        <v>0</v>
      </c>
      <c r="W92" s="199">
        <f>'תקציב החברה לפיתוח 2020'!W115</f>
        <v>0</v>
      </c>
      <c r="X92" s="199">
        <f>'תקציב החברה לפיתוח 2020'!X115</f>
        <v>0</v>
      </c>
      <c r="Y92" s="199">
        <f>'תקציב החברה לפיתוח 2020'!Y115</f>
        <v>40000000</v>
      </c>
      <c r="Z92" s="199">
        <f>'תקציב החברה לפיתוח 2020'!Z115</f>
        <v>15500000</v>
      </c>
      <c r="AA92" s="341" t="str">
        <f>'תקציב החברה לפיתוח 2020'!AA115</f>
        <v>בניית בי"ס יסודי 18 כיתות, 5 כיתות גן, מועדון תנועת נוער, אולם ספורט בינוני (לקבל מימון מ. הספורט) , מגרש ספורט משולב, חדר שנאים , חניון תתקרקעי 2 מפלסים. לו"ז לאיכלוס 8/2022. 2020:אומדן מימון מ. החינוך בי"ס וגנ"י.</v>
      </c>
      <c r="AB92" s="707">
        <f>'תקציב החברה לפיתוח 2020'!AB115</f>
        <v>810000</v>
      </c>
      <c r="AC92" s="191"/>
      <c r="AD92" s="191"/>
      <c r="AE92" s="210"/>
      <c r="AF92" s="331"/>
      <c r="AG92" s="331"/>
      <c r="AH92" s="331"/>
      <c r="AI92" s="191"/>
      <c r="AJ92" s="191"/>
      <c r="AK92" s="191"/>
      <c r="AL92" s="191"/>
      <c r="AM92" s="191"/>
    </row>
    <row r="93" spans="1:39" s="6" customFormat="1" ht="27.6">
      <c r="A93" s="198">
        <f t="shared" si="8"/>
        <v>83</v>
      </c>
      <c r="B93" s="707">
        <f>'תקציב החברה לפיתוח 2020'!B116</f>
        <v>1911</v>
      </c>
      <c r="C93" s="341" t="str">
        <f>'תקציב החברה לפיתוח 2020'!C116</f>
        <v xml:space="preserve">כיתות מעון 5 יום 5 כיתות גן-. 404 גליל ים ב' </v>
      </c>
      <c r="D93" s="199">
        <f>'תקציב החברה לפיתוח 2020'!D116</f>
        <v>29050000</v>
      </c>
      <c r="E93" s="199">
        <f>'תקציב החברה לפיתוח 2020'!E116</f>
        <v>27500000</v>
      </c>
      <c r="F93" s="199">
        <f>'תקציב החברה לפיתוח 2020'!F116</f>
        <v>1550000</v>
      </c>
      <c r="G93" s="199">
        <f>'תקציב החברה לפיתוח 2020'!G116</f>
        <v>9182067</v>
      </c>
      <c r="H93" s="199">
        <f>'תקציב החברה לפיתוח 2020'!H116</f>
        <v>319718</v>
      </c>
      <c r="I93" s="199">
        <f>'תקציב החברה לפיתוח 2020'!I116</f>
        <v>0</v>
      </c>
      <c r="J93" s="199">
        <f>'תקציב החברה לפיתוח 2020'!J116</f>
        <v>819544.96</v>
      </c>
      <c r="K93" s="199">
        <f>'תקציב החברה לפיתוח 2020'!K116</f>
        <v>819544.96</v>
      </c>
      <c r="L93" s="199">
        <f>'תקציב החברה לפיתוח 2020'!L116</f>
        <v>1139262.96</v>
      </c>
      <c r="M93" s="199">
        <f>'תקציב החברה לפיתוח 2020'!M116</f>
        <v>8042804.04</v>
      </c>
      <c r="N93" s="199">
        <f>'תקציב החברה לפיתוח 2020'!N116</f>
        <v>0</v>
      </c>
      <c r="O93" s="199">
        <f>'תקציב החברה לפיתוח 2020'!O116</f>
        <v>19867933</v>
      </c>
      <c r="P93" s="199">
        <f>'תקציב החברה לפיתוח 2020'!P116</f>
        <v>8042804.04</v>
      </c>
      <c r="Q93" s="199">
        <f>'תקציב החברה לפיתוח 2020'!Q116</f>
        <v>0</v>
      </c>
      <c r="R93" s="199">
        <f>'תקציב החברה לפיתוח 2020'!R116</f>
        <v>0</v>
      </c>
      <c r="S93" s="199">
        <f>'תקציב החברה לפיתוח 2020'!S116</f>
        <v>0</v>
      </c>
      <c r="T93" s="199">
        <f>'תקציב החברה לפיתוח 2020'!T116</f>
        <v>0</v>
      </c>
      <c r="U93" s="199">
        <f>'תקציב החברה לפיתוח 2020'!U116</f>
        <v>0</v>
      </c>
      <c r="V93" s="199">
        <f>'תקציב החברה לפיתוח 2020'!V116</f>
        <v>0</v>
      </c>
      <c r="W93" s="199">
        <f>'תקציב החברה לפיתוח 2020'!W116</f>
        <v>0</v>
      </c>
      <c r="X93" s="199">
        <f>'תקציב החברה לפיתוח 2020'!X116</f>
        <v>0</v>
      </c>
      <c r="Y93" s="199">
        <f>'תקציב החברה לפיתוח 2020'!Y116</f>
        <v>0</v>
      </c>
      <c r="Z93" s="199">
        <f>'תקציב החברה לפיתוח 2020'!Z116</f>
        <v>0</v>
      </c>
      <c r="AA93" s="341" t="str">
        <f>'תקציב החברה לפיתוח 2020'!AA116</f>
        <v xml:space="preserve">מתוקצב 7.4 מלשח רמ"י. </v>
      </c>
      <c r="AB93" s="707">
        <f>'תקציב החברה לפיתוח 2020'!AB116</f>
        <v>810000</v>
      </c>
      <c r="AC93" s="191"/>
      <c r="AD93" s="191"/>
      <c r="AE93" s="210"/>
      <c r="AF93" s="331"/>
      <c r="AG93" s="331"/>
      <c r="AH93" s="331"/>
      <c r="AI93" s="191"/>
      <c r="AJ93" s="191"/>
      <c r="AK93" s="205"/>
      <c r="AL93" s="191"/>
      <c r="AM93" s="191"/>
    </row>
    <row r="94" spans="1:39" s="6" customFormat="1" ht="69">
      <c r="A94" s="198">
        <f t="shared" si="8"/>
        <v>84</v>
      </c>
      <c r="B94" s="707">
        <f>'תקציב החברה לפיתוח 2020'!B117</f>
        <v>1912</v>
      </c>
      <c r="C94" s="341" t="str">
        <f>'תקציב החברה לפיתוח 2020'!C117</f>
        <v xml:space="preserve">קיריית החינוך ( מגרש 406)-ספריה, מרכז קהילתי </v>
      </c>
      <c r="D94" s="199">
        <f>'תקציב החברה לפיתוח 2020'!D117</f>
        <v>310000000</v>
      </c>
      <c r="E94" s="199">
        <f>'תקציב החברה לפיתוח 2020'!E117</f>
        <v>310000000</v>
      </c>
      <c r="F94" s="199">
        <f>'תקציב החברה לפיתוח 2020'!F117</f>
        <v>0</v>
      </c>
      <c r="G94" s="199">
        <f>'תקציב החברה לפיתוח 2020'!G117</f>
        <v>5000000</v>
      </c>
      <c r="H94" s="199">
        <f>'תקציב החברה לפיתוח 2020'!H117</f>
        <v>1698890</v>
      </c>
      <c r="I94" s="199">
        <f>'תקציב החברה לפיתוח 2020'!I117</f>
        <v>0</v>
      </c>
      <c r="J94" s="199">
        <f>'תקציב החברה לפיתוח 2020'!J117</f>
        <v>749796.72</v>
      </c>
      <c r="K94" s="199">
        <f>'תקציב החברה לפיתוח 2020'!K117</f>
        <v>749796.72</v>
      </c>
      <c r="L94" s="199">
        <f>'תקציב החברה לפיתוח 2020'!L117</f>
        <v>2448686.7199999997</v>
      </c>
      <c r="M94" s="199">
        <f>'תקציב החברה לפיתוח 2020'!M117</f>
        <v>2551313.2800000003</v>
      </c>
      <c r="N94" s="199">
        <f>'תקציב החברה לפיתוח 2020'!N117</f>
        <v>50500000</v>
      </c>
      <c r="O94" s="199">
        <f>'תקציב החברה לפיתוח 2020'!O117</f>
        <v>254500000</v>
      </c>
      <c r="P94" s="199">
        <f>'תקציב החברה לפיתוח 2020'!P117</f>
        <v>2551313.2800000003</v>
      </c>
      <c r="Q94" s="199">
        <f>'תקציב החברה לפיתוח 2020'!Q117</f>
        <v>0</v>
      </c>
      <c r="R94" s="199">
        <f>'תקציב החברה לפיתוח 2020'!R117</f>
        <v>0</v>
      </c>
      <c r="S94" s="199">
        <f>'תקציב החברה לפיתוח 2020'!S117</f>
        <v>0</v>
      </c>
      <c r="T94" s="199">
        <f>'תקציב החברה לפיתוח 2020'!T117</f>
        <v>0</v>
      </c>
      <c r="U94" s="199">
        <f>'תקציב החברה לפיתוח 2020'!U117</f>
        <v>50500000</v>
      </c>
      <c r="V94" s="199">
        <f>'תקציב החברה לפיתוח 2020'!V117</f>
        <v>0</v>
      </c>
      <c r="W94" s="199">
        <f>'תקציב החברה לפיתוח 2020'!W117</f>
        <v>0</v>
      </c>
      <c r="X94" s="199">
        <f>'תקציב החברה לפיתוח 2020'!X117</f>
        <v>0</v>
      </c>
      <c r="Y94" s="199">
        <f>'תקציב החברה לפיתוח 2020'!Y117</f>
        <v>38500000</v>
      </c>
      <c r="Z94" s="199">
        <f>'תקציב החברה לפיתוח 2020'!Z117</f>
        <v>12000000</v>
      </c>
      <c r="AA94" s="341" t="str">
        <f>'תקציב החברה לפיתוח 2020'!AA117</f>
        <v>בניית בי"ס יסודי 18 כיתות,  אולם ספורט בינוני (לקבל מימון מ. הספורט) , מגרש ספורט , חדר שנאים, חניון תתקרקעי 2 מפלסים. 2020 : אומדן מימון מ. החינוך בי"ס.</v>
      </c>
      <c r="AB94" s="707">
        <f>'תקציב החברה לפיתוח 2020'!AB117</f>
        <v>810000</v>
      </c>
      <c r="AC94" s="191"/>
      <c r="AD94" s="191"/>
      <c r="AE94" s="210"/>
      <c r="AF94" s="331"/>
      <c r="AG94" s="331"/>
      <c r="AH94" s="331"/>
      <c r="AI94" s="191"/>
      <c r="AJ94" s="191"/>
      <c r="AK94" s="205"/>
      <c r="AL94" s="191"/>
      <c r="AM94" s="191"/>
    </row>
    <row r="95" spans="1:39" s="5" customFormat="1">
      <c r="A95" s="198">
        <f t="shared" si="8"/>
        <v>85</v>
      </c>
      <c r="B95" s="707">
        <f>'תקציב החברה לפיתוח 2020'!B118</f>
        <v>1914</v>
      </c>
      <c r="C95" s="341" t="str">
        <f>'תקציב החברה לפיתוח 2020'!C118</f>
        <v>גן 3 כיתות 401 גליל ים ב'</v>
      </c>
      <c r="D95" s="199">
        <f>'תקציב החברה לפיתוח 2020'!D118</f>
        <v>8100000</v>
      </c>
      <c r="E95" s="199">
        <f>'תקציב החברה לפיתוח 2020'!E118</f>
        <v>7700000</v>
      </c>
      <c r="F95" s="199">
        <f>'תקציב החברה לפיתוח 2020'!F118</f>
        <v>400000</v>
      </c>
      <c r="G95" s="199">
        <f>'תקציב החברה לפיתוח 2020'!G118</f>
        <v>1300000</v>
      </c>
      <c r="H95" s="199">
        <f>'תקציב החברה לפיתוח 2020'!H118</f>
        <v>164878</v>
      </c>
      <c r="I95" s="199">
        <f>'תקציב החברה לפיתוח 2020'!I118</f>
        <v>0</v>
      </c>
      <c r="J95" s="199">
        <f>'תקציב החברה לפיתוח 2020'!J118</f>
        <v>33558.85</v>
      </c>
      <c r="K95" s="199">
        <f>'תקציב החברה לפיתוח 2020'!K118</f>
        <v>33558.85</v>
      </c>
      <c r="L95" s="199">
        <f>'תקציב החברה לפיתוח 2020'!L118</f>
        <v>198436.85</v>
      </c>
      <c r="M95" s="199">
        <f>'תקציב החברה לפיתוח 2020'!M118</f>
        <v>1101563.1499999999</v>
      </c>
      <c r="N95" s="199">
        <f>'תקציב החברה לפיתוח 2020'!N118</f>
        <v>6800000</v>
      </c>
      <c r="O95" s="199">
        <f>'תקציב החברה לפיתוח 2020'!O118</f>
        <v>0</v>
      </c>
      <c r="P95" s="199">
        <f>'תקציב החברה לפיתוח 2020'!P118</f>
        <v>1101563.1499999999</v>
      </c>
      <c r="Q95" s="199">
        <f>'תקציב החברה לפיתוח 2020'!Q118</f>
        <v>0</v>
      </c>
      <c r="R95" s="199">
        <f>'תקציב החברה לפיתוח 2020'!R118</f>
        <v>0</v>
      </c>
      <c r="S95" s="199">
        <f>'תקציב החברה לפיתוח 2020'!S118</f>
        <v>0</v>
      </c>
      <c r="T95" s="199">
        <f>'תקציב החברה לפיתוח 2020'!T118</f>
        <v>0</v>
      </c>
      <c r="U95" s="199">
        <f>'תקציב החברה לפיתוח 2020'!U118</f>
        <v>6800000</v>
      </c>
      <c r="V95" s="199">
        <f>'תקציב החברה לפיתוח 2020'!V118</f>
        <v>0</v>
      </c>
      <c r="W95" s="199">
        <f>'תקציב החברה לפיתוח 2020'!W118</f>
        <v>0</v>
      </c>
      <c r="X95" s="199">
        <f>'תקציב החברה לפיתוח 2020'!X118</f>
        <v>0</v>
      </c>
      <c r="Y95" s="199">
        <f>'תקציב החברה לפיתוח 2020'!Y118</f>
        <v>6800000</v>
      </c>
      <c r="Z95" s="199">
        <f>'תקציב החברה לפיתוח 2020'!Z118</f>
        <v>0</v>
      </c>
      <c r="AA95" s="341" t="str">
        <f>'תקציב החברה לפיתוח 2020'!AA118</f>
        <v>במקביל,תבר חדש הצטיידות בחינוך .</v>
      </c>
      <c r="AB95" s="707">
        <f>'תקציב החברה לפיתוח 2020'!AB118</f>
        <v>810000</v>
      </c>
      <c r="AC95" s="191"/>
      <c r="AD95" s="191"/>
      <c r="AE95" s="210"/>
      <c r="AF95" s="331"/>
      <c r="AG95" s="331"/>
      <c r="AH95" s="331"/>
      <c r="AI95" s="191"/>
      <c r="AJ95" s="191"/>
      <c r="AK95" s="191"/>
      <c r="AL95" s="191"/>
      <c r="AM95" s="191"/>
    </row>
    <row r="96" spans="1:39" s="5" customFormat="1" ht="27.6">
      <c r="A96" s="198">
        <f t="shared" si="8"/>
        <v>86</v>
      </c>
      <c r="B96" s="707">
        <f>'תקציב החברה לפיתוח 2020'!B120</f>
        <v>1960</v>
      </c>
      <c r="C96" s="341" t="str">
        <f>'תקציב החברה לפיתוח 2020'!C120</f>
        <v>גן 3 כיתות 402 גליל ים ב'(כולל חניון)</v>
      </c>
      <c r="D96" s="199">
        <f>'תקציב החברה לפיתוח 2020'!D120</f>
        <v>24710000</v>
      </c>
      <c r="E96" s="199">
        <f>'תקציב החברה לפיתוח 2020'!E120</f>
        <v>22300000</v>
      </c>
      <c r="F96" s="199">
        <f>'תקציב החברה לפיתוח 2020'!F120</f>
        <v>2410000</v>
      </c>
      <c r="G96" s="199">
        <f>'תקציב החברה לפיתוח 2020'!G120</f>
        <v>750000</v>
      </c>
      <c r="H96" s="199">
        <f>'תקציב החברה לפיתוח 2020'!H120</f>
        <v>230552</v>
      </c>
      <c r="I96" s="199">
        <f>'תקציב החברה לפיתוח 2020'!I120</f>
        <v>0</v>
      </c>
      <c r="J96" s="199">
        <f>'תקציב החברה לפיתוח 2020'!J120</f>
        <v>60315.839999999997</v>
      </c>
      <c r="K96" s="199">
        <f>'תקציב החברה לפיתוח 2020'!K120</f>
        <v>60315.839999999997</v>
      </c>
      <c r="L96" s="199">
        <f>'תקציב החברה לפיתוח 2020'!L120</f>
        <v>290867.83999999997</v>
      </c>
      <c r="M96" s="199">
        <f>'תקציב החברה לפיתוח 2020'!M120</f>
        <v>459132.16000000003</v>
      </c>
      <c r="N96" s="199">
        <f>'תקציב החברה לפיתוח 2020'!N120</f>
        <v>23960000</v>
      </c>
      <c r="O96" s="199">
        <f>'תקציב החברה לפיתוח 2020'!O120</f>
        <v>0</v>
      </c>
      <c r="P96" s="199">
        <f>'תקציב החברה לפיתוח 2020'!P120</f>
        <v>459132.16000000003</v>
      </c>
      <c r="Q96" s="199">
        <f>'תקציב החברה לפיתוח 2020'!Q120</f>
        <v>0</v>
      </c>
      <c r="R96" s="199">
        <f>'תקציב החברה לפיתוח 2020'!R120</f>
        <v>0</v>
      </c>
      <c r="S96" s="199">
        <f>'תקציב החברה לפיתוח 2020'!S120</f>
        <v>0</v>
      </c>
      <c r="T96" s="199">
        <f>'תקציב החברה לפיתוח 2020'!T120</f>
        <v>0</v>
      </c>
      <c r="U96" s="199">
        <f>'תקציב החברה לפיתוח 2020'!U120</f>
        <v>23960000</v>
      </c>
      <c r="V96" s="199">
        <f>'תקציב החברה לפיתוח 2020'!V120</f>
        <v>0</v>
      </c>
      <c r="W96" s="199">
        <f>'תקציב החברה לפיתוח 2020'!W120</f>
        <v>0</v>
      </c>
      <c r="X96" s="199">
        <f>'תקציב החברה לפיתוח 2020'!X120</f>
        <v>0</v>
      </c>
      <c r="Y96" s="199">
        <f>'תקציב החברה לפיתוח 2020'!Y120</f>
        <v>5040000</v>
      </c>
      <c r="Z96" s="199">
        <f>'תקציב החברה לפיתוח 2020'!Z120</f>
        <v>18920000</v>
      </c>
      <c r="AA96" s="341" t="str">
        <f>'תקציב החברה לפיתוח 2020'!AA120</f>
        <v>בניית החניון במימון  חברת אפריקה ישראל. גנ"י: אומדן מימון מ. החינוך.</v>
      </c>
      <c r="AB96" s="707">
        <f>'תקציב החברה לפיתוח 2020'!AB120</f>
        <v>810000</v>
      </c>
      <c r="AC96" s="191"/>
      <c r="AD96" s="191"/>
      <c r="AE96" s="210"/>
      <c r="AF96" s="331"/>
      <c r="AG96" s="331"/>
      <c r="AH96" s="331"/>
      <c r="AI96" s="191"/>
      <c r="AJ96" s="191"/>
      <c r="AK96" s="205"/>
      <c r="AL96" s="191"/>
      <c r="AM96" s="191"/>
    </row>
    <row r="97" spans="1:39" s="5" customFormat="1" ht="27.6">
      <c r="A97" s="198">
        <f t="shared" si="8"/>
        <v>87</v>
      </c>
      <c r="B97" s="707">
        <f>'תקציב החברה לפיתוח 2020'!B123</f>
        <v>1965</v>
      </c>
      <c r="C97" s="341" t="str">
        <f>'תקציב החברה לפיתוח 2020'!C123</f>
        <v>בית ספר יסודי 18 כיתות מגרש 304 גלילי ים א'</v>
      </c>
      <c r="D97" s="199">
        <f>'תקציב החברה לפיתוח 2020'!D123</f>
        <v>35000000</v>
      </c>
      <c r="E97" s="199">
        <f>'תקציב החברה לפיתוח 2020'!E123</f>
        <v>35000000</v>
      </c>
      <c r="F97" s="199">
        <f>'תקציב החברה לפיתוח 2020'!F123</f>
        <v>0</v>
      </c>
      <c r="G97" s="199">
        <f>'תקציב החברה לפיתוח 2020'!G123</f>
        <v>100000</v>
      </c>
      <c r="H97" s="199">
        <f>'תקציב החברה לפיתוח 2020'!H123</f>
        <v>4961</v>
      </c>
      <c r="I97" s="199">
        <f>'תקציב החברה לפיתוח 2020'!I123</f>
        <v>0</v>
      </c>
      <c r="J97" s="199">
        <f>'תקציב החברה לפיתוח 2020'!J123</f>
        <v>95037.93</v>
      </c>
      <c r="K97" s="199">
        <f>'תקציב החברה לפיתוח 2020'!K123</f>
        <v>95037.93</v>
      </c>
      <c r="L97" s="199">
        <f>'תקציב החברה לפיתוח 2020'!L123</f>
        <v>99998.93</v>
      </c>
      <c r="M97" s="199">
        <f>'תקציב החברה לפיתוח 2020'!M123</f>
        <v>1.0700000000069849</v>
      </c>
      <c r="N97" s="199">
        <f>'תקציב החברה לפיתוח 2020'!N123</f>
        <v>1000000</v>
      </c>
      <c r="O97" s="199">
        <f>'תקציב החברה לפיתוח 2020'!O123</f>
        <v>33900000</v>
      </c>
      <c r="P97" s="199">
        <f>'תקציב החברה לפיתוח 2020'!P123</f>
        <v>1.0700000000069849</v>
      </c>
      <c r="Q97" s="199">
        <f>'תקציב החברה לפיתוח 2020'!Q123</f>
        <v>0</v>
      </c>
      <c r="R97" s="199">
        <f>'תקציב החברה לפיתוח 2020'!R123</f>
        <v>0</v>
      </c>
      <c r="S97" s="199">
        <f>'תקציב החברה לפיתוח 2020'!S123</f>
        <v>0</v>
      </c>
      <c r="T97" s="199">
        <f>'תקציב החברה לפיתוח 2020'!T123</f>
        <v>0</v>
      </c>
      <c r="U97" s="199">
        <f>'תקציב החברה לפיתוח 2020'!U123</f>
        <v>1000000</v>
      </c>
      <c r="V97" s="199">
        <f>'תקציב החברה לפיתוח 2020'!V123</f>
        <v>0</v>
      </c>
      <c r="W97" s="199">
        <f>'תקציב החברה לפיתוח 2020'!W123</f>
        <v>0</v>
      </c>
      <c r="X97" s="199">
        <f>'תקציב החברה לפיתוח 2020'!X123</f>
        <v>0</v>
      </c>
      <c r="Y97" s="199">
        <f>'תקציב החברה לפיתוח 2020'!Y123</f>
        <v>1000000</v>
      </c>
      <c r="Z97" s="199">
        <f>'תקציב החברה לפיתוח 2020'!Z123</f>
        <v>0</v>
      </c>
      <c r="AA97" s="341" t="str">
        <f>'תקציב החברה לפיתוח 2020'!AA123</f>
        <v>בי"ס יסודי בשטח 304.ב - 2020: תכנון.</v>
      </c>
      <c r="AB97" s="707">
        <f>'תקציב החברה לפיתוח 2020'!AB123</f>
        <v>810000</v>
      </c>
      <c r="AC97" s="191"/>
      <c r="AD97" s="191"/>
      <c r="AE97" s="210"/>
      <c r="AF97" s="331"/>
      <c r="AG97" s="331"/>
      <c r="AH97" s="331"/>
      <c r="AI97" s="191"/>
      <c r="AJ97" s="191"/>
      <c r="AK97" s="192"/>
      <c r="AL97" s="191"/>
      <c r="AM97" s="191"/>
    </row>
    <row r="98" spans="1:39" s="84" customFormat="1">
      <c r="A98" s="339"/>
      <c r="B98" s="727"/>
      <c r="C98" s="778" t="s">
        <v>699</v>
      </c>
      <c r="D98" s="439">
        <f>SUM(D75:D97)</f>
        <v>913107688</v>
      </c>
      <c r="E98" s="439">
        <f t="shared" ref="E98:Z98" si="9">SUM(E75:E97)</f>
        <v>781620000</v>
      </c>
      <c r="F98" s="439">
        <f t="shared" si="9"/>
        <v>131487688</v>
      </c>
      <c r="G98" s="439">
        <f t="shared" si="9"/>
        <v>138983084</v>
      </c>
      <c r="H98" s="439">
        <f t="shared" si="9"/>
        <v>78760710.280000001</v>
      </c>
      <c r="I98" s="439">
        <f t="shared" si="9"/>
        <v>0</v>
      </c>
      <c r="J98" s="439">
        <f t="shared" si="9"/>
        <v>12142640.080000002</v>
      </c>
      <c r="K98" s="439">
        <f t="shared" si="9"/>
        <v>12142640.080000002</v>
      </c>
      <c r="L98" s="439">
        <f t="shared" si="9"/>
        <v>90903350.360000014</v>
      </c>
      <c r="M98" s="439">
        <f t="shared" si="9"/>
        <v>49019733.639999986</v>
      </c>
      <c r="N98" s="439">
        <f t="shared" si="9"/>
        <v>192566671</v>
      </c>
      <c r="O98" s="439">
        <f t="shared" si="9"/>
        <v>580617933</v>
      </c>
      <c r="P98" s="439">
        <f t="shared" si="9"/>
        <v>48079733.639999986</v>
      </c>
      <c r="Q98" s="439">
        <f t="shared" si="9"/>
        <v>24600000</v>
      </c>
      <c r="R98" s="439">
        <f t="shared" si="9"/>
        <v>0</v>
      </c>
      <c r="S98" s="439">
        <f t="shared" si="9"/>
        <v>24600000</v>
      </c>
      <c r="T98" s="439">
        <f t="shared" si="9"/>
        <v>23660000</v>
      </c>
      <c r="U98" s="439">
        <f t="shared" si="9"/>
        <v>168906671</v>
      </c>
      <c r="V98" s="439">
        <f t="shared" si="9"/>
        <v>23010000</v>
      </c>
      <c r="W98" s="439">
        <f t="shared" si="9"/>
        <v>0</v>
      </c>
      <c r="X98" s="439">
        <f t="shared" si="9"/>
        <v>0</v>
      </c>
      <c r="Y98" s="439">
        <f t="shared" si="9"/>
        <v>98076671</v>
      </c>
      <c r="Z98" s="439">
        <f t="shared" si="9"/>
        <v>47820000</v>
      </c>
      <c r="AA98" s="441"/>
      <c r="AB98" s="727"/>
      <c r="AC98" s="428"/>
      <c r="AD98" s="428"/>
      <c r="AE98" s="412"/>
      <c r="AF98" s="414"/>
      <c r="AG98" s="414"/>
      <c r="AH98" s="414"/>
      <c r="AI98" s="428"/>
      <c r="AJ98" s="428"/>
      <c r="AK98" s="442"/>
      <c r="AL98" s="428"/>
      <c r="AM98" s="428"/>
    </row>
    <row r="99" spans="1:39" s="6" customFormat="1" ht="27.6">
      <c r="A99" s="198">
        <f>A97+1</f>
        <v>88</v>
      </c>
      <c r="B99" s="707">
        <f>'תקציב החברה לפיתוח 2020'!B85</f>
        <v>2102</v>
      </c>
      <c r="C99" s="341" t="str">
        <f>'תקציב החברה לפיתוח 2020'!C85</f>
        <v>מועדון טלוויזיה קהילתית בשכונת צמרות</v>
      </c>
      <c r="D99" s="199">
        <f>'תקציב החברה לפיתוח 2020'!D85</f>
        <v>1750000</v>
      </c>
      <c r="E99" s="199">
        <f>'תקציב החברה לפיתוח 2020'!E85</f>
        <v>1750000</v>
      </c>
      <c r="F99" s="199">
        <f>'תקציב החברה לפיתוח 2020'!F85</f>
        <v>0</v>
      </c>
      <c r="G99" s="199">
        <f>'תקציב החברה לפיתוח 2020'!G85</f>
        <v>150000</v>
      </c>
      <c r="H99" s="199">
        <f>'תקציב החברה לפיתוח 2020'!H85</f>
        <v>15453</v>
      </c>
      <c r="I99" s="199">
        <f>'תקציב החברה לפיתוח 2020'!I85</f>
        <v>0</v>
      </c>
      <c r="J99" s="199">
        <f>'תקציב החברה לפיתוח 2020'!J85</f>
        <v>124222.29</v>
      </c>
      <c r="K99" s="199">
        <f>'תקציב החברה לפיתוח 2020'!K85</f>
        <v>124222.29</v>
      </c>
      <c r="L99" s="199">
        <f>'תקציב החברה לפיתוח 2020'!L85</f>
        <v>139675.28999999998</v>
      </c>
      <c r="M99" s="199">
        <f>'תקציב החברה לפיתוח 2020'!M85</f>
        <v>1610324.71</v>
      </c>
      <c r="N99" s="199">
        <f>'תקציב החברה לפיתוח 2020'!N85</f>
        <v>0</v>
      </c>
      <c r="O99" s="199">
        <f>'תקציב החברה לפיתוח 2020'!O85</f>
        <v>0</v>
      </c>
      <c r="P99" s="199">
        <f>'תקציב החברה לפיתוח 2020'!P85</f>
        <v>10324.710000000021</v>
      </c>
      <c r="Q99" s="199">
        <f>'תקציב החברה לפיתוח 2020'!Q85</f>
        <v>1600000</v>
      </c>
      <c r="R99" s="199">
        <f>'תקציב החברה לפיתוח 2020'!R85</f>
        <v>0</v>
      </c>
      <c r="S99" s="199">
        <f>'תקציב החברה לפיתוח 2020'!S85</f>
        <v>1600000</v>
      </c>
      <c r="T99" s="199">
        <f>'תקציב החברה לפיתוח 2020'!T85</f>
        <v>0</v>
      </c>
      <c r="U99" s="199">
        <f>'תקציב החברה לפיתוח 2020'!U85</f>
        <v>0</v>
      </c>
      <c r="V99" s="199">
        <f>'תקציב החברה לפיתוח 2020'!V85</f>
        <v>0</v>
      </c>
      <c r="W99" s="199">
        <f>'תקציב החברה לפיתוח 2020'!W85</f>
        <v>0</v>
      </c>
      <c r="X99" s="199">
        <f>'תקציב החברה לפיתוח 2020'!X85</f>
        <v>0</v>
      </c>
      <c r="Y99" s="199">
        <f>'תקציב החברה לפיתוח 2020'!Y85</f>
        <v>0</v>
      </c>
      <c r="Z99" s="199">
        <f>'תקציב החברה לפיתוח 2020'!Z85</f>
        <v>0</v>
      </c>
      <c r="AA99" s="341" t="str">
        <f>'תקציב החברה לפיתוח 2020'!AA85</f>
        <v>הקמת מועדון טלויזיה קהילתית במרכז יום לקשיש בצמרות.</v>
      </c>
      <c r="AB99" s="707">
        <f>'תקציב החברה לפיתוח 2020'!AB85</f>
        <v>820000</v>
      </c>
      <c r="AC99" s="191"/>
      <c r="AD99" s="191"/>
      <c r="AE99" s="624"/>
      <c r="AF99" s="627"/>
      <c r="AG99" s="331"/>
      <c r="AH99" s="331"/>
      <c r="AI99" s="191"/>
      <c r="AJ99" s="191"/>
      <c r="AK99" s="205"/>
      <c r="AL99" s="191"/>
      <c r="AM99" s="191"/>
    </row>
    <row r="100" spans="1:39" s="6" customFormat="1">
      <c r="A100" s="198">
        <f t="shared" ref="A100:A116" si="10">A99+1</f>
        <v>89</v>
      </c>
      <c r="B100" s="707">
        <f>'תקציב החברה לפיתוח 2020'!B56</f>
        <v>1991</v>
      </c>
      <c r="C100" s="341" t="str">
        <f>'תקציב החברה לפיתוח 2020'!C56</f>
        <v>שיפוץ הספריה נורדאו</v>
      </c>
      <c r="D100" s="199">
        <f>'תקציב החברה לפיתוח 2020'!D56</f>
        <v>2000000</v>
      </c>
      <c r="E100" s="199">
        <f>'תקציב החברה לפיתוח 2020'!E56</f>
        <v>2000000</v>
      </c>
      <c r="F100" s="199">
        <f>'תקציב החברה לפיתוח 2020'!F56</f>
        <v>0</v>
      </c>
      <c r="G100" s="199">
        <f>'תקציב החברה לפיתוח 2020'!G56</f>
        <v>100000</v>
      </c>
      <c r="H100" s="199">
        <f>'תקציב החברה לפיתוח 2020'!H56</f>
        <v>86295</v>
      </c>
      <c r="I100" s="199">
        <f>'תקציב החברה לפיתוח 2020'!I56</f>
        <v>0</v>
      </c>
      <c r="J100" s="199">
        <f>'תקציב החברה לפיתוח 2020'!J56</f>
        <v>13703.04</v>
      </c>
      <c r="K100" s="199">
        <f>'תקציב החברה לפיתוח 2020'!K56</f>
        <v>13703.04</v>
      </c>
      <c r="L100" s="199">
        <f>'תקציב החברה לפיתוח 2020'!L56</f>
        <v>99998.040000000008</v>
      </c>
      <c r="M100" s="199">
        <f>'תקציב החברה לפיתוח 2020'!M56</f>
        <v>1.9599999999918509</v>
      </c>
      <c r="N100" s="199">
        <f>'תקציב החברה לפיתוח 2020'!N56</f>
        <v>0</v>
      </c>
      <c r="O100" s="199">
        <f>'תקציב החברה לפיתוח 2020'!O56</f>
        <v>1900000</v>
      </c>
      <c r="P100" s="199">
        <f>'תקציב החברה לפיתוח 2020'!P56</f>
        <v>1.9599999999918509</v>
      </c>
      <c r="Q100" s="199">
        <f>'תקציב החברה לפיתוח 2020'!Q56</f>
        <v>0</v>
      </c>
      <c r="R100" s="199">
        <f>'תקציב החברה לפיתוח 2020'!R56</f>
        <v>0</v>
      </c>
      <c r="S100" s="199">
        <f>'תקציב החברה לפיתוח 2020'!S56</f>
        <v>0</v>
      </c>
      <c r="T100" s="199">
        <f>'תקציב החברה לפיתוח 2020'!T56</f>
        <v>0</v>
      </c>
      <c r="U100" s="199">
        <f>'תקציב החברה לפיתוח 2020'!U56</f>
        <v>0</v>
      </c>
      <c r="V100" s="199">
        <f>'תקציב החברה לפיתוח 2020'!V56</f>
        <v>0</v>
      </c>
      <c r="W100" s="199">
        <f>'תקציב החברה לפיתוח 2020'!W56</f>
        <v>0</v>
      </c>
      <c r="X100" s="199">
        <f>'תקציב החברה לפיתוח 2020'!X56</f>
        <v>0</v>
      </c>
      <c r="Y100" s="199">
        <f>'תקציב החברה לפיתוח 2020'!Y56</f>
        <v>0</v>
      </c>
      <c r="Z100" s="199">
        <f>'תקציב החברה לפיתוח 2020'!Z56</f>
        <v>0</v>
      </c>
      <c r="AA100" s="341">
        <f>'תקציב החברה לפיתוח 2020'!AA56</f>
        <v>0</v>
      </c>
      <c r="AB100" s="707">
        <f>'תקציב החברה לפיתוח 2020'!AB56</f>
        <v>823000</v>
      </c>
      <c r="AC100" s="191"/>
      <c r="AD100" s="191"/>
      <c r="AE100" s="624"/>
      <c r="AF100" s="627"/>
      <c r="AG100" s="331"/>
      <c r="AH100" s="331"/>
      <c r="AI100" s="191"/>
      <c r="AJ100" s="191"/>
      <c r="AK100" s="205"/>
      <c r="AL100" s="191"/>
      <c r="AM100" s="191"/>
    </row>
    <row r="101" spans="1:39" s="5" customFormat="1">
      <c r="A101" s="198">
        <f t="shared" si="10"/>
        <v>90</v>
      </c>
      <c r="B101" s="707">
        <f>'תקציב החברה לפיתוח 2020'!B38</f>
        <v>1834</v>
      </c>
      <c r="C101" s="341" t="str">
        <f>'תקציב החברה לפיתוח 2020'!C38</f>
        <v>מתנ"ס נווה ישראל</v>
      </c>
      <c r="D101" s="199">
        <f>'תקציב החברה לפיתוח 2020'!D38</f>
        <v>60000000</v>
      </c>
      <c r="E101" s="199">
        <f>'תקציב החברה לפיתוח 2020'!E38</f>
        <v>60000000</v>
      </c>
      <c r="F101" s="199">
        <f>'תקציב החברה לפיתוח 2020'!F38</f>
        <v>0</v>
      </c>
      <c r="G101" s="199">
        <f>'תקציב החברה לפיתוח 2020'!G38</f>
        <v>5100000</v>
      </c>
      <c r="H101" s="199">
        <f>'תקציב החברה לפיתוח 2020'!H38</f>
        <v>1930349</v>
      </c>
      <c r="I101" s="199">
        <f>'תקציב החברה לפיתוח 2020'!I38</f>
        <v>0</v>
      </c>
      <c r="J101" s="199">
        <f>'תקציב החברה לפיתוח 2020'!J38</f>
        <v>164386.35</v>
      </c>
      <c r="K101" s="199">
        <f>'תקציב החברה לפיתוח 2020'!K38</f>
        <v>164386.35</v>
      </c>
      <c r="L101" s="199">
        <f>'תקציב החברה לפיתוח 2020'!L38</f>
        <v>2094735.35</v>
      </c>
      <c r="M101" s="199">
        <f>'תקציב החברה לפיתוח 2020'!M38</f>
        <v>13505264.649999999</v>
      </c>
      <c r="N101" s="199">
        <f>'תקציב החברה לפיתוח 2020'!N38</f>
        <v>16000000</v>
      </c>
      <c r="O101" s="199">
        <f>'תקציב החברה לפיתוח 2020'!O38</f>
        <v>28400000</v>
      </c>
      <c r="P101" s="199">
        <f>'תקציב החברה לפיתוח 2020'!P38</f>
        <v>3005264.65</v>
      </c>
      <c r="Q101" s="199">
        <f>'תקציב החברה לפיתוח 2020'!Q38</f>
        <v>28500000</v>
      </c>
      <c r="R101" s="199">
        <f>'תקציב החברה לפיתוח 2020'!R38</f>
        <v>0</v>
      </c>
      <c r="S101" s="199">
        <f>'תקציב החברה לפיתוח 2020'!S38</f>
        <v>28500000</v>
      </c>
      <c r="T101" s="199">
        <f>'תקציב החברה לפיתוח 2020'!T38</f>
        <v>18000000</v>
      </c>
      <c r="U101" s="199">
        <f>'תקציב החברה לפיתוח 2020'!U38</f>
        <v>-2000000</v>
      </c>
      <c r="V101" s="199">
        <f>'תקציב החברה לפיתוח 2020'!V38</f>
        <v>-2000000</v>
      </c>
      <c r="W101" s="199">
        <f>'תקציב החברה לפיתוח 2020'!W38</f>
        <v>0</v>
      </c>
      <c r="X101" s="199">
        <f>'תקציב החברה לפיתוח 2020'!X38</f>
        <v>0</v>
      </c>
      <c r="Y101" s="199">
        <f>'תקציב החברה לפיתוח 2020'!Y38</f>
        <v>0</v>
      </c>
      <c r="Z101" s="199">
        <f>'תקציב החברה לפיתוח 2020'!Z38</f>
        <v>0</v>
      </c>
      <c r="AA101" s="341" t="str">
        <f>'תקציב החברה לפיתוח 2020'!AA38</f>
        <v xml:space="preserve">בניית מתנ"ס חדש בשכונה. </v>
      </c>
      <c r="AB101" s="707">
        <f>'תקציב החברה לפיתוח 2020'!AB38</f>
        <v>824000</v>
      </c>
      <c r="AC101" s="191"/>
      <c r="AD101" s="191"/>
      <c r="AE101" s="624"/>
      <c r="AF101" s="627"/>
      <c r="AG101" s="331"/>
      <c r="AH101" s="331"/>
      <c r="AI101" s="202"/>
      <c r="AJ101" s="202"/>
      <c r="AK101" s="202"/>
      <c r="AL101" s="202"/>
      <c r="AM101" s="202"/>
    </row>
    <row r="102" spans="1:39" s="5" customFormat="1" ht="41.4">
      <c r="A102" s="198">
        <f t="shared" si="10"/>
        <v>91</v>
      </c>
      <c r="B102" s="707">
        <f>'תקציב החברה לפיתוח 2020'!B39</f>
        <v>1835</v>
      </c>
      <c r="C102" s="341" t="str">
        <f>'תקציב החברה לפיתוח 2020'!C39</f>
        <v>פיתוח מתחם מתנ"ס נווה עמל ומגרשי טניס</v>
      </c>
      <c r="D102" s="199">
        <f>'תקציב החברה לפיתוח 2020'!D39</f>
        <v>70000000</v>
      </c>
      <c r="E102" s="199">
        <f>'תקציב החברה לפיתוח 2020'!E39</f>
        <v>58000000</v>
      </c>
      <c r="F102" s="199">
        <f>'תקציב החברה לפיתוח 2020'!F39</f>
        <v>12000000</v>
      </c>
      <c r="G102" s="199">
        <f>'תקציב החברה לפיתוח 2020'!G39</f>
        <v>11900000</v>
      </c>
      <c r="H102" s="199">
        <f>'תקציב החברה לפיתוח 2020'!H39</f>
        <v>8964400</v>
      </c>
      <c r="I102" s="199">
        <f>'תקציב החברה לפיתוח 2020'!I39</f>
        <v>0</v>
      </c>
      <c r="J102" s="199">
        <f>'תקציב החברה לפיתוח 2020'!J39</f>
        <v>2333325.81</v>
      </c>
      <c r="K102" s="199">
        <f>'תקציב החברה לפיתוח 2020'!K39</f>
        <v>2333325.81</v>
      </c>
      <c r="L102" s="199">
        <f>'תקציב החברה לפיתוח 2020'!L39</f>
        <v>11297725.810000001</v>
      </c>
      <c r="M102" s="199">
        <f>'תקציב החברה לפיתוח 2020'!M39</f>
        <v>602274.18999999948</v>
      </c>
      <c r="N102" s="199">
        <f>'תקציב החברה לפיתוח 2020'!N39</f>
        <v>18000000</v>
      </c>
      <c r="O102" s="199">
        <f>'תקציב החברה לפיתוח 2020'!O39</f>
        <v>40100000</v>
      </c>
      <c r="P102" s="199">
        <f>'תקציב החברה לפיתוח 2020'!P39</f>
        <v>602274.18999999948</v>
      </c>
      <c r="Q102" s="199">
        <f>'תקציב החברה לפיתוח 2020'!Q39</f>
        <v>0</v>
      </c>
      <c r="R102" s="199">
        <f>'תקציב החברה לפיתוח 2020'!R39</f>
        <v>0</v>
      </c>
      <c r="S102" s="199">
        <f>'תקציב החברה לפיתוח 2020'!S39</f>
        <v>0</v>
      </c>
      <c r="T102" s="199">
        <f>'תקציב החברה לפיתוח 2020'!T39</f>
        <v>0</v>
      </c>
      <c r="U102" s="199">
        <f>'תקציב החברה לפיתוח 2020'!U39</f>
        <v>18000000</v>
      </c>
      <c r="V102" s="199">
        <f>'תקציב החברה לפיתוח 2020'!V39</f>
        <v>18000000</v>
      </c>
      <c r="W102" s="199">
        <f>'תקציב החברה לפיתוח 2020'!W39</f>
        <v>0</v>
      </c>
      <c r="X102" s="199">
        <f>'תקציב החברה לפיתוח 2020'!X39</f>
        <v>0</v>
      </c>
      <c r="Y102" s="199">
        <f>'תקציב החברה לפיתוח 2020'!Y39</f>
        <v>0</v>
      </c>
      <c r="Z102" s="199">
        <f>'תקציב החברה לפיתוח 2020'!Z39</f>
        <v>0</v>
      </c>
      <c r="AA102" s="341" t="str">
        <f>'תקציב החברה לפיתוח 2020'!AA39</f>
        <v xml:space="preserve"> תכנון וביצוע בניית מתנ"ס חדש בשכונת נווה עמל כולל הקמת מגרש טניס ושדרוג המתחם.</v>
      </c>
      <c r="AB102" s="707">
        <f>'תקציב החברה לפיתוח 2020'!AB39</f>
        <v>824000</v>
      </c>
      <c r="AC102" s="191"/>
      <c r="AD102" s="191"/>
      <c r="AE102" s="624"/>
      <c r="AF102" s="627"/>
      <c r="AG102" s="331"/>
      <c r="AH102" s="331"/>
      <c r="AI102" s="202"/>
      <c r="AJ102" s="202"/>
      <c r="AK102" s="202"/>
      <c r="AL102" s="202"/>
      <c r="AM102" s="202"/>
    </row>
    <row r="103" spans="1:39" s="6" customFormat="1">
      <c r="A103" s="198">
        <f t="shared" si="10"/>
        <v>92</v>
      </c>
      <c r="B103" s="707">
        <f>'תקציב החברה לפיתוח 2020'!B64</f>
        <v>2017</v>
      </c>
      <c r="C103" s="341" t="str">
        <f>'תקציב החברה לפיתוח 2020'!C64</f>
        <v>תכנון מתנ"ס רחוב המסילה</v>
      </c>
      <c r="D103" s="199">
        <f>'תקציב החברה לפיתוח 2020'!D64</f>
        <v>30000000</v>
      </c>
      <c r="E103" s="199">
        <f>'תקציב החברה לפיתוח 2020'!E64</f>
        <v>2000000</v>
      </c>
      <c r="F103" s="199">
        <f>'תקציב החברה לפיתוח 2020'!F64</f>
        <v>28000000</v>
      </c>
      <c r="G103" s="199">
        <f>'תקציב החברה לפיתוח 2020'!G64</f>
        <v>1000000</v>
      </c>
      <c r="H103" s="199">
        <f>'תקציב החברה לפיתוח 2020'!H64</f>
        <v>414448</v>
      </c>
      <c r="I103" s="199">
        <f>'תקציב החברה לפיתוח 2020'!I64</f>
        <v>0</v>
      </c>
      <c r="J103" s="199">
        <f>'תקציב החברה לפיתוח 2020'!J64</f>
        <v>75628.350000000006</v>
      </c>
      <c r="K103" s="199">
        <f>'תקציב החברה לפיתוח 2020'!K64</f>
        <v>75628.350000000006</v>
      </c>
      <c r="L103" s="199">
        <f>'תקציב החברה לפיתוח 2020'!L64</f>
        <v>490076.35</v>
      </c>
      <c r="M103" s="199">
        <f>'תקציב החברה לפיתוח 2020'!M64</f>
        <v>1509923.65</v>
      </c>
      <c r="N103" s="199">
        <f>'תקציב החברה לפיתוח 2020'!N64</f>
        <v>0</v>
      </c>
      <c r="O103" s="199">
        <f>'תקציב החברה לפיתוח 2020'!O64</f>
        <v>28000000</v>
      </c>
      <c r="P103" s="199">
        <f>'תקציב החברה לפיתוח 2020'!P64</f>
        <v>509923.65</v>
      </c>
      <c r="Q103" s="199">
        <f>'תקציב החברה לפיתוח 2020'!Q64</f>
        <v>1000000</v>
      </c>
      <c r="R103" s="199">
        <f>'תקציב החברה לפיתוח 2020'!R64</f>
        <v>0</v>
      </c>
      <c r="S103" s="199">
        <f>'תקציב החברה לפיתוח 2020'!S64</f>
        <v>1000000</v>
      </c>
      <c r="T103" s="199">
        <f>'תקציב החברה לפיתוח 2020'!T64</f>
        <v>0</v>
      </c>
      <c r="U103" s="199">
        <f>'תקציב החברה לפיתוח 2020'!U64</f>
        <v>0</v>
      </c>
      <c r="V103" s="199">
        <f>'תקציב החברה לפיתוח 2020'!V64</f>
        <v>0</v>
      </c>
      <c r="W103" s="199">
        <f>'תקציב החברה לפיתוח 2020'!W64</f>
        <v>0</v>
      </c>
      <c r="X103" s="199">
        <f>'תקציב החברה לפיתוח 2020'!X64</f>
        <v>0</v>
      </c>
      <c r="Y103" s="199">
        <f>'תקציב החברה לפיתוח 2020'!Y64</f>
        <v>0</v>
      </c>
      <c r="Z103" s="199">
        <f>'תקציב החברה לפיתוח 2020'!Z64</f>
        <v>0</v>
      </c>
      <c r="AA103" s="341" t="str">
        <f>'תקציב החברה לפיתוח 2020'!AA64</f>
        <v>תכנון מתנ"ס ברחוב המסילה.</v>
      </c>
      <c r="AB103" s="707">
        <f>'תקציב החברה לפיתוח 2020'!AB64</f>
        <v>824000</v>
      </c>
      <c r="AC103" s="191"/>
      <c r="AD103" s="191"/>
      <c r="AE103" s="624"/>
      <c r="AF103" s="627"/>
      <c r="AG103" s="331"/>
      <c r="AH103" s="331"/>
      <c r="AI103" s="210"/>
      <c r="AJ103" s="210"/>
      <c r="AK103" s="210"/>
      <c r="AL103" s="210"/>
      <c r="AM103" s="210"/>
    </row>
    <row r="104" spans="1:39" s="6" customFormat="1" ht="41.4">
      <c r="A104" s="198">
        <f t="shared" si="10"/>
        <v>93</v>
      </c>
      <c r="B104" s="707">
        <f>'תקציב החברה לפיתוח 2020'!B19</f>
        <v>1403</v>
      </c>
      <c r="C104" s="341" t="str">
        <f>'תקציב החברה לפיתוח 2020'!C19</f>
        <v>מרכז פיס לתרבות מוסיקה קהילה</v>
      </c>
      <c r="D104" s="199">
        <f>'תקציב החברה לפיתוח 2020'!D19</f>
        <v>36250000</v>
      </c>
      <c r="E104" s="199">
        <f>'תקציב החברה לפיתוח 2020'!E19</f>
        <v>36250000</v>
      </c>
      <c r="F104" s="199">
        <f>'תקציב החברה לפיתוח 2020'!F19</f>
        <v>0</v>
      </c>
      <c r="G104" s="199">
        <f>'תקציב החברה לפיתוח 2020'!G19</f>
        <v>36250000</v>
      </c>
      <c r="H104" s="199">
        <f>'תקציב החברה לפיתוח 2020'!H19</f>
        <v>35249254.460000001</v>
      </c>
      <c r="I104" s="199">
        <f>'תקציב החברה לפיתוח 2020'!I19</f>
        <v>0</v>
      </c>
      <c r="J104" s="199">
        <f>'תקציב החברה לפיתוח 2020'!J19</f>
        <v>1000738.72</v>
      </c>
      <c r="K104" s="199">
        <f>'תקציב החברה לפיתוח 2020'!K19</f>
        <v>1000738.72</v>
      </c>
      <c r="L104" s="199">
        <f>'תקציב החברה לפיתוח 2020'!L19</f>
        <v>36249993.18</v>
      </c>
      <c r="M104" s="199">
        <f>'תקציב החברה לפיתוח 2020'!M19</f>
        <v>6.8200000002980232</v>
      </c>
      <c r="N104" s="199">
        <f>'תקציב החברה לפיתוח 2020'!N19</f>
        <v>0</v>
      </c>
      <c r="O104" s="199">
        <f>'תקציב החברה לפיתוח 2020'!O19</f>
        <v>0</v>
      </c>
      <c r="P104" s="199">
        <f>'תקציב החברה לפיתוח 2020'!P19</f>
        <v>6.8200000002980232</v>
      </c>
      <c r="Q104" s="199">
        <f>'תקציב החברה לפיתוח 2020'!Q19</f>
        <v>0</v>
      </c>
      <c r="R104" s="199">
        <f>'תקציב החברה לפיתוח 2020'!R19</f>
        <v>0</v>
      </c>
      <c r="S104" s="199">
        <f>'תקציב החברה לפיתוח 2020'!S19</f>
        <v>0</v>
      </c>
      <c r="T104" s="199">
        <f>'תקציב החברה לפיתוח 2020'!T19</f>
        <v>0</v>
      </c>
      <c r="U104" s="199">
        <f>'תקציב החברה לפיתוח 2020'!U19</f>
        <v>0</v>
      </c>
      <c r="V104" s="199">
        <f>'תקציב החברה לפיתוח 2020'!V19</f>
        <v>0</v>
      </c>
      <c r="W104" s="199">
        <f>'תקציב החברה לפיתוח 2020'!W19</f>
        <v>0</v>
      </c>
      <c r="X104" s="199">
        <f>'תקציב החברה לפיתוח 2020'!X19</f>
        <v>0</v>
      </c>
      <c r="Y104" s="199">
        <f>'תקציב החברה לפיתוח 2020'!Y19</f>
        <v>0</v>
      </c>
      <c r="Z104" s="199">
        <f>'תקציב החברה לפיתוח 2020'!Z19</f>
        <v>0</v>
      </c>
      <c r="AA104" s="341" t="str">
        <f>'תקציב החברה לפיתוח 2020'!AA19</f>
        <v>הקמת מבנה תרבות כולל חדרי מחול וקונסבטוריון . מימון מפעל הפייס. לקראת סיום.</v>
      </c>
      <c r="AB104" s="707">
        <f>'תקציב החברה לפיתוח 2020'!AB19</f>
        <v>826000</v>
      </c>
      <c r="AC104" s="191"/>
      <c r="AD104" s="191"/>
      <c r="AE104" s="624"/>
      <c r="AF104" s="627"/>
      <c r="AG104" s="331"/>
      <c r="AH104" s="331"/>
      <c r="AI104" s="202"/>
      <c r="AJ104" s="202"/>
      <c r="AK104" s="202"/>
      <c r="AL104" s="202"/>
      <c r="AM104" s="202"/>
    </row>
    <row r="105" spans="1:39" s="5" customFormat="1" ht="41.4">
      <c r="A105" s="198">
        <f t="shared" si="10"/>
        <v>94</v>
      </c>
      <c r="B105" s="707">
        <f>'תקציב החברה לפיתוח 2020'!B74</f>
        <v>2058</v>
      </c>
      <c r="C105" s="341" t="str">
        <f>'תקציב החברה לפיתוח 2020'!C74</f>
        <v>תוספת גלריה אולם היכל אומ.הבמה</v>
      </c>
      <c r="D105" s="199">
        <f>'תקציב החברה לפיתוח 2020'!D74</f>
        <v>2330000</v>
      </c>
      <c r="E105" s="199">
        <f>'תקציב החברה לפיתוח 2020'!E74</f>
        <v>2330000</v>
      </c>
      <c r="F105" s="199">
        <f>'תקציב החברה לפיתוח 2020'!F74</f>
        <v>0</v>
      </c>
      <c r="G105" s="199">
        <f>'תקציב החברה לפיתוח 2020'!G74</f>
        <v>130000</v>
      </c>
      <c r="H105" s="199">
        <f>'תקציב החברה לפיתוח 2020'!H74</f>
        <v>21083</v>
      </c>
      <c r="I105" s="199">
        <f>'תקציב החברה לפיתוח 2020'!I74</f>
        <v>0</v>
      </c>
      <c r="J105" s="199">
        <f>'תקציב החברה לפיתוח 2020'!J74</f>
        <v>103715.82</v>
      </c>
      <c r="K105" s="199">
        <f>'תקציב החברה לפיתוח 2020'!K74</f>
        <v>103715.82</v>
      </c>
      <c r="L105" s="199">
        <f>'תקציב החברה לפיתוח 2020'!L74</f>
        <v>124798.82</v>
      </c>
      <c r="M105" s="199">
        <f>'תקציב החברה לפיתוח 2020'!M74</f>
        <v>5201.179999999993</v>
      </c>
      <c r="N105" s="199">
        <f>'תקציב החברה לפיתוח 2020'!N74</f>
        <v>0</v>
      </c>
      <c r="O105" s="199">
        <f>'תקציב החברה לפיתוח 2020'!O74</f>
        <v>2200000</v>
      </c>
      <c r="P105" s="199">
        <f>'תקציב החברה לפיתוח 2020'!P74</f>
        <v>5201.179999999993</v>
      </c>
      <c r="Q105" s="199">
        <f>'תקציב החברה לפיתוח 2020'!Q74</f>
        <v>0</v>
      </c>
      <c r="R105" s="199">
        <f>'תקציב החברה לפיתוח 2020'!R74</f>
        <v>0</v>
      </c>
      <c r="S105" s="199">
        <f>'תקציב החברה לפיתוח 2020'!S74</f>
        <v>0</v>
      </c>
      <c r="T105" s="199">
        <f>'תקציב החברה לפיתוח 2020'!T74</f>
        <v>0</v>
      </c>
      <c r="U105" s="199">
        <f>'תקציב החברה לפיתוח 2020'!U74</f>
        <v>0</v>
      </c>
      <c r="V105" s="199">
        <f>'תקציב החברה לפיתוח 2020'!V74</f>
        <v>0</v>
      </c>
      <c r="W105" s="199">
        <f>'תקציב החברה לפיתוח 2020'!W74</f>
        <v>0</v>
      </c>
      <c r="X105" s="199">
        <f>'תקציב החברה לפיתוח 2020'!X74</f>
        <v>0</v>
      </c>
      <c r="Y105" s="199">
        <f>'תקציב החברה לפיתוח 2020'!Y74</f>
        <v>0</v>
      </c>
      <c r="Z105" s="199">
        <f>'תקציב החברה לפיתוח 2020'!Z74</f>
        <v>0</v>
      </c>
      <c r="AA105" s="341" t="str">
        <f>'תקציב החברה לפיתוח 2020'!AA74</f>
        <v>תוספת גלריה בהיכל אומנויות הבמה. בשלבי תכנון והיתר. הביצוע מתוכנן ב - 2021.</v>
      </c>
      <c r="AB105" s="707">
        <f>'תקציב החברה לפיתוח 2020'!AB74</f>
        <v>826000</v>
      </c>
      <c r="AC105" s="191"/>
      <c r="AD105" s="191"/>
      <c r="AE105" s="624"/>
      <c r="AF105" s="627"/>
      <c r="AG105" s="331"/>
      <c r="AH105" s="331"/>
      <c r="AI105" s="191"/>
      <c r="AJ105" s="191"/>
      <c r="AK105" s="191"/>
      <c r="AL105" s="191"/>
      <c r="AM105" s="191"/>
    </row>
    <row r="106" spans="1:39" s="5" customFormat="1" ht="27.6">
      <c r="A106" s="198">
        <f t="shared" si="10"/>
        <v>95</v>
      </c>
      <c r="B106" s="707">
        <f>'תקציב החברה לפיתוח 2020'!B75</f>
        <v>2059</v>
      </c>
      <c r="C106" s="341" t="str">
        <f>'תקציב החברה לפיתוח 2020'!C75</f>
        <v>פיתוח מתחם מבנה משכן אומנים</v>
      </c>
      <c r="D106" s="199">
        <f>'תקציב החברה לפיתוח 2020'!D75</f>
        <v>2610000</v>
      </c>
      <c r="E106" s="199">
        <f>'תקציב החברה לפיתוח 2020'!E75</f>
        <v>2610000</v>
      </c>
      <c r="F106" s="199">
        <f>'תקציב החברה לפיתוח 2020'!F75</f>
        <v>0</v>
      </c>
      <c r="G106" s="199">
        <f>'תקציב החברה לפיתוח 2020'!G75</f>
        <v>350000</v>
      </c>
      <c r="H106" s="199">
        <f>'תקציב החברה לפיתוח 2020'!H75</f>
        <v>34343</v>
      </c>
      <c r="I106" s="199">
        <f>'תקציב החברה לפיתוח 2020'!I75</f>
        <v>0</v>
      </c>
      <c r="J106" s="199">
        <f>'תקציב החברה לפיתוח 2020'!J75</f>
        <v>312012.25</v>
      </c>
      <c r="K106" s="199">
        <f>'תקציב החברה לפיתוח 2020'!K75</f>
        <v>312012.25</v>
      </c>
      <c r="L106" s="199">
        <f>'תקציב החברה לפיתוח 2020'!L75</f>
        <v>346355.25</v>
      </c>
      <c r="M106" s="199">
        <f>'תקציב החברה לפיתוח 2020'!M75</f>
        <v>3644.75</v>
      </c>
      <c r="N106" s="199">
        <f>'תקציב החברה לפיתוח 2020'!N75</f>
        <v>500000</v>
      </c>
      <c r="O106" s="199">
        <f>'תקציב החברה לפיתוח 2020'!O75</f>
        <v>1760000</v>
      </c>
      <c r="P106" s="199">
        <f>'תקציב החברה לפיתוח 2020'!P75</f>
        <v>3644.75</v>
      </c>
      <c r="Q106" s="199">
        <f>'תקציב החברה לפיתוח 2020'!Q75</f>
        <v>0</v>
      </c>
      <c r="R106" s="199">
        <f>'תקציב החברה לפיתוח 2020'!R75</f>
        <v>0</v>
      </c>
      <c r="S106" s="199">
        <f>'תקציב החברה לפיתוח 2020'!S75</f>
        <v>0</v>
      </c>
      <c r="T106" s="199">
        <f>'תקציב החברה לפיתוח 2020'!T75</f>
        <v>0</v>
      </c>
      <c r="U106" s="199">
        <f>'תקציב החברה לפיתוח 2020'!U75</f>
        <v>500000</v>
      </c>
      <c r="V106" s="199">
        <f>'תקציב החברה לפיתוח 2020'!V75</f>
        <v>500000</v>
      </c>
      <c r="W106" s="199">
        <f>'תקציב החברה לפיתוח 2020'!W75</f>
        <v>0</v>
      </c>
      <c r="X106" s="199">
        <f>'תקציב החברה לפיתוח 2020'!X75</f>
        <v>0</v>
      </c>
      <c r="Y106" s="199">
        <f>'תקציב החברה לפיתוח 2020'!Y75</f>
        <v>0</v>
      </c>
      <c r="Z106" s="199">
        <f>'תקציב החברה לפיתוח 2020'!Z75</f>
        <v>0</v>
      </c>
      <c r="AA106" s="341" t="str">
        <f>'תקציב החברה לפיתוח 2020'!AA75</f>
        <v xml:space="preserve">פיתוח מתחם ומבנה משכן האומנים. </v>
      </c>
      <c r="AB106" s="707">
        <f>'תקציב החברה לפיתוח 2020'!AB75</f>
        <v>826000</v>
      </c>
      <c r="AC106" s="191"/>
      <c r="AD106" s="191"/>
      <c r="AE106" s="624"/>
      <c r="AF106" s="627"/>
      <c r="AG106" s="331"/>
      <c r="AH106" s="331"/>
      <c r="AI106" s="191"/>
      <c r="AJ106" s="191"/>
      <c r="AK106" s="191"/>
      <c r="AL106" s="191"/>
      <c r="AM106" s="191"/>
    </row>
    <row r="107" spans="1:39" s="5" customFormat="1">
      <c r="A107" s="198">
        <f t="shared" si="10"/>
        <v>96</v>
      </c>
      <c r="B107" s="707">
        <f>'תקציב החברה לפיתוח 2020'!B83</f>
        <v>2099</v>
      </c>
      <c r="C107" s="341" t="str">
        <f>'תקציב החברה לפיתוח 2020'!C83</f>
        <v>סינמטק בבנין עיריה חדש</v>
      </c>
      <c r="D107" s="199">
        <f>'תקציב החברה לפיתוח 2020'!D83</f>
        <v>12000000</v>
      </c>
      <c r="E107" s="199">
        <f>'תקציב החברה לפיתוח 2020'!E83</f>
        <v>12000000</v>
      </c>
      <c r="F107" s="199">
        <f>'תקציב החברה לפיתוח 2020'!F83</f>
        <v>0</v>
      </c>
      <c r="G107" s="199">
        <f>'תקציב החברה לפיתוח 2020'!G83</f>
        <v>500000</v>
      </c>
      <c r="H107" s="199">
        <f>'תקציב החברה לפיתוח 2020'!H83</f>
        <v>152277</v>
      </c>
      <c r="I107" s="199">
        <f>'תקציב החברה לפיתוח 2020'!I83</f>
        <v>0</v>
      </c>
      <c r="J107" s="199">
        <f>'תקציב החברה לפיתוח 2020'!J83</f>
        <v>295121.33</v>
      </c>
      <c r="K107" s="199">
        <f>'תקציב החברה לפיתוח 2020'!K83</f>
        <v>295121.33</v>
      </c>
      <c r="L107" s="199">
        <f>'תקציב החברה לפיתוח 2020'!L83</f>
        <v>447398.33</v>
      </c>
      <c r="M107" s="199">
        <f>'תקציב החברה לפיתוח 2020'!M83</f>
        <v>2552601.67</v>
      </c>
      <c r="N107" s="199">
        <f>'תקציב החברה לפיתוח 2020'!N83</f>
        <v>3000000</v>
      </c>
      <c r="O107" s="199">
        <f>'תקציב החברה לפיתוח 2020'!O83</f>
        <v>6000000</v>
      </c>
      <c r="P107" s="199">
        <f>'תקציב החברה לפיתוח 2020'!P83</f>
        <v>52601.669999999984</v>
      </c>
      <c r="Q107" s="199">
        <f>'תקציב החברה לפיתוח 2020'!Q83</f>
        <v>5500000</v>
      </c>
      <c r="R107" s="199">
        <f>'תקציב החברה לפיתוח 2020'!R83</f>
        <v>0</v>
      </c>
      <c r="S107" s="199">
        <f>'תקציב החברה לפיתוח 2020'!S83</f>
        <v>5500000</v>
      </c>
      <c r="T107" s="199">
        <f>'תקציב החברה לפיתוח 2020'!T83</f>
        <v>3000000</v>
      </c>
      <c r="U107" s="199">
        <f>'תקציב החברה לפיתוח 2020'!U83</f>
        <v>0</v>
      </c>
      <c r="V107" s="199">
        <f>'תקציב החברה לפיתוח 2020'!V83</f>
        <v>0</v>
      </c>
      <c r="W107" s="199">
        <f>'תקציב החברה לפיתוח 2020'!W83</f>
        <v>0</v>
      </c>
      <c r="X107" s="199">
        <f>'תקציב החברה לפיתוח 2020'!X83</f>
        <v>0</v>
      </c>
      <c r="Y107" s="199">
        <f>'תקציב החברה לפיתוח 2020'!Y83</f>
        <v>0</v>
      </c>
      <c r="Z107" s="199">
        <f>'תקציב החברה לפיתוח 2020'!Z83</f>
        <v>0</v>
      </c>
      <c r="AA107" s="341" t="str">
        <f>'תקציב החברה לפיתוח 2020'!AA83</f>
        <v>הכשרת סינמטק בבניין העיריה החדש.</v>
      </c>
      <c r="AB107" s="707">
        <f>'תקציב החברה לפיתוח 2020'!AB83</f>
        <v>826000</v>
      </c>
      <c r="AC107" s="191"/>
      <c r="AD107" s="191"/>
      <c r="AE107" s="624"/>
      <c r="AF107" s="627"/>
      <c r="AG107" s="331"/>
      <c r="AH107" s="331"/>
      <c r="AI107" s="191"/>
      <c r="AJ107" s="191"/>
      <c r="AK107" s="205"/>
      <c r="AL107" s="191"/>
      <c r="AM107" s="191"/>
    </row>
    <row r="108" spans="1:39" s="5" customFormat="1" ht="41.4">
      <c r="A108" s="198">
        <f t="shared" si="10"/>
        <v>97</v>
      </c>
      <c r="B108" s="707">
        <f>'תקציב החברה לפיתוח 2020'!B17</f>
        <v>1357</v>
      </c>
      <c r="C108" s="341" t="str">
        <f>'תקציב החברה לפיתוח 2020'!C17</f>
        <v>ספורטק שלב ג'</v>
      </c>
      <c r="D108" s="199">
        <f>'תקציב החברה לפיתוח 2020'!D17</f>
        <v>25000000</v>
      </c>
      <c r="E108" s="199">
        <f>'תקציב החברה לפיתוח 2020'!E17</f>
        <v>25000000</v>
      </c>
      <c r="F108" s="199">
        <f>'תקציב החברה לפיתוח 2020'!F17</f>
        <v>0</v>
      </c>
      <c r="G108" s="199">
        <f>'תקציב החברה לפיתוח 2020'!G17</f>
        <v>12612000</v>
      </c>
      <c r="H108" s="199">
        <f>'תקציב החברה לפיתוח 2020'!H17</f>
        <v>12420746.140000001</v>
      </c>
      <c r="I108" s="199">
        <f>'תקציב החברה לפיתוח 2020'!I17</f>
        <v>0</v>
      </c>
      <c r="J108" s="199">
        <f>'תקציב החברה לפיתוח 2020'!J17</f>
        <v>162998.54999999999</v>
      </c>
      <c r="K108" s="199">
        <f>'תקציב החברה לפיתוח 2020'!K17</f>
        <v>162998.54999999999</v>
      </c>
      <c r="L108" s="199">
        <f>'תקציב החברה לפיתוח 2020'!L17</f>
        <v>12583744.690000001</v>
      </c>
      <c r="M108" s="199">
        <f>'תקציב החברה לפיתוח 2020'!M17</f>
        <v>28255.309999998659</v>
      </c>
      <c r="N108" s="199">
        <f>'תקציב החברה לפיתוח 2020'!N17</f>
        <v>5000000</v>
      </c>
      <c r="O108" s="199">
        <f>'תקציב החברה לפיתוח 2020'!O17</f>
        <v>7388000</v>
      </c>
      <c r="P108" s="199">
        <f>'תקציב החברה לפיתוח 2020'!P17</f>
        <v>28255.309999998659</v>
      </c>
      <c r="Q108" s="199">
        <f>'תקציב החברה לפיתוח 2020'!Q17</f>
        <v>0</v>
      </c>
      <c r="R108" s="199">
        <f>'תקציב החברה לפיתוח 2020'!R17</f>
        <v>0</v>
      </c>
      <c r="S108" s="199">
        <f>'תקציב החברה לפיתוח 2020'!S17</f>
        <v>0</v>
      </c>
      <c r="T108" s="199">
        <f>'תקציב החברה לפיתוח 2020'!T17</f>
        <v>0</v>
      </c>
      <c r="U108" s="199">
        <f>'תקציב החברה לפיתוח 2020'!U17</f>
        <v>5000000</v>
      </c>
      <c r="V108" s="199">
        <f>'תקציב החברה לפיתוח 2020'!V17</f>
        <v>5000000</v>
      </c>
      <c r="W108" s="199">
        <f>'תקציב החברה לפיתוח 2020'!W17</f>
        <v>0</v>
      </c>
      <c r="X108" s="199">
        <f>'תקציב החברה לפיתוח 2020'!X17</f>
        <v>0</v>
      </c>
      <c r="Y108" s="199">
        <f>'תקציב החברה לפיתוח 2020'!Y17</f>
        <v>0</v>
      </c>
      <c r="Z108" s="199">
        <f>'תקציב החברה לפיתוח 2020'!Z17</f>
        <v>0</v>
      </c>
      <c r="AA108" s="341" t="str">
        <f>'תקציב החברה לפיתוח 2020'!AA17</f>
        <v>עבודות מבנה קט רגל והשלמת פיתוח בשטחים "ריקים" הגובלים בפטנק ומגרשי קטרגל.</v>
      </c>
      <c r="AB108" s="707">
        <f>'תקציב החברה לפיתוח 2020'!AB17</f>
        <v>829000</v>
      </c>
      <c r="AC108" s="191"/>
      <c r="AD108" s="191"/>
      <c r="AE108" s="624"/>
      <c r="AF108" s="627"/>
    </row>
    <row r="109" spans="1:39" s="5" customFormat="1">
      <c r="A109" s="198">
        <f t="shared" si="10"/>
        <v>98</v>
      </c>
      <c r="B109" s="707">
        <f>'תקציב החברה לפיתוח 2020'!B33</f>
        <v>1798</v>
      </c>
      <c r="C109" s="341" t="str">
        <f>'תקציב החברה לפיתוח 2020'!C33</f>
        <v>מועדון פטנג בספורטק</v>
      </c>
      <c r="D109" s="199">
        <f>'תקציב החברה לפיתוח 2020'!D33</f>
        <v>2300000</v>
      </c>
      <c r="E109" s="199">
        <f>'תקציב החברה לפיתוח 2020'!E33</f>
        <v>1600000</v>
      </c>
      <c r="F109" s="199">
        <f>'תקציב החברה לפיתוח 2020'!F33</f>
        <v>700000</v>
      </c>
      <c r="G109" s="199">
        <f>'תקציב החברה לפיתוח 2020'!G33</f>
        <v>1600000</v>
      </c>
      <c r="H109" s="199">
        <f>'תקציב החברה לפיתוח 2020'!H33</f>
        <v>1483649</v>
      </c>
      <c r="I109" s="199">
        <f>'תקציב החברה לפיתוח 2020'!I33</f>
        <v>0</v>
      </c>
      <c r="J109" s="199">
        <f>'תקציב החברה לפיתוח 2020'!J33</f>
        <v>111425.85</v>
      </c>
      <c r="K109" s="199">
        <f>'תקציב החברה לפיתוח 2020'!K33</f>
        <v>111425.85</v>
      </c>
      <c r="L109" s="199">
        <f>'תקציב החברה לפיתוח 2020'!L33</f>
        <v>1595074.85</v>
      </c>
      <c r="M109" s="199">
        <f>'תקציב החברה לפיתוח 2020'!M33</f>
        <v>4925.1499999999069</v>
      </c>
      <c r="N109" s="199">
        <f>'תקציב החברה לפיתוח 2020'!N33</f>
        <v>700000</v>
      </c>
      <c r="O109" s="199">
        <f>'תקציב החברה לפיתוח 2020'!O33</f>
        <v>0</v>
      </c>
      <c r="P109" s="199">
        <f>'תקציב החברה לפיתוח 2020'!P33</f>
        <v>4925.1499999999069</v>
      </c>
      <c r="Q109" s="199">
        <f>'תקציב החברה לפיתוח 2020'!Q33</f>
        <v>0</v>
      </c>
      <c r="R109" s="199">
        <f>'תקציב החברה לפיתוח 2020'!R33</f>
        <v>0</v>
      </c>
      <c r="S109" s="199">
        <f>'תקציב החברה לפיתוח 2020'!S33</f>
        <v>0</v>
      </c>
      <c r="T109" s="199">
        <f>'תקציב החברה לפיתוח 2020'!T33</f>
        <v>0</v>
      </c>
      <c r="U109" s="199">
        <f>'תקציב החברה לפיתוח 2020'!U33</f>
        <v>700000</v>
      </c>
      <c r="V109" s="199">
        <f>'תקציב החברה לפיתוח 2020'!V33</f>
        <v>700000</v>
      </c>
      <c r="W109" s="199">
        <f>'תקציב החברה לפיתוח 2020'!W33</f>
        <v>0</v>
      </c>
      <c r="X109" s="199">
        <f>'תקציב החברה לפיתוח 2020'!X33</f>
        <v>0</v>
      </c>
      <c r="Y109" s="199">
        <f>'תקציב החברה לפיתוח 2020'!Y33</f>
        <v>0</v>
      </c>
      <c r="Z109" s="199">
        <f>'תקציב החברה לפיתוח 2020'!Z33</f>
        <v>0</v>
      </c>
      <c r="AA109" s="341" t="str">
        <f>'תקציב החברה לפיתוח 2020'!AA33</f>
        <v>הקמת מבנה מועדון במגרשי הפטנג.</v>
      </c>
      <c r="AB109" s="707">
        <f>'תקציב החברה לפיתוח 2020'!AB33</f>
        <v>829000</v>
      </c>
      <c r="AC109" s="191"/>
      <c r="AD109" s="191"/>
      <c r="AE109" s="624"/>
      <c r="AF109" s="627"/>
      <c r="AG109" s="331"/>
      <c r="AH109" s="331"/>
      <c r="AI109" s="203"/>
      <c r="AJ109" s="203"/>
      <c r="AK109" s="203"/>
      <c r="AL109" s="203"/>
      <c r="AM109" s="203"/>
    </row>
    <row r="110" spans="1:39" s="5" customFormat="1" ht="27.6">
      <c r="A110" s="198">
        <f t="shared" si="10"/>
        <v>99</v>
      </c>
      <c r="B110" s="707">
        <f>'תקציב החברה לפיתוח 2020'!B37</f>
        <v>1833</v>
      </c>
      <c r="C110" s="341" t="str">
        <f>'תקציב החברה לפיתוח 2020'!C37</f>
        <v>אולם ספורט חטיבת זאב</v>
      </c>
      <c r="D110" s="199">
        <f>'תקציב החברה לפיתוח 2020'!D37</f>
        <v>29000000</v>
      </c>
      <c r="E110" s="199">
        <f>'תקציב החברה לפיתוח 2020'!E37</f>
        <v>29000000</v>
      </c>
      <c r="F110" s="199">
        <f>'תקציב החברה לפיתוח 2020'!F37</f>
        <v>0</v>
      </c>
      <c r="G110" s="199">
        <f>'תקציב החברה לפיתוח 2020'!G37</f>
        <v>1150000</v>
      </c>
      <c r="H110" s="199">
        <f>'תקציב החברה לפיתוח 2020'!H37</f>
        <v>932146</v>
      </c>
      <c r="I110" s="199">
        <f>'תקציב החברה לפיתוח 2020'!I37</f>
        <v>0</v>
      </c>
      <c r="J110" s="199">
        <f>'תקציב החברה לפיתוח 2020'!J37</f>
        <v>64341.11</v>
      </c>
      <c r="K110" s="199">
        <f>'תקציב החברה לפיתוח 2020'!K37</f>
        <v>64341.11</v>
      </c>
      <c r="L110" s="199">
        <f>'תקציב החברה לפיתוח 2020'!L37</f>
        <v>996487.11</v>
      </c>
      <c r="M110" s="199">
        <f>'תקציב החברה לפיתוח 2020'!M37</f>
        <v>14003512.890000001</v>
      </c>
      <c r="N110" s="199">
        <f>'תקציב החברה לפיתוח 2020'!N37</f>
        <v>7000000</v>
      </c>
      <c r="O110" s="199">
        <f>'תקציב החברה לפיתוח 2020'!O37</f>
        <v>7000000</v>
      </c>
      <c r="P110" s="199">
        <f>'תקציב החברה לפיתוח 2020'!P37</f>
        <v>153512.89000000001</v>
      </c>
      <c r="Q110" s="199">
        <f>'תקציב החברה לפיתוח 2020'!Q37</f>
        <v>13850000</v>
      </c>
      <c r="R110" s="199">
        <f>'תקציב החברה לפיתוח 2020'!R37</f>
        <v>0</v>
      </c>
      <c r="S110" s="199">
        <f>'תקציב החברה לפיתוח 2020'!S37</f>
        <v>13850000</v>
      </c>
      <c r="T110" s="199">
        <f>'תקציב החברה לפיתוח 2020'!T37</f>
        <v>0</v>
      </c>
      <c r="U110" s="199">
        <f>'תקציב החברה לפיתוח 2020'!U37</f>
        <v>7000000</v>
      </c>
      <c r="V110" s="199">
        <f>'תקציב החברה לפיתוח 2020'!V37</f>
        <v>3768840</v>
      </c>
      <c r="W110" s="199">
        <f>'תקציב החברה לפיתוח 2020'!W37</f>
        <v>0</v>
      </c>
      <c r="X110" s="199">
        <f>'תקציב החברה לפיתוח 2020'!X37</f>
        <v>0</v>
      </c>
      <c r="Y110" s="199">
        <f>'תקציב החברה לפיתוח 2020'!Y37</f>
        <v>0</v>
      </c>
      <c r="Z110" s="199">
        <f>'תקציב החברה לפיתוח 2020'!Z37</f>
        <v>3231160</v>
      </c>
      <c r="AA110" s="341" t="str">
        <f>'תקציב החברה לפיתוח 2020'!AA37</f>
        <v xml:space="preserve">בניית אולם ספורט חדש בחטיבה. בקשת מימון מ. התרבות והספורט. </v>
      </c>
      <c r="AB110" s="707">
        <f>'תקציב החברה לפיתוח 2020'!AB37</f>
        <v>829000</v>
      </c>
      <c r="AC110" s="191"/>
      <c r="AD110" s="191"/>
      <c r="AE110" s="624"/>
      <c r="AF110" s="627"/>
      <c r="AG110" s="331"/>
      <c r="AH110" s="331"/>
      <c r="AI110" s="191"/>
      <c r="AJ110" s="191"/>
      <c r="AK110" s="191"/>
      <c r="AL110" s="191"/>
      <c r="AM110" s="191"/>
    </row>
    <row r="111" spans="1:39" s="5" customFormat="1" ht="41.4">
      <c r="A111" s="198">
        <f t="shared" si="10"/>
        <v>100</v>
      </c>
      <c r="B111" s="707">
        <f>'תקציב החברה לפיתוח 2020'!B46</f>
        <v>1896</v>
      </c>
      <c r="C111" s="341" t="str">
        <f>'תקציב החברה לפיתוח 2020'!C46</f>
        <v>קירוי והצללה מגרשי ספורט עירוניים</v>
      </c>
      <c r="D111" s="199">
        <f>'תקציב החברה לפיתוח 2020'!D46</f>
        <v>18560000</v>
      </c>
      <c r="E111" s="199">
        <f>'תקציב החברה לפיתוח 2020'!E46</f>
        <v>18560000</v>
      </c>
      <c r="F111" s="199">
        <f>'תקציב החברה לפיתוח 2020'!F46</f>
        <v>0</v>
      </c>
      <c r="G111" s="199">
        <f>'תקציב החברה לפיתוח 2020'!G46</f>
        <v>4000000</v>
      </c>
      <c r="H111" s="199">
        <f>'תקציב החברה לפיתוח 2020'!H46</f>
        <v>881105</v>
      </c>
      <c r="I111" s="199">
        <f>'תקציב החברה לפיתוח 2020'!I46</f>
        <v>0</v>
      </c>
      <c r="J111" s="199">
        <f>'תקציב החברה לפיתוח 2020'!J46</f>
        <v>754536.83</v>
      </c>
      <c r="K111" s="199">
        <f>'תקציב החברה לפיתוח 2020'!K46</f>
        <v>754536.83</v>
      </c>
      <c r="L111" s="199">
        <f>'תקציב החברה לפיתוח 2020'!L46</f>
        <v>1635641.83</v>
      </c>
      <c r="M111" s="199">
        <f>'תקציב החברה לפיתוח 2020'!M46</f>
        <v>9964358.1699999999</v>
      </c>
      <c r="N111" s="199">
        <f>'תקציב החברה לפיתוח 2020'!N46</f>
        <v>3500000</v>
      </c>
      <c r="O111" s="199">
        <f>'תקציב החברה לפיתוח 2020'!O46</f>
        <v>3460000.0000000019</v>
      </c>
      <c r="P111" s="199">
        <f>'תקציב החברה לפיתוח 2020'!P46</f>
        <v>2364358.17</v>
      </c>
      <c r="Q111" s="199">
        <f>'תקציב החברה לפיתוח 2020'!Q46</f>
        <v>7600000</v>
      </c>
      <c r="R111" s="199">
        <f>'תקציב החברה לפיתוח 2020'!R46</f>
        <v>0</v>
      </c>
      <c r="S111" s="199">
        <f>'תקציב החברה לפיתוח 2020'!S46</f>
        <v>7600000</v>
      </c>
      <c r="T111" s="199">
        <f>'תקציב החברה לפיתוח 2020'!T46</f>
        <v>0</v>
      </c>
      <c r="U111" s="199">
        <f>'תקציב החברה לפיתוח 2020'!U46</f>
        <v>3500000</v>
      </c>
      <c r="V111" s="199">
        <f>'תקציב החברה לפיתוח 2020'!V46</f>
        <v>3500000</v>
      </c>
      <c r="W111" s="199">
        <f>'תקציב החברה לפיתוח 2020'!W46</f>
        <v>0</v>
      </c>
      <c r="X111" s="199">
        <f>'תקציב החברה לפיתוח 2020'!X46</f>
        <v>0</v>
      </c>
      <c r="Y111" s="199">
        <f>'תקציב החברה לפיתוח 2020'!Y46</f>
        <v>0</v>
      </c>
      <c r="Z111" s="199">
        <f>'תקציב החברה לפיתוח 2020'!Z46</f>
        <v>0</v>
      </c>
      <c r="AA111" s="341" t="str">
        <f>'תקציב החברה לפיתוח 2020'!AA46</f>
        <v xml:space="preserve">התקנת קירוי קשיח במגרשי ספורט 2020/2021: דור, תיכון חדש, גורדון,לב טוב,נבון. </v>
      </c>
      <c r="AB111" s="707">
        <f>'תקציב החברה לפיתוח 2020'!AB46</f>
        <v>829000</v>
      </c>
      <c r="AC111" s="191"/>
      <c r="AD111" s="191"/>
      <c r="AE111" s="624"/>
      <c r="AF111" s="627"/>
      <c r="AG111" s="331"/>
      <c r="AH111" s="331"/>
      <c r="AI111" s="191"/>
      <c r="AJ111" s="191"/>
      <c r="AK111" s="191"/>
      <c r="AL111" s="191"/>
      <c r="AM111" s="191"/>
    </row>
    <row r="112" spans="1:39" s="346" customFormat="1" ht="55.2">
      <c r="A112" s="198">
        <f t="shared" si="10"/>
        <v>101</v>
      </c>
      <c r="B112" s="707">
        <f>'תקציב החברה לפיתוח 2020'!B49</f>
        <v>1921</v>
      </c>
      <c r="C112" s="341" t="str">
        <f>'תקציב החברה לפיתוח 2020'!C49</f>
        <v>עבודות הרחבה התאמה איצטדיון</v>
      </c>
      <c r="D112" s="199">
        <f>'תקציב החברה לפיתוח 2020'!D49</f>
        <v>9716000</v>
      </c>
      <c r="E112" s="199">
        <f>'תקציב החברה לפיתוח 2020'!E49</f>
        <v>9276000</v>
      </c>
      <c r="F112" s="199">
        <f>'תקציב החברה לפיתוח 2020'!F49</f>
        <v>440000</v>
      </c>
      <c r="G112" s="199">
        <f>'תקציב החברה לפיתוח 2020'!G49</f>
        <v>6820000</v>
      </c>
      <c r="H112" s="199">
        <f>'תקציב החברה לפיתוח 2020'!H49</f>
        <v>3737579.47</v>
      </c>
      <c r="I112" s="199">
        <f>'תקציב החברה לפיתוח 2020'!I49</f>
        <v>0</v>
      </c>
      <c r="J112" s="199">
        <f>'תקציב החברה לפיתוח 2020'!J49</f>
        <v>294083.34999999998</v>
      </c>
      <c r="K112" s="199">
        <f>'תקציב החברה לפיתוח 2020'!K49</f>
        <v>294083.34999999998</v>
      </c>
      <c r="L112" s="199">
        <f>'תקציב החברה לפיתוח 2020'!L49</f>
        <v>4031662.8200000003</v>
      </c>
      <c r="M112" s="199">
        <f>'תקציב החברה לפיתוח 2020'!M49</f>
        <v>5244337.18</v>
      </c>
      <c r="N112" s="199">
        <f>'תקציב החברה לפיתוח 2020'!N49</f>
        <v>440000</v>
      </c>
      <c r="O112" s="199">
        <f>'תקציב החברה לפיתוח 2020'!O49</f>
        <v>0</v>
      </c>
      <c r="P112" s="199">
        <f>'תקציב החברה לפיתוח 2020'!P49</f>
        <v>2788337.1799999997</v>
      </c>
      <c r="Q112" s="199">
        <f>'תקציב החברה לפיתוח 2020'!Q49</f>
        <v>2456000</v>
      </c>
      <c r="R112" s="199">
        <f>'תקציב החברה לפיתוח 2020'!R49</f>
        <v>0</v>
      </c>
      <c r="S112" s="199">
        <f>'תקציב החברה לפיתוח 2020'!S49</f>
        <v>2456000</v>
      </c>
      <c r="T112" s="199">
        <f>'תקציב החברה לפיתוח 2020'!T49</f>
        <v>0</v>
      </c>
      <c r="U112" s="199">
        <f>'תקציב החברה לפיתוח 2020'!U49</f>
        <v>440000</v>
      </c>
      <c r="V112" s="199">
        <f>'תקציב החברה לפיתוח 2020'!V49</f>
        <v>1007551</v>
      </c>
      <c r="W112" s="199">
        <f>'תקציב החברה לפיתוח 2020'!W49</f>
        <v>0</v>
      </c>
      <c r="X112" s="199">
        <f>'תקציב החברה לפיתוח 2020'!X49</f>
        <v>0</v>
      </c>
      <c r="Y112" s="199">
        <f>'תקציב החברה לפיתוח 2020'!Y49</f>
        <v>0</v>
      </c>
      <c r="Z112" s="199">
        <f>'תקציב החברה לפיתוח 2020'!Z49</f>
        <v>-567551</v>
      </c>
      <c r="AA112" s="341" t="str">
        <f>'תקציב החברה לפיתוח 2020'!AA49</f>
        <v>העבודות:מבנים יבילים,הקמת טריבונות, ארונות שחקנים, עבודות בטיחות. שינוי מימון מ. הספורט בגין אי ביצוע מלתחות.</v>
      </c>
      <c r="AB112" s="707">
        <f>'תקציב החברה לפיתוח 2020'!AB49</f>
        <v>829000</v>
      </c>
      <c r="AC112" s="191"/>
      <c r="AD112" s="191"/>
      <c r="AE112" s="624"/>
      <c r="AF112" s="627"/>
      <c r="AG112" s="331"/>
      <c r="AH112" s="331"/>
      <c r="AI112" s="191"/>
      <c r="AJ112" s="191"/>
      <c r="AK112" s="191"/>
      <c r="AL112" s="191"/>
      <c r="AM112" s="191"/>
    </row>
    <row r="113" spans="1:39" s="346" customFormat="1" ht="41.4">
      <c r="A113" s="198">
        <f t="shared" si="10"/>
        <v>102</v>
      </c>
      <c r="B113" s="707">
        <f>'תקציב החברה לפיתוח 2020'!B68</f>
        <v>2022</v>
      </c>
      <c r="C113" s="341" t="str">
        <f>'תקציב החברה לפיתוח 2020'!C68</f>
        <v>הקמת אולם ספורט הנגיד הנדיב</v>
      </c>
      <c r="D113" s="199">
        <f>'תקציב החברה לפיתוח 2020'!D68</f>
        <v>20000000</v>
      </c>
      <c r="E113" s="199">
        <f>'תקציב החברה לפיתוח 2020'!E68</f>
        <v>20000000</v>
      </c>
      <c r="F113" s="199">
        <f>'תקציב החברה לפיתוח 2020'!F68</f>
        <v>0</v>
      </c>
      <c r="G113" s="199">
        <f>'תקציב החברה לפיתוח 2020'!G68</f>
        <v>2000000</v>
      </c>
      <c r="H113" s="199">
        <f>'תקציב החברה לפיתוח 2020'!H68</f>
        <v>0</v>
      </c>
      <c r="I113" s="199">
        <f>'תקציב החברה לפיתוח 2020'!I68</f>
        <v>0</v>
      </c>
      <c r="J113" s="199">
        <f>'תקציב החברה לפיתוח 2020'!J68</f>
        <v>97045.65</v>
      </c>
      <c r="K113" s="199">
        <f>'תקציב החברה לפיתוח 2020'!K68</f>
        <v>97045.65</v>
      </c>
      <c r="L113" s="199">
        <f>'תקציב החברה לפיתוח 2020'!L68</f>
        <v>97045.65</v>
      </c>
      <c r="M113" s="199">
        <f>'תקציב החברה לפיתוח 2020'!M68</f>
        <v>19902954.350000001</v>
      </c>
      <c r="N113" s="199">
        <f>'תקציב החברה לפיתוח 2020'!N68</f>
        <v>0</v>
      </c>
      <c r="O113" s="199">
        <f>'תקציב החברה לפיתוח 2020'!O68</f>
        <v>0</v>
      </c>
      <c r="P113" s="199">
        <f>'תקציב החברה לפיתוח 2020'!P68</f>
        <v>1902954.35</v>
      </c>
      <c r="Q113" s="199">
        <f>'תקציב החברה לפיתוח 2020'!Q68</f>
        <v>18000000</v>
      </c>
      <c r="R113" s="199">
        <f>'תקציב החברה לפיתוח 2020'!R68</f>
        <v>0</v>
      </c>
      <c r="S113" s="199">
        <f>'תקציב החברה לפיתוח 2020'!S68</f>
        <v>18000000</v>
      </c>
      <c r="T113" s="199">
        <f>'תקציב החברה לפיתוח 2020'!T68</f>
        <v>0</v>
      </c>
      <c r="U113" s="199">
        <f>'תקציב החברה לפיתוח 2020'!U68</f>
        <v>0</v>
      </c>
      <c r="V113" s="199">
        <f>'תקציב החברה לפיתוח 2020'!V68</f>
        <v>0</v>
      </c>
      <c r="W113" s="199">
        <f>'תקציב החברה לפיתוח 2020'!W68</f>
        <v>0</v>
      </c>
      <c r="X113" s="199">
        <f>'תקציב החברה לפיתוח 2020'!X68</f>
        <v>0</v>
      </c>
      <c r="Y113" s="199">
        <f>'תקציב החברה לפיתוח 2020'!Y68</f>
        <v>0</v>
      </c>
      <c r="Z113" s="199">
        <f>'תקציב החברה לפיתוח 2020'!Z68</f>
        <v>0</v>
      </c>
      <c r="AA113" s="341" t="str">
        <f>'תקציב החברה לפיתוח 2020'!AA68</f>
        <v xml:space="preserve">עבודות הקמת אולם ספורט בנגיד ובנדיב  כולל הריסת אולמות ומקלט קיימים. </v>
      </c>
      <c r="AB113" s="707">
        <f>'תקציב החברה לפיתוח 2020'!AB68</f>
        <v>829000</v>
      </c>
      <c r="AC113" s="191"/>
      <c r="AD113" s="191"/>
      <c r="AE113" s="624"/>
      <c r="AF113" s="627"/>
      <c r="AG113" s="331"/>
      <c r="AH113" s="331"/>
      <c r="AI113" s="202"/>
      <c r="AJ113" s="202"/>
      <c r="AK113" s="202"/>
      <c r="AL113" s="202"/>
      <c r="AM113" s="202"/>
    </row>
    <row r="114" spans="1:39" s="346" customFormat="1" ht="27.6">
      <c r="A114" s="198">
        <f t="shared" si="10"/>
        <v>103</v>
      </c>
      <c r="B114" s="707">
        <f>'תקציב החברה לפיתוח 2020'!B76</f>
        <v>2064</v>
      </c>
      <c r="C114" s="341" t="str">
        <f>'תקציב החברה לפיתוח 2020'!C76</f>
        <v>שיפוץ אולם ספורט היובל</v>
      </c>
      <c r="D114" s="199">
        <f>'תקציב החברה לפיתוח 2020'!D76</f>
        <v>6281000</v>
      </c>
      <c r="E114" s="199">
        <f>'תקציב החברה לפיתוח 2020'!E76</f>
        <v>6417000</v>
      </c>
      <c r="F114" s="199">
        <f>'תקציב החברה לפיתוח 2020'!F76</f>
        <v>-136000</v>
      </c>
      <c r="G114" s="199">
        <f>'תקציב החברה לפיתוח 2020'!G76</f>
        <v>864000</v>
      </c>
      <c r="H114" s="199">
        <f>'תקציב החברה לפיתוח 2020'!H76</f>
        <v>804306</v>
      </c>
      <c r="I114" s="199">
        <f>'תקציב החברה לפיתוח 2020'!I76</f>
        <v>0</v>
      </c>
      <c r="J114" s="199">
        <f>'תקציב החברה לפיתוח 2020'!J76</f>
        <v>21262.06</v>
      </c>
      <c r="K114" s="199">
        <f>'תקציב החברה לפיתוח 2020'!K76</f>
        <v>21262.06</v>
      </c>
      <c r="L114" s="199">
        <f>'תקציב החברה לפיתוח 2020'!L76</f>
        <v>825568.06</v>
      </c>
      <c r="M114" s="199">
        <f>'תקציב החברה לפיתוח 2020'!M76</f>
        <v>38431.939999999944</v>
      </c>
      <c r="N114" s="199">
        <f>'תקציב החברה לפיתוח 2020'!N76</f>
        <v>5417000</v>
      </c>
      <c r="O114" s="199">
        <f>'תקציב החברה לפיתוח 2020'!O76</f>
        <v>0</v>
      </c>
      <c r="P114" s="199">
        <f>'תקציב החברה לפיתוח 2020'!P76</f>
        <v>38431.939999999944</v>
      </c>
      <c r="Q114" s="199">
        <f>'תקציב החברה לפיתוח 2020'!Q76</f>
        <v>0</v>
      </c>
      <c r="R114" s="199">
        <f>'תקציב החברה לפיתוח 2020'!R76</f>
        <v>0</v>
      </c>
      <c r="S114" s="199">
        <f>'תקציב החברה לפיתוח 2020'!S76</f>
        <v>0</v>
      </c>
      <c r="T114" s="199">
        <f>'תקציב החברה לפיתוח 2020'!T76</f>
        <v>0</v>
      </c>
      <c r="U114" s="199">
        <f>'תקציב החברה לפיתוח 2020'!U76</f>
        <v>5417000</v>
      </c>
      <c r="V114" s="199">
        <f>'תקציב החברה לפיתוח 2020'!V76</f>
        <v>5417000</v>
      </c>
      <c r="W114" s="199">
        <f>'תקציב החברה לפיתוח 2020'!W76</f>
        <v>0</v>
      </c>
      <c r="X114" s="199">
        <f>'תקציב החברה לפיתוח 2020'!X76</f>
        <v>0</v>
      </c>
      <c r="Y114" s="199">
        <f>'תקציב החברה לפיתוח 2020'!Y76</f>
        <v>0</v>
      </c>
      <c r="Z114" s="199">
        <f>'תקציב החברה לפיתוח 2020'!Z76</f>
        <v>0</v>
      </c>
      <c r="AA114" s="341" t="str">
        <f>'תקציב החברה לפיתוח 2020'!AA76</f>
        <v xml:space="preserve">שיפוץ אולם ספורט היובל כולל פיתוח המבואה והמתחם. </v>
      </c>
      <c r="AB114" s="707">
        <f>'תקציב החברה לפיתוח 2020'!AB76</f>
        <v>829000</v>
      </c>
      <c r="AC114" s="191"/>
      <c r="AD114" s="191"/>
      <c r="AE114" s="624"/>
      <c r="AF114" s="627"/>
      <c r="AG114" s="331"/>
      <c r="AH114" s="331"/>
      <c r="AI114" s="191"/>
      <c r="AJ114" s="191"/>
      <c r="AK114" s="191"/>
      <c r="AL114" s="191"/>
      <c r="AM114" s="191"/>
    </row>
    <row r="115" spans="1:39" s="202" customFormat="1" ht="27.6">
      <c r="A115" s="198">
        <f t="shared" si="10"/>
        <v>104</v>
      </c>
      <c r="B115" s="707">
        <f>'תקציב החברה לפיתוח 2020'!B77</f>
        <v>2073</v>
      </c>
      <c r="C115" s="341" t="str">
        <f>'תקציב החברה לפיתוח 2020'!C77</f>
        <v xml:space="preserve">אולם ספורט ויצמן  תכנון וביצוע </v>
      </c>
      <c r="D115" s="199">
        <f>'תקציב החברה לפיתוח 2020'!D77</f>
        <v>11350000</v>
      </c>
      <c r="E115" s="199">
        <f>'תקציב החברה לפיתוח 2020'!E77</f>
        <v>11350000</v>
      </c>
      <c r="F115" s="199">
        <f>'תקציב החברה לפיתוח 2020'!F77</f>
        <v>0</v>
      </c>
      <c r="G115" s="199">
        <f>'תקציב החברה לפיתוח 2020'!G77</f>
        <v>350000</v>
      </c>
      <c r="H115" s="199">
        <f>'תקציב החברה לפיתוח 2020'!H77</f>
        <v>23564</v>
      </c>
      <c r="I115" s="199">
        <f>'תקציב החברה לפיתוח 2020'!I77</f>
        <v>0</v>
      </c>
      <c r="J115" s="199">
        <f>'תקציב החברה לפיתוח 2020'!J77</f>
        <v>93436.2</v>
      </c>
      <c r="K115" s="199">
        <f>'תקציב החברה לפיתוח 2020'!K77</f>
        <v>93436.2</v>
      </c>
      <c r="L115" s="199">
        <f>'תקציב החברה לפיתוח 2020'!L77</f>
        <v>117000.2</v>
      </c>
      <c r="M115" s="199">
        <f>'תקציב החברה לפיתוח 2020'!M77</f>
        <v>732999.8</v>
      </c>
      <c r="N115" s="199">
        <f>'תקציב החברה לפיתוח 2020'!N77</f>
        <v>10500000</v>
      </c>
      <c r="O115" s="199">
        <f>'תקציב החברה לפיתוח 2020'!O77</f>
        <v>0</v>
      </c>
      <c r="P115" s="199">
        <f>'תקציב החברה לפיתוח 2020'!P77</f>
        <v>232999.8</v>
      </c>
      <c r="Q115" s="199">
        <f>'תקציב החברה לפיתוח 2020'!Q77</f>
        <v>500000</v>
      </c>
      <c r="R115" s="199">
        <f>'תקציב החברה לפיתוח 2020'!R77</f>
        <v>0</v>
      </c>
      <c r="S115" s="199">
        <f>'תקציב החברה לפיתוח 2020'!S77</f>
        <v>500000</v>
      </c>
      <c r="T115" s="199">
        <f>'תקציב החברה לפיתוח 2020'!T77</f>
        <v>0</v>
      </c>
      <c r="U115" s="199">
        <f>'תקציב החברה לפיתוח 2020'!U77</f>
        <v>10500000</v>
      </c>
      <c r="V115" s="199">
        <f>'תקציב החברה לפיתוח 2020'!V77</f>
        <v>10500000</v>
      </c>
      <c r="W115" s="199">
        <f>'תקציב החברה לפיתוח 2020'!W77</f>
        <v>0</v>
      </c>
      <c r="X115" s="199">
        <f>'תקציב החברה לפיתוח 2020'!X77</f>
        <v>0</v>
      </c>
      <c r="Y115" s="199">
        <f>'תקציב החברה לפיתוח 2020'!Y77</f>
        <v>0</v>
      </c>
      <c r="Z115" s="199">
        <f>'תקציב החברה לפיתוח 2020'!Z77</f>
        <v>0</v>
      </c>
      <c r="AA115" s="341" t="str">
        <f>'תקציב החברה לפיתוח 2020'!AA77</f>
        <v>בניית אולם ספורט בבי"ס ויצמן. ב - 2020: ביצוע.</v>
      </c>
      <c r="AB115" s="707">
        <f>'תקציב החברה לפיתוח 2020'!AB77</f>
        <v>829000</v>
      </c>
      <c r="AC115" s="191"/>
      <c r="AD115" s="191"/>
      <c r="AE115" s="624"/>
      <c r="AF115" s="627"/>
      <c r="AG115" s="331"/>
      <c r="AH115" s="331"/>
      <c r="AI115" s="191"/>
      <c r="AJ115" s="191"/>
      <c r="AK115" s="191"/>
      <c r="AL115" s="191"/>
      <c r="AM115" s="191"/>
    </row>
    <row r="116" spans="1:39" ht="27.6">
      <c r="A116" s="198">
        <f t="shared" si="10"/>
        <v>105</v>
      </c>
      <c r="B116" s="707">
        <f>'תקציב החברה לפיתוח 2020'!B105</f>
        <v>2153</v>
      </c>
      <c r="C116" s="341" t="str">
        <f>'תקציב החברה לפיתוח 2020'!C105</f>
        <v>הקמת ארנה</v>
      </c>
      <c r="D116" s="199">
        <f>'תקציב החברה לפיתוח 2020'!D105</f>
        <v>1000000</v>
      </c>
      <c r="E116" s="199">
        <f>'תקציב החברה לפיתוח 2020'!E105</f>
        <v>0</v>
      </c>
      <c r="F116" s="199">
        <f>'תקציב החברה לפיתוח 2020'!F105</f>
        <v>1000000</v>
      </c>
      <c r="G116" s="199">
        <f>'תקציב החברה לפיתוח 2020'!G105</f>
        <v>0</v>
      </c>
      <c r="H116" s="199">
        <f>'תקציב החברה לפיתוח 2020'!H105</f>
        <v>0</v>
      </c>
      <c r="I116" s="199">
        <f>'תקציב החברה לפיתוח 2020'!I105</f>
        <v>0</v>
      </c>
      <c r="J116" s="199">
        <f>'תקציב החברה לפיתוח 2020'!J105</f>
        <v>0</v>
      </c>
      <c r="K116" s="199">
        <f>'תקציב החברה לפיתוח 2020'!K105</f>
        <v>0</v>
      </c>
      <c r="L116" s="199">
        <f>'תקציב החברה לפיתוח 2020'!L105</f>
        <v>0</v>
      </c>
      <c r="M116" s="199">
        <f>'תקציב החברה לפיתוח 2020'!M105</f>
        <v>0</v>
      </c>
      <c r="N116" s="199">
        <f>'תקציב החברה לפיתוח 2020'!N105</f>
        <v>1000000</v>
      </c>
      <c r="O116" s="199">
        <f>'תקציב החברה לפיתוח 2020'!O105</f>
        <v>0</v>
      </c>
      <c r="P116" s="199">
        <f>'תקציב החברה לפיתוח 2020'!P105</f>
        <v>0</v>
      </c>
      <c r="Q116" s="199">
        <f>'תקציב החברה לפיתוח 2020'!Q105</f>
        <v>0</v>
      </c>
      <c r="R116" s="199">
        <f>'תקציב החברה לפיתוח 2020'!R105</f>
        <v>0</v>
      </c>
      <c r="S116" s="199">
        <f>'תקציב החברה לפיתוח 2020'!S105</f>
        <v>0</v>
      </c>
      <c r="T116" s="199">
        <f>'תקציב החברה לפיתוח 2020'!T105</f>
        <v>0</v>
      </c>
      <c r="U116" s="199">
        <f>'תקציב החברה לפיתוח 2020'!U105</f>
        <v>1000000</v>
      </c>
      <c r="V116" s="199">
        <f>'תקציב החברה לפיתוח 2020'!V105</f>
        <v>1000000</v>
      </c>
      <c r="W116" s="199">
        <f>'תקציב החברה לפיתוח 2020'!W105</f>
        <v>0</v>
      </c>
      <c r="X116" s="199">
        <f>'תקציב החברה לפיתוח 2020'!X105</f>
        <v>0</v>
      </c>
      <c r="Y116" s="199">
        <f>'תקציב החברה לפיתוח 2020'!Y105</f>
        <v>0</v>
      </c>
      <c r="Z116" s="199">
        <f>'תקציב החברה לפיתוח 2020'!Z105</f>
        <v>0</v>
      </c>
      <c r="AA116" s="341" t="str">
        <f>'תקציב החברה לפיתוח 2020'!AA105</f>
        <v>ב - 2020 : תכנון ראשוני הקמת ארנה באיזור האיצטדיון.</v>
      </c>
      <c r="AB116" s="707">
        <f>'תקציב החברה לפיתוח 2020'!AB105</f>
        <v>829000</v>
      </c>
      <c r="AE116" s="5"/>
      <c r="AF116" s="5"/>
      <c r="AG116" s="5"/>
      <c r="AH116" s="5"/>
      <c r="AI116" s="5"/>
      <c r="AJ116" s="5"/>
      <c r="AK116" s="5"/>
      <c r="AL116" s="5"/>
      <c r="AM116" s="5"/>
    </row>
    <row r="117" spans="1:39" s="428" customFormat="1" ht="13.8">
      <c r="A117" s="339"/>
      <c r="B117" s="725"/>
      <c r="C117" s="705" t="s">
        <v>695</v>
      </c>
      <c r="D117" s="439">
        <f>SUM(D99:D116)</f>
        <v>340147000</v>
      </c>
      <c r="E117" s="439">
        <f t="shared" ref="E117:Z117" si="11">SUM(E99:E116)</f>
        <v>298143000</v>
      </c>
      <c r="F117" s="439">
        <f t="shared" si="11"/>
        <v>42004000</v>
      </c>
      <c r="G117" s="439">
        <f t="shared" si="11"/>
        <v>84876000</v>
      </c>
      <c r="H117" s="439">
        <f t="shared" si="11"/>
        <v>67150998.069999993</v>
      </c>
      <c r="I117" s="439">
        <f t="shared" si="11"/>
        <v>0</v>
      </c>
      <c r="J117" s="439">
        <f t="shared" si="11"/>
        <v>6021983.5599999996</v>
      </c>
      <c r="K117" s="439">
        <f t="shared" si="11"/>
        <v>6021983.5599999996</v>
      </c>
      <c r="L117" s="439">
        <f t="shared" si="11"/>
        <v>73172981.63000001</v>
      </c>
      <c r="M117" s="439">
        <f t="shared" si="11"/>
        <v>69709018.36999999</v>
      </c>
      <c r="N117" s="439">
        <f t="shared" si="11"/>
        <v>71057000</v>
      </c>
      <c r="O117" s="439">
        <f t="shared" si="11"/>
        <v>126208000</v>
      </c>
      <c r="P117" s="439">
        <f t="shared" si="11"/>
        <v>11703018.369999997</v>
      </c>
      <c r="Q117" s="439">
        <f t="shared" si="11"/>
        <v>79006000</v>
      </c>
      <c r="R117" s="439">
        <f t="shared" si="11"/>
        <v>0</v>
      </c>
      <c r="S117" s="439">
        <f t="shared" si="11"/>
        <v>79006000</v>
      </c>
      <c r="T117" s="439">
        <f t="shared" si="11"/>
        <v>21000000</v>
      </c>
      <c r="U117" s="439">
        <f t="shared" si="11"/>
        <v>50057000</v>
      </c>
      <c r="V117" s="439">
        <f t="shared" si="11"/>
        <v>47393391</v>
      </c>
      <c r="W117" s="439">
        <f t="shared" si="11"/>
        <v>0</v>
      </c>
      <c r="X117" s="439">
        <f t="shared" si="11"/>
        <v>0</v>
      </c>
      <c r="Y117" s="439">
        <f t="shared" si="11"/>
        <v>0</v>
      </c>
      <c r="Z117" s="439">
        <f t="shared" si="11"/>
        <v>2663609</v>
      </c>
      <c r="AA117" s="441"/>
      <c r="AB117" s="727"/>
      <c r="AE117" s="84"/>
      <c r="AF117" s="84"/>
      <c r="AG117" s="84"/>
      <c r="AH117" s="84"/>
      <c r="AI117" s="84"/>
      <c r="AJ117" s="84"/>
      <c r="AK117" s="84"/>
      <c r="AL117" s="84"/>
      <c r="AM117" s="84"/>
    </row>
    <row r="118" spans="1:39" s="202" customFormat="1" ht="41.4">
      <c r="A118" s="198">
        <f>A116+1</f>
        <v>106</v>
      </c>
      <c r="B118" s="707">
        <f>'תקציב החברה לפיתוח 2020'!B80</f>
        <v>2079</v>
      </c>
      <c r="C118" s="341" t="str">
        <f>'תקציב החברה לפיתוח 2020'!C80</f>
        <v>שיפוץ בית הורים</v>
      </c>
      <c r="D118" s="199">
        <f>'תקציב החברה לפיתוח 2020'!D80</f>
        <v>2500000</v>
      </c>
      <c r="E118" s="199">
        <f>'תקציב החברה לפיתוח 2020'!E80</f>
        <v>500000</v>
      </c>
      <c r="F118" s="199">
        <f>'תקציב החברה לפיתוח 2020'!F80</f>
        <v>2000000</v>
      </c>
      <c r="G118" s="199">
        <f>'תקציב החברה לפיתוח 2020'!G80</f>
        <v>500000</v>
      </c>
      <c r="H118" s="199">
        <f>'תקציב החברה לפיתוח 2020'!H80</f>
        <v>27936</v>
      </c>
      <c r="I118" s="199">
        <f>'תקציב החברה לפיתוח 2020'!I80</f>
        <v>0</v>
      </c>
      <c r="J118" s="199">
        <f>'תקציב החברה לפיתוח 2020'!J80</f>
        <v>472062.82</v>
      </c>
      <c r="K118" s="199">
        <f>'תקציב החברה לפיתוח 2020'!K80</f>
        <v>472062.82</v>
      </c>
      <c r="L118" s="199">
        <f>'תקציב החברה לפיתוח 2020'!L80</f>
        <v>499998.82</v>
      </c>
      <c r="M118" s="199">
        <f>'תקציב החברה לפיתוח 2020'!M80</f>
        <v>1.1799999999930151</v>
      </c>
      <c r="N118" s="199">
        <f>'תקציב החברה לפיתוח 2020'!N80</f>
        <v>1000000</v>
      </c>
      <c r="O118" s="199">
        <f>'תקציב החברה לפיתוח 2020'!O80</f>
        <v>1000000</v>
      </c>
      <c r="P118" s="199">
        <f>'תקציב החברה לפיתוח 2020'!P80</f>
        <v>1.1799999999930151</v>
      </c>
      <c r="Q118" s="199">
        <f>'תקציב החברה לפיתוח 2020'!Q80</f>
        <v>0</v>
      </c>
      <c r="R118" s="199">
        <f>'תקציב החברה לפיתוח 2020'!R80</f>
        <v>0</v>
      </c>
      <c r="S118" s="199">
        <f>'תקציב החברה לפיתוח 2020'!S80</f>
        <v>0</v>
      </c>
      <c r="T118" s="199">
        <f>'תקציב החברה לפיתוח 2020'!T80</f>
        <v>0</v>
      </c>
      <c r="U118" s="199">
        <f>'תקציב החברה לפיתוח 2020'!U80</f>
        <v>1000000</v>
      </c>
      <c r="V118" s="199">
        <f>'תקציב החברה לפיתוח 2020'!V80</f>
        <v>1000000</v>
      </c>
      <c r="W118" s="199">
        <f>'תקציב החברה לפיתוח 2020'!W80</f>
        <v>0</v>
      </c>
      <c r="X118" s="199">
        <f>'תקציב החברה לפיתוח 2020'!X80</f>
        <v>0</v>
      </c>
      <c r="Y118" s="199">
        <f>'תקציב החברה לפיתוח 2020'!Y80</f>
        <v>0</v>
      </c>
      <c r="Z118" s="199">
        <f>'תקציב החברה לפיתוח 2020'!Z80</f>
        <v>0</v>
      </c>
      <c r="AA118" s="341" t="str">
        <f>'תקציב החברה לפיתוח 2020'!AA80</f>
        <v>תכנון עבודות שיפוץ בית ההורים ברחוב אנה פרנק. בשנת 2020 עבודות שדרוג ושיפוץ כללי.</v>
      </c>
      <c r="AB118" s="707">
        <f>'תקציב החברה לפיתוח 2020'!AB80</f>
        <v>840000</v>
      </c>
      <c r="AC118" s="191"/>
      <c r="AD118" s="191"/>
      <c r="AE118" s="624"/>
      <c r="AF118" s="627"/>
      <c r="AG118" s="331"/>
      <c r="AH118" s="331"/>
      <c r="AI118" s="191"/>
      <c r="AJ118" s="191"/>
      <c r="AK118" s="205"/>
      <c r="AL118" s="191"/>
      <c r="AM118" s="191"/>
    </row>
    <row r="119" spans="1:39" s="202" customFormat="1" ht="41.4">
      <c r="A119" s="198">
        <f>A118+1</f>
        <v>107</v>
      </c>
      <c r="B119" s="707">
        <f>'תקציב החברה לפיתוח 2020'!B84</f>
        <v>2101</v>
      </c>
      <c r="C119" s="341" t="str">
        <f>'תקציב החברה לפיתוח 2020'!C84</f>
        <v>מעון לאנשים עם מוגבלויות - גליל ים ביד התשעה (*) עדכון שם</v>
      </c>
      <c r="D119" s="199">
        <f>'תקציב החברה לפיתוח 2020'!D84</f>
        <v>9850000</v>
      </c>
      <c r="E119" s="199">
        <f>'תקציב החברה לפיתוח 2020'!E84</f>
        <v>9850000</v>
      </c>
      <c r="F119" s="199">
        <f>'תקציב החברה לפיתוח 2020'!F84</f>
        <v>0</v>
      </c>
      <c r="G119" s="199">
        <f>'תקציב החברה לפיתוח 2020'!G84</f>
        <v>0</v>
      </c>
      <c r="H119" s="199">
        <f>'תקציב החברה לפיתוח 2020'!H84</f>
        <v>0</v>
      </c>
      <c r="I119" s="199">
        <f>'תקציב החברה לפיתוח 2020'!I84</f>
        <v>0</v>
      </c>
      <c r="J119" s="199">
        <f>'תקציב החברה לפיתוח 2020'!J84</f>
        <v>0</v>
      </c>
      <c r="K119" s="199">
        <f>'תקציב החברה לפיתוח 2020'!K84</f>
        <v>0</v>
      </c>
      <c r="L119" s="199">
        <f>'תקציב החברה לפיתוח 2020'!L84</f>
        <v>0</v>
      </c>
      <c r="M119" s="199">
        <f>'תקציב החברה לפיתוח 2020'!M84</f>
        <v>0</v>
      </c>
      <c r="N119" s="199">
        <f>'תקציב החברה לפיתוח 2020'!N84</f>
        <v>1500000</v>
      </c>
      <c r="O119" s="199">
        <f>'תקציב החברה לפיתוח 2020'!O84</f>
        <v>8350000</v>
      </c>
      <c r="P119" s="199">
        <f>'תקציב החברה לפיתוח 2020'!P84</f>
        <v>0</v>
      </c>
      <c r="Q119" s="199">
        <f>'תקציב החברה לפיתוח 2020'!Q84</f>
        <v>0</v>
      </c>
      <c r="R119" s="199">
        <f>'תקציב החברה לפיתוח 2020'!R84</f>
        <v>0</v>
      </c>
      <c r="S119" s="199">
        <f>'תקציב החברה לפיתוח 2020'!S84</f>
        <v>0</v>
      </c>
      <c r="T119" s="199">
        <f>'תקציב החברה לפיתוח 2020'!T84</f>
        <v>0</v>
      </c>
      <c r="U119" s="199">
        <f>'תקציב החברה לפיתוח 2020'!U84</f>
        <v>1500000</v>
      </c>
      <c r="V119" s="199">
        <f>'תקציב החברה לפיתוח 2020'!V84</f>
        <v>1500000</v>
      </c>
      <c r="W119" s="199">
        <f>'תקציב החברה לפיתוח 2020'!W84</f>
        <v>0</v>
      </c>
      <c r="X119" s="199">
        <f>'תקציב החברה לפיתוח 2020'!X84</f>
        <v>0</v>
      </c>
      <c r="Y119" s="199">
        <f>'תקציב החברה לפיתוח 2020'!Y84</f>
        <v>0</v>
      </c>
      <c r="Z119" s="199">
        <f>'תקציב החברה לפיתוח 2020'!Z84</f>
        <v>0</v>
      </c>
      <c r="AA119" s="341" t="str">
        <f>'תקציב החברה לפיתוח 2020'!AA84</f>
        <v>תכנון ראשוני הקמת מעון לאנשים עם מוגבלויות ביד התשעה.</v>
      </c>
      <c r="AB119" s="707">
        <f>'תקציב החברה לפיתוח 2020'!AB84</f>
        <v>840000</v>
      </c>
      <c r="AC119" s="191"/>
      <c r="AD119" s="191"/>
      <c r="AE119" s="624"/>
      <c r="AF119" s="627"/>
      <c r="AG119" s="331"/>
      <c r="AH119" s="331"/>
      <c r="AI119" s="191"/>
      <c r="AJ119" s="191"/>
      <c r="AK119" s="205"/>
      <c r="AL119" s="191"/>
      <c r="AM119" s="191"/>
    </row>
    <row r="120" spans="1:39" s="411" customFormat="1">
      <c r="A120" s="339"/>
      <c r="B120" s="725"/>
      <c r="C120" s="778" t="s">
        <v>702</v>
      </c>
      <c r="D120" s="439">
        <f>SUM(D118:D119)</f>
        <v>12350000</v>
      </c>
      <c r="E120" s="439">
        <f t="shared" ref="E120:Z120" si="12">SUM(E118:E119)</f>
        <v>10350000</v>
      </c>
      <c r="F120" s="439">
        <f t="shared" si="12"/>
        <v>2000000</v>
      </c>
      <c r="G120" s="439">
        <f t="shared" si="12"/>
        <v>500000</v>
      </c>
      <c r="H120" s="439">
        <f t="shared" si="12"/>
        <v>27936</v>
      </c>
      <c r="I120" s="439">
        <f t="shared" si="12"/>
        <v>0</v>
      </c>
      <c r="J120" s="439">
        <f t="shared" si="12"/>
        <v>472062.82</v>
      </c>
      <c r="K120" s="439">
        <f t="shared" si="12"/>
        <v>472062.82</v>
      </c>
      <c r="L120" s="439">
        <f t="shared" si="12"/>
        <v>499998.82</v>
      </c>
      <c r="M120" s="439">
        <f t="shared" si="12"/>
        <v>1.1799999999930151</v>
      </c>
      <c r="N120" s="439">
        <f t="shared" si="12"/>
        <v>2500000</v>
      </c>
      <c r="O120" s="439">
        <f t="shared" si="12"/>
        <v>9350000</v>
      </c>
      <c r="P120" s="439">
        <f t="shared" si="12"/>
        <v>1.1799999999930151</v>
      </c>
      <c r="Q120" s="439">
        <f t="shared" si="12"/>
        <v>0</v>
      </c>
      <c r="R120" s="439">
        <f t="shared" si="12"/>
        <v>0</v>
      </c>
      <c r="S120" s="439">
        <f t="shared" si="12"/>
        <v>0</v>
      </c>
      <c r="T120" s="439">
        <f t="shared" si="12"/>
        <v>0</v>
      </c>
      <c r="U120" s="439">
        <f t="shared" si="12"/>
        <v>2500000</v>
      </c>
      <c r="V120" s="439">
        <f t="shared" si="12"/>
        <v>2500000</v>
      </c>
      <c r="W120" s="439">
        <f t="shared" si="12"/>
        <v>0</v>
      </c>
      <c r="X120" s="439">
        <f t="shared" si="12"/>
        <v>0</v>
      </c>
      <c r="Y120" s="439">
        <f t="shared" si="12"/>
        <v>0</v>
      </c>
      <c r="Z120" s="439">
        <f t="shared" si="12"/>
        <v>0</v>
      </c>
      <c r="AA120" s="441"/>
      <c r="AB120" s="727"/>
      <c r="AC120" s="428"/>
      <c r="AD120" s="428"/>
      <c r="AE120" s="728"/>
      <c r="AF120" s="729"/>
      <c r="AG120" s="414"/>
      <c r="AH120" s="414"/>
      <c r="AI120" s="428"/>
      <c r="AJ120" s="428"/>
      <c r="AK120" s="440"/>
      <c r="AL120" s="428"/>
      <c r="AM120" s="428"/>
    </row>
    <row r="121" spans="1:39" s="202" customFormat="1" ht="27.6">
      <c r="A121" s="198">
        <f>A119+1</f>
        <v>108</v>
      </c>
      <c r="B121" s="707">
        <f>'תקציב החברה לפיתוח 2020'!B86</f>
        <v>2103</v>
      </c>
      <c r="C121" s="341" t="str">
        <f>'תקציב החברה לפיתוח 2020'!C86</f>
        <v xml:space="preserve">שדרוג המרחב הציבורי באיזור התעשיה </v>
      </c>
      <c r="D121" s="199">
        <f>'תקציב החברה לפיתוח 2020'!D86</f>
        <v>2500000</v>
      </c>
      <c r="E121" s="199">
        <f>'תקציב החברה לפיתוח 2020'!E86</f>
        <v>2500000</v>
      </c>
      <c r="F121" s="199">
        <f>'תקציב החברה לפיתוח 2020'!F86</f>
        <v>0</v>
      </c>
      <c r="G121" s="199">
        <f>'תקציב החברה לפיתוח 2020'!G86</f>
        <v>350000</v>
      </c>
      <c r="H121" s="199">
        <f>'תקציב החברה לפיתוח 2020'!H86</f>
        <v>0</v>
      </c>
      <c r="I121" s="199">
        <f>'תקציב החברה לפיתוח 2020'!I86</f>
        <v>0</v>
      </c>
      <c r="J121" s="199">
        <f>'תקציב החברה לפיתוח 2020'!J86</f>
        <v>0</v>
      </c>
      <c r="K121" s="199">
        <f>'תקציב החברה לפיתוח 2020'!K86</f>
        <v>0</v>
      </c>
      <c r="L121" s="199">
        <f>'תקציב החברה לפיתוח 2020'!L86</f>
        <v>0</v>
      </c>
      <c r="M121" s="199">
        <f>'תקציב החברה לפיתוח 2020'!M86</f>
        <v>1000000</v>
      </c>
      <c r="N121" s="199">
        <f>'תקציב החברה לפיתוח 2020'!N86</f>
        <v>500000</v>
      </c>
      <c r="O121" s="199">
        <f>'תקציב החברה לפיתוח 2020'!O86</f>
        <v>1000000</v>
      </c>
      <c r="P121" s="199">
        <f>'תקציב החברה לפיתוח 2020'!P86</f>
        <v>350000</v>
      </c>
      <c r="Q121" s="199">
        <f>'תקציב החברה לפיתוח 2020'!Q86</f>
        <v>650000</v>
      </c>
      <c r="R121" s="199">
        <f>'תקציב החברה לפיתוח 2020'!R86</f>
        <v>0</v>
      </c>
      <c r="S121" s="199">
        <f>'תקציב החברה לפיתוח 2020'!S86</f>
        <v>650000</v>
      </c>
      <c r="T121" s="199">
        <f>'תקציב החברה לפיתוח 2020'!T86</f>
        <v>0</v>
      </c>
      <c r="U121" s="199">
        <f>'תקציב החברה לפיתוח 2020'!U86</f>
        <v>500000</v>
      </c>
      <c r="V121" s="199">
        <f>'תקציב החברה לפיתוח 2020'!V86</f>
        <v>0</v>
      </c>
      <c r="W121" s="199">
        <f>'תקציב החברה לפיתוח 2020'!W86</f>
        <v>500000</v>
      </c>
      <c r="X121" s="199">
        <f>'תקציב החברה לפיתוח 2020'!X86</f>
        <v>0</v>
      </c>
      <c r="Y121" s="199">
        <f>'תקציב החברה לפיתוח 2020'!Y86</f>
        <v>0</v>
      </c>
      <c r="Z121" s="199">
        <f>'תקציב החברה לפיתוח 2020'!Z86</f>
        <v>0</v>
      </c>
      <c r="AA121" s="341" t="str">
        <f>'תקציב החברה לפיתוח 2020'!AA86</f>
        <v>סל עבודות לשדרוג במרחב הציבורי כולל ריהוט רחוב באיזור התעשיה.</v>
      </c>
      <c r="AB121" s="707">
        <f>'תקציב החברה לפיתוח 2020'!AB86</f>
        <v>848000</v>
      </c>
      <c r="AC121" s="191"/>
      <c r="AD121" s="191"/>
      <c r="AE121" s="624"/>
      <c r="AF121" s="627"/>
      <c r="AG121" s="331"/>
      <c r="AH121" s="331"/>
      <c r="AI121" s="191"/>
      <c r="AJ121" s="191"/>
      <c r="AK121" s="205"/>
      <c r="AL121" s="191"/>
      <c r="AM121" s="191"/>
    </row>
    <row r="122" spans="1:39" s="411" customFormat="1">
      <c r="A122" s="339"/>
      <c r="B122" s="725"/>
      <c r="C122" s="778" t="s">
        <v>723</v>
      </c>
      <c r="D122" s="439">
        <f>SUM(D121)</f>
        <v>2500000</v>
      </c>
      <c r="E122" s="439">
        <f t="shared" ref="E122:Z122" si="13">SUM(E121)</f>
        <v>2500000</v>
      </c>
      <c r="F122" s="439">
        <f t="shared" si="13"/>
        <v>0</v>
      </c>
      <c r="G122" s="439">
        <f t="shared" si="13"/>
        <v>350000</v>
      </c>
      <c r="H122" s="439">
        <f t="shared" si="13"/>
        <v>0</v>
      </c>
      <c r="I122" s="439">
        <f t="shared" si="13"/>
        <v>0</v>
      </c>
      <c r="J122" s="439">
        <f t="shared" si="13"/>
        <v>0</v>
      </c>
      <c r="K122" s="439">
        <f t="shared" si="13"/>
        <v>0</v>
      </c>
      <c r="L122" s="439">
        <f t="shared" si="13"/>
        <v>0</v>
      </c>
      <c r="M122" s="439">
        <f t="shared" si="13"/>
        <v>1000000</v>
      </c>
      <c r="N122" s="439">
        <f t="shared" si="13"/>
        <v>500000</v>
      </c>
      <c r="O122" s="439">
        <f t="shared" si="13"/>
        <v>1000000</v>
      </c>
      <c r="P122" s="439">
        <f t="shared" si="13"/>
        <v>350000</v>
      </c>
      <c r="Q122" s="439">
        <f t="shared" si="13"/>
        <v>650000</v>
      </c>
      <c r="R122" s="439">
        <f t="shared" si="13"/>
        <v>0</v>
      </c>
      <c r="S122" s="439">
        <f t="shared" si="13"/>
        <v>650000</v>
      </c>
      <c r="T122" s="439">
        <f t="shared" si="13"/>
        <v>0</v>
      </c>
      <c r="U122" s="439">
        <f t="shared" si="13"/>
        <v>500000</v>
      </c>
      <c r="V122" s="439">
        <f t="shared" si="13"/>
        <v>0</v>
      </c>
      <c r="W122" s="439">
        <f t="shared" si="13"/>
        <v>500000</v>
      </c>
      <c r="X122" s="439">
        <f t="shared" si="13"/>
        <v>0</v>
      </c>
      <c r="Y122" s="439">
        <f t="shared" si="13"/>
        <v>0</v>
      </c>
      <c r="Z122" s="439">
        <f t="shared" si="13"/>
        <v>0</v>
      </c>
      <c r="AA122" s="441"/>
      <c r="AB122" s="727"/>
      <c r="AC122" s="428"/>
      <c r="AD122" s="428"/>
      <c r="AE122" s="728"/>
      <c r="AF122" s="729"/>
      <c r="AG122" s="414"/>
      <c r="AH122" s="414"/>
      <c r="AI122" s="428"/>
      <c r="AJ122" s="428"/>
      <c r="AK122" s="440"/>
      <c r="AL122" s="428"/>
      <c r="AM122" s="428"/>
    </row>
    <row r="123" spans="1:39" s="202" customFormat="1" ht="27.6">
      <c r="A123" s="198">
        <f>A121+1</f>
        <v>109</v>
      </c>
      <c r="B123" s="707">
        <f>'תקציב החברה לפיתוח 2020'!B41</f>
        <v>1837</v>
      </c>
      <c r="C123" s="341" t="str">
        <f>'תקציב החברה לפיתוח 2020'!C41</f>
        <v>בית כנסת "אור זרוע"-תוס.קומה</v>
      </c>
      <c r="D123" s="199">
        <f>'תקציב החברה לפיתוח 2020'!D41</f>
        <v>3460000</v>
      </c>
      <c r="E123" s="199">
        <f>'תקציב החברה לפיתוח 2020'!E41</f>
        <v>3460000</v>
      </c>
      <c r="F123" s="199">
        <f>'תקציב החברה לפיתוח 2020'!F41</f>
        <v>0</v>
      </c>
      <c r="G123" s="199">
        <f>'תקציב החברה לפיתוח 2020'!G41</f>
        <v>3460000</v>
      </c>
      <c r="H123" s="199">
        <f>'תקציב החברה לפיתוח 2020'!H41</f>
        <v>3083128</v>
      </c>
      <c r="I123" s="199">
        <f>'תקציב החברה לפיתוח 2020'!I41</f>
        <v>0</v>
      </c>
      <c r="J123" s="199">
        <f>'תקציב החברה לפיתוח 2020'!J41</f>
        <v>115008.16</v>
      </c>
      <c r="K123" s="199">
        <f>'תקציב החברה לפיתוח 2020'!K41</f>
        <v>115008.16</v>
      </c>
      <c r="L123" s="199">
        <f>'תקציב החברה לפיתוח 2020'!L41</f>
        <v>3198136.16</v>
      </c>
      <c r="M123" s="199">
        <f>'תקציב החברה לפיתוח 2020'!M41</f>
        <v>261863.83999999985</v>
      </c>
      <c r="N123" s="199">
        <f>'תקציב החברה לפיתוח 2020'!N41</f>
        <v>0</v>
      </c>
      <c r="O123" s="199">
        <f>'תקציב החברה לפיתוח 2020'!O41</f>
        <v>0</v>
      </c>
      <c r="P123" s="199">
        <f>'תקציב החברה לפיתוח 2020'!P41</f>
        <v>261863.83999999985</v>
      </c>
      <c r="Q123" s="199">
        <f>'תקציב החברה לפיתוח 2020'!Q41</f>
        <v>0</v>
      </c>
      <c r="R123" s="199">
        <f>'תקציב החברה לפיתוח 2020'!R41</f>
        <v>0</v>
      </c>
      <c r="S123" s="199">
        <f>'תקציב החברה לפיתוח 2020'!S41</f>
        <v>0</v>
      </c>
      <c r="T123" s="199">
        <f>'תקציב החברה לפיתוח 2020'!T41</f>
        <v>0</v>
      </c>
      <c r="U123" s="199">
        <f>'תקציב החברה לפיתוח 2020'!U41</f>
        <v>0</v>
      </c>
      <c r="V123" s="199">
        <f>'תקציב החברה לפיתוח 2020'!V41</f>
        <v>0</v>
      </c>
      <c r="W123" s="199">
        <f>'תקציב החברה לפיתוח 2020'!W41</f>
        <v>0</v>
      </c>
      <c r="X123" s="199">
        <f>'תקציב החברה לפיתוח 2020'!X41</f>
        <v>0</v>
      </c>
      <c r="Y123" s="199">
        <f>'תקציב החברה לפיתוח 2020'!Y41</f>
        <v>0</v>
      </c>
      <c r="Z123" s="199">
        <f>'תקציב החברה לפיתוח 2020'!Z41</f>
        <v>0</v>
      </c>
      <c r="AA123" s="341" t="str">
        <f>'תקציב החברה לפיתוח 2020'!AA41</f>
        <v>תוספת קומה בביכנ"ס אור זרוע ברח' אבן עזרא. לקראת סיום.</v>
      </c>
      <c r="AB123" s="707">
        <f>'תקציב החברה לפיתוח 2020'!AB41</f>
        <v>850000</v>
      </c>
      <c r="AC123" s="191"/>
      <c r="AD123" s="191"/>
      <c r="AE123" s="624"/>
      <c r="AF123" s="627"/>
      <c r="AG123" s="331"/>
      <c r="AH123" s="331"/>
      <c r="AI123" s="191"/>
      <c r="AJ123" s="191"/>
      <c r="AK123" s="191"/>
      <c r="AL123" s="191"/>
      <c r="AM123" s="191"/>
    </row>
    <row r="124" spans="1:39">
      <c r="A124" s="198">
        <f>A123+1</f>
        <v>110</v>
      </c>
      <c r="B124" s="707">
        <f>'תקציב החברה לפיתוח 2020'!B67</f>
        <v>2021</v>
      </c>
      <c r="C124" s="341" t="str">
        <f>'תקציב החברה לפיתוח 2020'!C67</f>
        <v>ביכנ"ס מקדש מלך</v>
      </c>
      <c r="D124" s="199">
        <f>'תקציב החברה לפיתוח 2020'!D67</f>
        <v>8200000</v>
      </c>
      <c r="E124" s="199">
        <f>'תקציב החברה לפיתוח 2020'!E67</f>
        <v>8200000</v>
      </c>
      <c r="F124" s="199">
        <f>'תקציב החברה לפיתוח 2020'!F67</f>
        <v>0</v>
      </c>
      <c r="G124" s="199">
        <f>'תקציב החברה לפיתוח 2020'!G67</f>
        <v>500000</v>
      </c>
      <c r="H124" s="199">
        <f>'תקציב החברה לפיתוח 2020'!H67</f>
        <v>40865</v>
      </c>
      <c r="I124" s="199">
        <f>'תקציב החברה לפיתוח 2020'!I67</f>
        <v>0</v>
      </c>
      <c r="J124" s="199">
        <f>'תקציב החברה לפיתוח 2020'!J67</f>
        <v>109135.4</v>
      </c>
      <c r="K124" s="199">
        <f>'תקציב החברה לפיתוח 2020'!K67</f>
        <v>109135.4</v>
      </c>
      <c r="L124" s="199">
        <f>'תקציב החברה לפיתוח 2020'!L67</f>
        <v>150000.4</v>
      </c>
      <c r="M124" s="199">
        <f>'תקציב החברה לפיתוח 2020'!M67</f>
        <v>349999.6</v>
      </c>
      <c r="N124" s="199">
        <f>'תקציב החברה לפיתוח 2020'!N67</f>
        <v>0</v>
      </c>
      <c r="O124" s="199">
        <f>'תקציב החברה לפיתוח 2020'!O67</f>
        <v>7700000</v>
      </c>
      <c r="P124" s="199">
        <f>'תקציב החברה לפיתוח 2020'!P67</f>
        <v>349999.6</v>
      </c>
      <c r="Q124" s="199">
        <f>'תקציב החברה לפיתוח 2020'!Q67</f>
        <v>0</v>
      </c>
      <c r="R124" s="199">
        <f>'תקציב החברה לפיתוח 2020'!R67</f>
        <v>0</v>
      </c>
      <c r="S124" s="199">
        <f>'תקציב החברה לפיתוח 2020'!S67</f>
        <v>0</v>
      </c>
      <c r="T124" s="199">
        <f>'תקציב החברה לפיתוח 2020'!T67</f>
        <v>0</v>
      </c>
      <c r="U124" s="199">
        <f>'תקציב החברה לפיתוח 2020'!U67</f>
        <v>0</v>
      </c>
      <c r="V124" s="199">
        <f>'תקציב החברה לפיתוח 2020'!V67</f>
        <v>0</v>
      </c>
      <c r="W124" s="199">
        <f>'תקציב החברה לפיתוח 2020'!W67</f>
        <v>0</v>
      </c>
      <c r="X124" s="199">
        <f>'תקציב החברה לפיתוח 2020'!X67</f>
        <v>0</v>
      </c>
      <c r="Y124" s="199">
        <f>'תקציב החברה לפיתוח 2020'!Y67</f>
        <v>0</v>
      </c>
      <c r="Z124" s="199">
        <f>'תקציב החברה לפיתוח 2020'!Z67</f>
        <v>0</v>
      </c>
      <c r="AA124" s="341" t="str">
        <f>'תקציב החברה לפיתוח 2020'!AA67</f>
        <v xml:space="preserve">בניית ביכנ"ס ברח' מקדש מלך. תכנון.  </v>
      </c>
      <c r="AB124" s="707">
        <f>'תקציב החברה לפיתוח 2020'!AB67</f>
        <v>850000</v>
      </c>
      <c r="AE124" s="624"/>
      <c r="AF124" s="627"/>
      <c r="AI124" s="202"/>
      <c r="AJ124" s="202"/>
      <c r="AK124" s="202"/>
      <c r="AL124" s="202"/>
      <c r="AM124" s="202"/>
    </row>
    <row r="125" spans="1:39" ht="27.6">
      <c r="A125" s="198">
        <f>A124+1</f>
        <v>111</v>
      </c>
      <c r="B125" s="707">
        <f>'תקציב החברה לפיתוח 2020'!B78</f>
        <v>2076</v>
      </c>
      <c r="C125" s="341" t="str">
        <f>'תקציב החברה לפיתוח 2020'!C78</f>
        <v>עבודות פיתוח בכנ"ס אברהם אבינו</v>
      </c>
      <c r="D125" s="199">
        <f>'תקציב החברה לפיתוח 2020'!D78</f>
        <v>1450000</v>
      </c>
      <c r="E125" s="199">
        <f>'תקציב החברה לפיתוח 2020'!E78</f>
        <v>1450000</v>
      </c>
      <c r="F125" s="199">
        <f>'תקציב החברה לפיתוח 2020'!F78</f>
        <v>0</v>
      </c>
      <c r="G125" s="199">
        <f>'תקציב החברה לפיתוח 2020'!G78</f>
        <v>250000</v>
      </c>
      <c r="H125" s="199">
        <f>'תקציב החברה לפיתוח 2020'!H78</f>
        <v>10108</v>
      </c>
      <c r="I125" s="199">
        <f>'תקציב החברה לפיתוח 2020'!I78</f>
        <v>0</v>
      </c>
      <c r="J125" s="199">
        <f>'תקציב החברה לפיתוח 2020'!J78</f>
        <v>239890.95</v>
      </c>
      <c r="K125" s="199">
        <f>'תקציב החברה לפיתוח 2020'!K78</f>
        <v>239890.95</v>
      </c>
      <c r="L125" s="199">
        <f>'תקציב החברה לפיתוח 2020'!L78</f>
        <v>249998.95</v>
      </c>
      <c r="M125" s="199">
        <f>'תקציב החברה לפיתוח 2020'!M78</f>
        <v>1200001.05</v>
      </c>
      <c r="N125" s="199">
        <f>'תקציב החברה לפיתוח 2020'!N78</f>
        <v>0</v>
      </c>
      <c r="O125" s="199">
        <f>'תקציב החברה לפיתוח 2020'!O78</f>
        <v>0</v>
      </c>
      <c r="P125" s="199">
        <f>'תקציב החברה לפיתוח 2020'!P78</f>
        <v>1.0499999999883585</v>
      </c>
      <c r="Q125" s="199">
        <f>'תקציב החברה לפיתוח 2020'!Q78</f>
        <v>1200000</v>
      </c>
      <c r="R125" s="199">
        <f>'תקציב החברה לפיתוח 2020'!R78</f>
        <v>0</v>
      </c>
      <c r="S125" s="199">
        <f>'תקציב החברה לפיתוח 2020'!S78</f>
        <v>1200000</v>
      </c>
      <c r="T125" s="199">
        <f>'תקציב החברה לפיתוח 2020'!T78</f>
        <v>0</v>
      </c>
      <c r="U125" s="199">
        <f>'תקציב החברה לפיתוח 2020'!U78</f>
        <v>0</v>
      </c>
      <c r="V125" s="199">
        <f>'תקציב החברה לפיתוח 2020'!V78</f>
        <v>0</v>
      </c>
      <c r="W125" s="199">
        <f>'תקציב החברה לפיתוח 2020'!W78</f>
        <v>0</v>
      </c>
      <c r="X125" s="199">
        <f>'תקציב החברה לפיתוח 2020'!X78</f>
        <v>0</v>
      </c>
      <c r="Y125" s="199">
        <f>'תקציב החברה לפיתוח 2020'!Y78</f>
        <v>0</v>
      </c>
      <c r="Z125" s="199">
        <f>'תקציב החברה לפיתוח 2020'!Z78</f>
        <v>0</v>
      </c>
      <c r="AA125" s="341" t="str">
        <f>'תקציב החברה לפיתוח 2020'!AA78</f>
        <v>עבודות פיתוח ביכנ"ס "אברהם אבינו" בשכונת יד התשעה.</v>
      </c>
      <c r="AB125" s="707">
        <f>'תקציב החברה לפיתוח 2020'!AB78</f>
        <v>850000</v>
      </c>
      <c r="AE125" s="624"/>
      <c r="AF125" s="627"/>
    </row>
    <row r="126" spans="1:39" s="428" customFormat="1">
      <c r="A126" s="339"/>
      <c r="B126" s="779"/>
      <c r="C126" s="778" t="s">
        <v>704</v>
      </c>
      <c r="D126" s="439">
        <f>SUM(D123:D125)</f>
        <v>13110000</v>
      </c>
      <c r="E126" s="439">
        <f t="shared" ref="E126:Z126" si="14">SUM(E123:E125)</f>
        <v>13110000</v>
      </c>
      <c r="F126" s="439">
        <f t="shared" si="14"/>
        <v>0</v>
      </c>
      <c r="G126" s="439">
        <f t="shared" si="14"/>
        <v>4210000</v>
      </c>
      <c r="H126" s="439">
        <f t="shared" si="14"/>
        <v>3134101</v>
      </c>
      <c r="I126" s="439">
        <f t="shared" si="14"/>
        <v>0</v>
      </c>
      <c r="J126" s="439">
        <f t="shared" si="14"/>
        <v>464034.51</v>
      </c>
      <c r="K126" s="439">
        <f t="shared" si="14"/>
        <v>464034.51</v>
      </c>
      <c r="L126" s="439">
        <f t="shared" si="14"/>
        <v>3598135.5100000002</v>
      </c>
      <c r="M126" s="439">
        <f t="shared" si="14"/>
        <v>1811864.4899999998</v>
      </c>
      <c r="N126" s="439">
        <f t="shared" si="14"/>
        <v>0</v>
      </c>
      <c r="O126" s="439">
        <f t="shared" si="14"/>
        <v>7700000</v>
      </c>
      <c r="P126" s="439">
        <f t="shared" si="14"/>
        <v>611864.48999999976</v>
      </c>
      <c r="Q126" s="439">
        <f t="shared" si="14"/>
        <v>1200000</v>
      </c>
      <c r="R126" s="439">
        <f t="shared" si="14"/>
        <v>0</v>
      </c>
      <c r="S126" s="439">
        <f t="shared" si="14"/>
        <v>1200000</v>
      </c>
      <c r="T126" s="439">
        <f t="shared" si="14"/>
        <v>0</v>
      </c>
      <c r="U126" s="439">
        <f t="shared" si="14"/>
        <v>0</v>
      </c>
      <c r="V126" s="439">
        <f t="shared" si="14"/>
        <v>0</v>
      </c>
      <c r="W126" s="439">
        <f t="shared" si="14"/>
        <v>0</v>
      </c>
      <c r="X126" s="439">
        <f t="shared" si="14"/>
        <v>0</v>
      </c>
      <c r="Y126" s="439">
        <f t="shared" si="14"/>
        <v>0</v>
      </c>
      <c r="Z126" s="439">
        <f t="shared" si="14"/>
        <v>0</v>
      </c>
      <c r="AA126" s="441"/>
      <c r="AB126" s="727"/>
      <c r="AE126" s="728"/>
      <c r="AF126" s="729"/>
      <c r="AG126" s="414"/>
      <c r="AH126" s="414"/>
    </row>
    <row r="127" spans="1:39" ht="55.2">
      <c r="A127" s="198">
        <f>A125+1</f>
        <v>112</v>
      </c>
      <c r="B127" s="707">
        <f>'תקציב החברה לפיתוח 2020'!B57</f>
        <v>1998</v>
      </c>
      <c r="C127" s="341" t="str">
        <f>'תקציב החברה לפיתוח 2020'!C57</f>
        <v>פרויקט השכרת אופניים</v>
      </c>
      <c r="D127" s="199">
        <f>'תקציב החברה לפיתוח 2020'!D57</f>
        <v>4630000</v>
      </c>
      <c r="E127" s="199">
        <f>'תקציב החברה לפיתוח 2020'!E57</f>
        <v>4630000</v>
      </c>
      <c r="F127" s="199">
        <f>'תקציב החברה לפיתוח 2020'!F57</f>
        <v>0</v>
      </c>
      <c r="G127" s="199">
        <f>'תקציב החברה לפיתוח 2020'!G57</f>
        <v>500000</v>
      </c>
      <c r="H127" s="199">
        <f>'תקציב החברה לפיתוח 2020'!H57</f>
        <v>12799</v>
      </c>
      <c r="I127" s="199">
        <f>'תקציב החברה לפיתוח 2020'!I57</f>
        <v>0</v>
      </c>
      <c r="J127" s="199">
        <f>'תקציב החברה לפיתוח 2020'!J57</f>
        <v>137199.82</v>
      </c>
      <c r="K127" s="199">
        <f>'תקציב החברה לפיתוח 2020'!K57</f>
        <v>137199.82</v>
      </c>
      <c r="L127" s="199">
        <f>'תקציב החברה לפיתוח 2020'!L57</f>
        <v>149998.82</v>
      </c>
      <c r="M127" s="199">
        <f>'תקציב החברה לפיתוח 2020'!M57</f>
        <v>1850001.18</v>
      </c>
      <c r="N127" s="199">
        <f>'תקציב החברה לפיתוח 2020'!N57</f>
        <v>2630000</v>
      </c>
      <c r="O127" s="199">
        <f>'תקציב החברה לפיתוח 2020'!O57</f>
        <v>0</v>
      </c>
      <c r="P127" s="199">
        <f>'תקציב החברה לפיתוח 2020'!P57</f>
        <v>350001.18</v>
      </c>
      <c r="Q127" s="199">
        <f>'תקציב החברה לפיתוח 2020'!Q57</f>
        <v>1500000</v>
      </c>
      <c r="R127" s="199">
        <f>'תקציב החברה לפיתוח 2020'!R57</f>
        <v>0</v>
      </c>
      <c r="S127" s="199">
        <f>'תקציב החברה לפיתוח 2020'!S57</f>
        <v>1500000</v>
      </c>
      <c r="T127" s="199">
        <f>'תקציב החברה לפיתוח 2020'!T57</f>
        <v>0</v>
      </c>
      <c r="U127" s="199">
        <f>'תקציב החברה לפיתוח 2020'!U57</f>
        <v>2630000</v>
      </c>
      <c r="V127" s="199">
        <f>'תקציב החברה לפיתוח 2020'!V57</f>
        <v>2630000</v>
      </c>
      <c r="W127" s="199">
        <f>'תקציב החברה לפיתוח 2020'!W57</f>
        <v>0</v>
      </c>
      <c r="X127" s="199">
        <f>'תקציב החברה לפיתוח 2020'!X57</f>
        <v>0</v>
      </c>
      <c r="Y127" s="199">
        <f>'תקציב החברה לפיתוח 2020'!Y57</f>
        <v>0</v>
      </c>
      <c r="Z127" s="199">
        <f>'תקציב החברה לפיתוח 2020'!Z57</f>
        <v>0</v>
      </c>
      <c r="AA127" s="341" t="str">
        <f>'תקציב החברה לפיתוח 2020'!AA57</f>
        <v>הקמת מע.השכרת אופניים ברחבי העיר ובאיזור התעסוקה,חלק מתוכנית אב להפחתת פליטות גזי חממה.מימון מ.להגנת הסביבה.</v>
      </c>
      <c r="AB127" s="707">
        <f>'תקציב החברה לפיתוח 2020'!AB57</f>
        <v>870000</v>
      </c>
      <c r="AE127" s="624"/>
      <c r="AF127" s="627"/>
      <c r="AI127" s="209"/>
      <c r="AJ127" s="209"/>
      <c r="AK127" s="209"/>
      <c r="AL127" s="209"/>
      <c r="AM127" s="209"/>
    </row>
    <row r="128" spans="1:39" s="428" customFormat="1">
      <c r="A128" s="339"/>
      <c r="B128" s="727"/>
      <c r="C128" s="778" t="s">
        <v>703</v>
      </c>
      <c r="D128" s="439">
        <f>SUM(D127)</f>
        <v>4630000</v>
      </c>
      <c r="E128" s="439">
        <f t="shared" ref="E128:Z128" si="15">SUM(E127)</f>
        <v>4630000</v>
      </c>
      <c r="F128" s="439">
        <f t="shared" si="15"/>
        <v>0</v>
      </c>
      <c r="G128" s="439">
        <f t="shared" si="15"/>
        <v>500000</v>
      </c>
      <c r="H128" s="439">
        <f t="shared" si="15"/>
        <v>12799</v>
      </c>
      <c r="I128" s="439">
        <f t="shared" si="15"/>
        <v>0</v>
      </c>
      <c r="J128" s="439">
        <f t="shared" si="15"/>
        <v>137199.82</v>
      </c>
      <c r="K128" s="439">
        <f t="shared" si="15"/>
        <v>137199.82</v>
      </c>
      <c r="L128" s="439">
        <f t="shared" si="15"/>
        <v>149998.82</v>
      </c>
      <c r="M128" s="439">
        <f t="shared" si="15"/>
        <v>1850001.18</v>
      </c>
      <c r="N128" s="439">
        <f t="shared" si="15"/>
        <v>2630000</v>
      </c>
      <c r="O128" s="439">
        <f t="shared" si="15"/>
        <v>0</v>
      </c>
      <c r="P128" s="439">
        <f t="shared" si="15"/>
        <v>350001.18</v>
      </c>
      <c r="Q128" s="439">
        <f t="shared" si="15"/>
        <v>1500000</v>
      </c>
      <c r="R128" s="439">
        <f t="shared" si="15"/>
        <v>0</v>
      </c>
      <c r="S128" s="439">
        <f t="shared" si="15"/>
        <v>1500000</v>
      </c>
      <c r="T128" s="439">
        <f t="shared" si="15"/>
        <v>0</v>
      </c>
      <c r="U128" s="439">
        <f t="shared" si="15"/>
        <v>2630000</v>
      </c>
      <c r="V128" s="439">
        <f t="shared" si="15"/>
        <v>2630000</v>
      </c>
      <c r="W128" s="439">
        <f t="shared" si="15"/>
        <v>0</v>
      </c>
      <c r="X128" s="439">
        <f t="shared" si="15"/>
        <v>0</v>
      </c>
      <c r="Y128" s="439">
        <f t="shared" si="15"/>
        <v>0</v>
      </c>
      <c r="Z128" s="439">
        <f t="shared" si="15"/>
        <v>0</v>
      </c>
      <c r="AA128" s="441"/>
      <c r="AB128" s="727"/>
      <c r="AE128" s="728"/>
      <c r="AF128" s="729"/>
      <c r="AG128" s="414"/>
      <c r="AH128" s="414"/>
      <c r="AI128" s="730"/>
      <c r="AJ128" s="730"/>
      <c r="AK128" s="730"/>
      <c r="AL128" s="730"/>
      <c r="AM128" s="730"/>
    </row>
    <row r="129" spans="1:39" ht="27.6">
      <c r="A129" s="198">
        <f>A127+1</f>
        <v>113</v>
      </c>
      <c r="B129" s="707">
        <f>'תקציב החברה לפיתוח 2020'!B14</f>
        <v>1312</v>
      </c>
      <c r="C129" s="341" t="str">
        <f>'תקציב החברה לפיתוח 2020'!C14</f>
        <v>השלמת מבנה העיריה החדש</v>
      </c>
      <c r="D129" s="199">
        <f>'תקציב החברה לפיתוח 2020'!D14</f>
        <v>109500000</v>
      </c>
      <c r="E129" s="199">
        <f>'תקציב החברה לפיתוח 2020'!E14</f>
        <v>109500000</v>
      </c>
      <c r="F129" s="199">
        <f>'תקציב החברה לפיתוח 2020'!F14</f>
        <v>0</v>
      </c>
      <c r="G129" s="199">
        <f>'תקציב החברה לפיתוח 2020'!G14</f>
        <v>109500000</v>
      </c>
      <c r="H129" s="199">
        <f>'תקציב החברה לפיתוח 2020'!H14</f>
        <v>103144077.06999999</v>
      </c>
      <c r="I129" s="199">
        <f>'תקציב החברה לפיתוח 2020'!I14</f>
        <v>0</v>
      </c>
      <c r="J129" s="199">
        <f>'תקציב החברה לפיתוח 2020'!J14</f>
        <v>4833910.67</v>
      </c>
      <c r="K129" s="199">
        <f>'תקציב החברה לפיתוח 2020'!K14</f>
        <v>4833910.67</v>
      </c>
      <c r="L129" s="199">
        <f>'תקציב החברה לפיתוח 2020'!L14</f>
        <v>107977987.73999999</v>
      </c>
      <c r="M129" s="199">
        <f>'תקציב החברה לפיתוח 2020'!M14</f>
        <v>1522012.2600000054</v>
      </c>
      <c r="N129" s="199">
        <f>'תקציב החברה לפיתוח 2020'!N14</f>
        <v>0</v>
      </c>
      <c r="O129" s="199">
        <f>'תקציב החברה לפיתוח 2020'!O14</f>
        <v>0</v>
      </c>
      <c r="P129" s="199">
        <f>'תקציב החברה לפיתוח 2020'!P14</f>
        <v>1522012.2600000054</v>
      </c>
      <c r="Q129" s="199">
        <f>'תקציב החברה לפיתוח 2020'!Q14</f>
        <v>0</v>
      </c>
      <c r="R129" s="199">
        <f>'תקציב החברה לפיתוח 2020'!R14</f>
        <v>0</v>
      </c>
      <c r="S129" s="199">
        <f>'תקציב החברה לפיתוח 2020'!S14</f>
        <v>0</v>
      </c>
      <c r="T129" s="199">
        <f>'תקציב החברה לפיתוח 2020'!T14</f>
        <v>0</v>
      </c>
      <c r="U129" s="199">
        <f>'תקציב החברה לפיתוח 2020'!U14</f>
        <v>0</v>
      </c>
      <c r="V129" s="199">
        <f>'תקציב החברה לפיתוח 2020'!V14</f>
        <v>0</v>
      </c>
      <c r="W129" s="199">
        <f>'תקציב החברה לפיתוח 2020'!W14</f>
        <v>0</v>
      </c>
      <c r="X129" s="199">
        <f>'תקציב החברה לפיתוח 2020'!X14</f>
        <v>0</v>
      </c>
      <c r="Y129" s="199">
        <f>'תקציב החברה לפיתוח 2020'!Y14</f>
        <v>0</v>
      </c>
      <c r="Z129" s="199">
        <f>'תקציב החברה לפיתוח 2020'!Z14</f>
        <v>0</v>
      </c>
      <c r="AA129" s="341" t="str">
        <f>'תקציב החברה לפיתוח 2020'!AA14</f>
        <v>יתרת עבודות השלמה שינויים קומה  0 ו - 3. לקראת סיום.</v>
      </c>
      <c r="AB129" s="707">
        <f>'תקציב החברה לפיתוח 2020'!AB14</f>
        <v>930000</v>
      </c>
      <c r="AE129" s="624"/>
      <c r="AF129" s="627"/>
      <c r="AI129" s="202"/>
      <c r="AJ129" s="202"/>
      <c r="AK129" s="202"/>
      <c r="AL129" s="202"/>
      <c r="AM129" s="202"/>
    </row>
    <row r="130" spans="1:39">
      <c r="A130" s="198">
        <f>A129+1</f>
        <v>114</v>
      </c>
      <c r="B130" s="707">
        <f>'תקציב החברה לפיתוח 2020'!B40</f>
        <v>1836</v>
      </c>
      <c r="C130" s="341" t="str">
        <f>'תקציב החברה לפיתוח 2020'!C40</f>
        <v>רחבת בנין עיריה חדש</v>
      </c>
      <c r="D130" s="199">
        <f>'תקציב החברה לפיתוח 2020'!D40</f>
        <v>500000</v>
      </c>
      <c r="E130" s="199">
        <f>'תקציב החברה לפיתוח 2020'!E40</f>
        <v>500000</v>
      </c>
      <c r="F130" s="199">
        <f>'תקציב החברה לפיתוח 2020'!F40</f>
        <v>0</v>
      </c>
      <c r="G130" s="199">
        <f>'תקציב החברה לפיתוח 2020'!G40</f>
        <v>500000</v>
      </c>
      <c r="H130" s="199">
        <f>'תקציב החברה לפיתוח 2020'!H40</f>
        <v>425414</v>
      </c>
      <c r="I130" s="199">
        <f>'תקציב החברה לפיתוח 2020'!I40</f>
        <v>0</v>
      </c>
      <c r="J130" s="199">
        <f>'תקציב החברה לפיתוח 2020'!J40</f>
        <v>0</v>
      </c>
      <c r="K130" s="199">
        <f>'תקציב החברה לפיתוח 2020'!K40</f>
        <v>0</v>
      </c>
      <c r="L130" s="199">
        <f>'תקציב החברה לפיתוח 2020'!L40</f>
        <v>425414</v>
      </c>
      <c r="M130" s="199">
        <f>'תקציב החברה לפיתוח 2020'!M40</f>
        <v>74586</v>
      </c>
      <c r="N130" s="199">
        <f>'תקציב החברה לפיתוח 2020'!N40</f>
        <v>0</v>
      </c>
      <c r="O130" s="199">
        <f>'תקציב החברה לפיתוח 2020'!O40</f>
        <v>0</v>
      </c>
      <c r="P130" s="199">
        <f>'תקציב החברה לפיתוח 2020'!P40</f>
        <v>74586</v>
      </c>
      <c r="Q130" s="199">
        <f>'תקציב החברה לפיתוח 2020'!Q40</f>
        <v>0</v>
      </c>
      <c r="R130" s="199">
        <f>'תקציב החברה לפיתוח 2020'!R40</f>
        <v>0</v>
      </c>
      <c r="S130" s="199">
        <f>'תקציב החברה לפיתוח 2020'!S40</f>
        <v>0</v>
      </c>
      <c r="T130" s="199">
        <f>'תקציב החברה לפיתוח 2020'!T40</f>
        <v>0</v>
      </c>
      <c r="U130" s="199">
        <f>'תקציב החברה לפיתוח 2020'!U40</f>
        <v>0</v>
      </c>
      <c r="V130" s="199">
        <f>'תקציב החברה לפיתוח 2020'!V40</f>
        <v>0</v>
      </c>
      <c r="W130" s="199">
        <f>'תקציב החברה לפיתוח 2020'!W40</f>
        <v>0</v>
      </c>
      <c r="X130" s="199">
        <f>'תקציב החברה לפיתוח 2020'!X40</f>
        <v>0</v>
      </c>
      <c r="Y130" s="199">
        <f>'תקציב החברה לפיתוח 2020'!Y40</f>
        <v>0</v>
      </c>
      <c r="Z130" s="199">
        <f>'תקציב החברה לפיתוח 2020'!Z40</f>
        <v>0</v>
      </c>
      <c r="AA130" s="341" t="str">
        <f>'תקציב החברה לפיתוח 2020'!AA40</f>
        <v>ממתין לחן סופי.</v>
      </c>
      <c r="AB130" s="707">
        <f>'תקציב החברה לפיתוח 2020'!AB40</f>
        <v>930000</v>
      </c>
      <c r="AE130" s="624"/>
      <c r="AF130" s="627"/>
      <c r="AI130" s="202"/>
      <c r="AJ130" s="202"/>
      <c r="AK130" s="202"/>
      <c r="AL130" s="202"/>
      <c r="AM130" s="202"/>
    </row>
    <row r="131" spans="1:39">
      <c r="A131" s="198">
        <f>A130+1</f>
        <v>115</v>
      </c>
      <c r="B131" s="707">
        <f>'תקציב החברה לפיתוח 2020'!B47</f>
        <v>1903</v>
      </c>
      <c r="C131" s="341" t="str">
        <f>'תקציב החברה לפיתוח 2020'!C47</f>
        <v>שיפוץ חניון לב העיר</v>
      </c>
      <c r="D131" s="199">
        <f>'תקציב החברה לפיתוח 2020'!D47</f>
        <v>1700000</v>
      </c>
      <c r="E131" s="199">
        <f>'תקציב החברה לפיתוח 2020'!E47</f>
        <v>1700000</v>
      </c>
      <c r="F131" s="199">
        <f>'תקציב החברה לפיתוח 2020'!F47</f>
        <v>0</v>
      </c>
      <c r="G131" s="199">
        <f>'תקציב החברה לפיתוח 2020'!G47</f>
        <v>1700000</v>
      </c>
      <c r="H131" s="199">
        <f>'תקציב החברה לפיתוח 2020'!H47</f>
        <v>1626667</v>
      </c>
      <c r="I131" s="199">
        <f>'תקציב החברה לפיתוח 2020'!I47</f>
        <v>0</v>
      </c>
      <c r="J131" s="199">
        <f>'תקציב החברה לפיתוח 2020'!J47</f>
        <v>64998.18</v>
      </c>
      <c r="K131" s="199">
        <f>'תקציב החברה לפיתוח 2020'!K47</f>
        <v>64998.18</v>
      </c>
      <c r="L131" s="199">
        <f>'תקציב החברה לפיתוח 2020'!L47</f>
        <v>1691665.18</v>
      </c>
      <c r="M131" s="199">
        <f>'תקציב החברה לפיתוח 2020'!M47</f>
        <v>8334.8200000000652</v>
      </c>
      <c r="N131" s="199">
        <f>'תקציב החברה לפיתוח 2020'!N47</f>
        <v>0</v>
      </c>
      <c r="O131" s="199">
        <f>'תקציב החברה לפיתוח 2020'!O47</f>
        <v>0</v>
      </c>
      <c r="P131" s="199">
        <f>'תקציב החברה לפיתוח 2020'!P47</f>
        <v>8334.8200000000652</v>
      </c>
      <c r="Q131" s="199">
        <f>'תקציב החברה לפיתוח 2020'!Q47</f>
        <v>0</v>
      </c>
      <c r="R131" s="199">
        <f>'תקציב החברה לפיתוח 2020'!R47</f>
        <v>0</v>
      </c>
      <c r="S131" s="199">
        <f>'תקציב החברה לפיתוח 2020'!S47</f>
        <v>0</v>
      </c>
      <c r="T131" s="199">
        <f>'תקציב החברה לפיתוח 2020'!T47</f>
        <v>0</v>
      </c>
      <c r="U131" s="199">
        <f>'תקציב החברה לפיתוח 2020'!U47</f>
        <v>0</v>
      </c>
      <c r="V131" s="199">
        <f>'תקציב החברה לפיתוח 2020'!V47</f>
        <v>0</v>
      </c>
      <c r="W131" s="199">
        <f>'תקציב החברה לפיתוח 2020'!W47</f>
        <v>0</v>
      </c>
      <c r="X131" s="199">
        <f>'תקציב החברה לפיתוח 2020'!X47</f>
        <v>0</v>
      </c>
      <c r="Y131" s="199">
        <f>'תקציב החברה לפיתוח 2020'!Y47</f>
        <v>0</v>
      </c>
      <c r="Z131" s="199">
        <f>'תקציב החברה לפיתוח 2020'!Z47</f>
        <v>0</v>
      </c>
      <c r="AA131" s="341" t="str">
        <f>'תקציב החברה לפיתוח 2020'!AA47</f>
        <v>חן סופיים.</v>
      </c>
      <c r="AB131" s="707">
        <f>'תקציב החברה לפיתוח 2020'!AB47</f>
        <v>930000</v>
      </c>
      <c r="AE131" s="624"/>
      <c r="AF131" s="627"/>
    </row>
    <row r="132" spans="1:39" s="428" customFormat="1">
      <c r="A132" s="339"/>
      <c r="B132" s="779"/>
      <c r="C132" s="778" t="s">
        <v>696</v>
      </c>
      <c r="D132" s="439">
        <f>SUM(D129:D131)</f>
        <v>111700000</v>
      </c>
      <c r="E132" s="439">
        <f t="shared" ref="E132:AA132" si="16">SUM(E129:E131)</f>
        <v>111700000</v>
      </c>
      <c r="F132" s="439">
        <f t="shared" si="16"/>
        <v>0</v>
      </c>
      <c r="G132" s="439">
        <f t="shared" si="16"/>
        <v>111700000</v>
      </c>
      <c r="H132" s="439">
        <f t="shared" si="16"/>
        <v>105196158.06999999</v>
      </c>
      <c r="I132" s="439">
        <f t="shared" si="16"/>
        <v>0</v>
      </c>
      <c r="J132" s="439">
        <f t="shared" si="16"/>
        <v>4898908.8499999996</v>
      </c>
      <c r="K132" s="439">
        <f t="shared" si="16"/>
        <v>4898908.8499999996</v>
      </c>
      <c r="L132" s="439">
        <f t="shared" si="16"/>
        <v>110095066.92</v>
      </c>
      <c r="M132" s="439">
        <f t="shared" si="16"/>
        <v>1604933.0800000054</v>
      </c>
      <c r="N132" s="439">
        <f t="shared" si="16"/>
        <v>0</v>
      </c>
      <c r="O132" s="439">
        <f t="shared" si="16"/>
        <v>0</v>
      </c>
      <c r="P132" s="439">
        <f t="shared" si="16"/>
        <v>1604933.0800000054</v>
      </c>
      <c r="Q132" s="439">
        <f t="shared" si="16"/>
        <v>0</v>
      </c>
      <c r="R132" s="439">
        <f t="shared" si="16"/>
        <v>0</v>
      </c>
      <c r="S132" s="439">
        <f t="shared" si="16"/>
        <v>0</v>
      </c>
      <c r="T132" s="439">
        <f t="shared" si="16"/>
        <v>0</v>
      </c>
      <c r="U132" s="439">
        <f t="shared" si="16"/>
        <v>0</v>
      </c>
      <c r="V132" s="439">
        <f t="shared" si="16"/>
        <v>0</v>
      </c>
      <c r="W132" s="439">
        <f t="shared" si="16"/>
        <v>0</v>
      </c>
      <c r="X132" s="439">
        <f t="shared" si="16"/>
        <v>0</v>
      </c>
      <c r="Y132" s="439">
        <f t="shared" si="16"/>
        <v>0</v>
      </c>
      <c r="Z132" s="439">
        <f t="shared" si="16"/>
        <v>0</v>
      </c>
      <c r="AA132" s="439">
        <f t="shared" si="16"/>
        <v>0</v>
      </c>
      <c r="AB132" s="727"/>
      <c r="AE132" s="728"/>
      <c r="AF132" s="729"/>
      <c r="AG132" s="414"/>
      <c r="AH132" s="414"/>
    </row>
    <row r="133" spans="1:39">
      <c r="A133" s="204"/>
      <c r="B133" s="771"/>
      <c r="C133" s="221" t="s">
        <v>279</v>
      </c>
      <c r="D133" s="206">
        <f>D132+D128+D126+D122+D120+D117+D98+D74+D72+D70+D67+D14</f>
        <v>2883587813</v>
      </c>
      <c r="E133" s="206">
        <f t="shared" ref="E133:Z133" si="17">E132+E128+E126+E122+E120+E117+E98+E74+E72+E70+E67+E14</f>
        <v>2584196125</v>
      </c>
      <c r="F133" s="206">
        <f t="shared" si="17"/>
        <v>299391688</v>
      </c>
      <c r="G133" s="206">
        <f t="shared" si="17"/>
        <v>1117399039</v>
      </c>
      <c r="H133" s="206">
        <f t="shared" si="17"/>
        <v>883164396.77999997</v>
      </c>
      <c r="I133" s="206">
        <f t="shared" si="17"/>
        <v>2075146.81</v>
      </c>
      <c r="J133" s="206">
        <f t="shared" si="17"/>
        <v>53985715.510000005</v>
      </c>
      <c r="K133" s="206">
        <f t="shared" si="17"/>
        <v>56060862.320000008</v>
      </c>
      <c r="L133" s="206">
        <f t="shared" si="17"/>
        <v>939225259.10000002</v>
      </c>
      <c r="M133" s="206">
        <f t="shared" si="17"/>
        <v>324021030.90000004</v>
      </c>
      <c r="N133" s="206">
        <f t="shared" si="17"/>
        <v>386960033</v>
      </c>
      <c r="O133" s="206">
        <f t="shared" si="17"/>
        <v>1233381490</v>
      </c>
      <c r="P133" s="206">
        <f t="shared" si="17"/>
        <v>178173779.89999998</v>
      </c>
      <c r="Q133" s="206">
        <f t="shared" si="17"/>
        <v>191897251</v>
      </c>
      <c r="R133" s="206">
        <f t="shared" si="17"/>
        <v>3060000</v>
      </c>
      <c r="S133" s="206">
        <f t="shared" si="17"/>
        <v>194957251</v>
      </c>
      <c r="T133" s="206">
        <f t="shared" si="17"/>
        <v>49110000</v>
      </c>
      <c r="U133" s="206">
        <f t="shared" si="17"/>
        <v>337850033</v>
      </c>
      <c r="V133" s="206">
        <f t="shared" si="17"/>
        <v>135490880</v>
      </c>
      <c r="W133" s="206">
        <f t="shared" si="17"/>
        <v>500000</v>
      </c>
      <c r="X133" s="206">
        <f t="shared" si="17"/>
        <v>0</v>
      </c>
      <c r="Y133" s="206">
        <f t="shared" si="17"/>
        <v>100433357</v>
      </c>
      <c r="Z133" s="206">
        <f t="shared" si="17"/>
        <v>101425796</v>
      </c>
      <c r="AA133" s="194">
        <f>SUM(AA22:AA99)</f>
        <v>0</v>
      </c>
      <c r="AB133" s="707"/>
      <c r="AE133" s="624"/>
      <c r="AF133" s="624"/>
      <c r="AI133" s="346"/>
      <c r="AJ133" s="346"/>
      <c r="AK133" s="205"/>
      <c r="AL133" s="346"/>
      <c r="AM133" s="346"/>
    </row>
    <row r="134" spans="1:39">
      <c r="B134" s="772"/>
      <c r="D134" s="213"/>
      <c r="E134" s="213"/>
      <c r="F134" s="213"/>
      <c r="G134" s="213"/>
      <c r="H134" s="213"/>
      <c r="I134" s="213"/>
      <c r="J134" s="213"/>
      <c r="K134" s="213"/>
      <c r="L134" s="22">
        <f>H133+K133</f>
        <v>939225259.10000002</v>
      </c>
      <c r="M134" s="22">
        <f>P134+S133-T133</f>
        <v>324021030.89999998</v>
      </c>
      <c r="N134" s="213"/>
      <c r="O134" s="213"/>
      <c r="P134" s="22">
        <f>G133-L134</f>
        <v>178173779.89999998</v>
      </c>
      <c r="Q134" s="213"/>
      <c r="R134" s="213"/>
      <c r="S134" s="213"/>
      <c r="U134" s="22">
        <f>N133-T133</f>
        <v>337850033</v>
      </c>
      <c r="V134" s="216"/>
      <c r="W134" s="216"/>
      <c r="X134" s="216"/>
      <c r="AA134" s="398"/>
      <c r="AB134" s="210"/>
    </row>
    <row r="135" spans="1:39">
      <c r="C135" s="768"/>
      <c r="D135" s="349"/>
      <c r="E135" s="349"/>
      <c r="F135" s="349"/>
      <c r="G135" s="349"/>
      <c r="H135" s="349"/>
      <c r="I135" s="349"/>
      <c r="J135" s="349"/>
      <c r="K135" s="349"/>
      <c r="L135" s="349"/>
      <c r="M135" s="349"/>
      <c r="N135" s="348"/>
      <c r="O135" s="348"/>
      <c r="P135" s="349"/>
      <c r="Q135" s="349"/>
      <c r="R135" s="349"/>
      <c r="S135" s="349"/>
      <c r="W135" s="192"/>
      <c r="X135" s="192"/>
    </row>
    <row r="136" spans="1:39">
      <c r="F136" s="349"/>
      <c r="G136" s="349"/>
      <c r="H136" s="349"/>
      <c r="I136" s="349"/>
      <c r="J136" s="349"/>
      <c r="K136" s="349"/>
      <c r="L136" s="349"/>
      <c r="M136" s="349"/>
      <c r="N136" s="349"/>
      <c r="O136" s="349"/>
      <c r="P136" s="349"/>
      <c r="Q136" s="349"/>
      <c r="R136" s="348"/>
      <c r="S136" s="349"/>
      <c r="T136" s="349"/>
    </row>
    <row r="137" spans="1:39">
      <c r="F137" s="349"/>
      <c r="G137" s="349"/>
      <c r="H137" s="349"/>
      <c r="I137" s="349"/>
      <c r="J137" s="349"/>
      <c r="K137" s="349"/>
      <c r="L137" s="349"/>
      <c r="M137" s="349"/>
      <c r="N137" s="349"/>
      <c r="O137" s="349"/>
      <c r="P137" s="349"/>
      <c r="Q137" s="349"/>
      <c r="R137" s="348"/>
      <c r="S137" s="349"/>
      <c r="T137" s="349"/>
    </row>
    <row r="138" spans="1:39">
      <c r="F138" s="349"/>
      <c r="G138" s="349"/>
      <c r="H138" s="349"/>
      <c r="I138" s="349"/>
      <c r="J138" s="349"/>
      <c r="K138" s="349"/>
      <c r="L138" s="349"/>
      <c r="M138" s="349"/>
      <c r="N138" s="349"/>
      <c r="O138" s="349"/>
      <c r="P138" s="349"/>
      <c r="Q138" s="349"/>
      <c r="R138" s="348"/>
      <c r="S138" s="349"/>
      <c r="T138" s="349"/>
    </row>
    <row r="139" spans="1:39">
      <c r="F139" s="349"/>
      <c r="G139" s="349"/>
      <c r="H139" s="349"/>
      <c r="I139" s="349"/>
      <c r="J139" s="349"/>
      <c r="K139" s="349"/>
      <c r="L139" s="349"/>
      <c r="M139" s="349"/>
      <c r="N139" s="349"/>
      <c r="O139" s="349"/>
      <c r="P139" s="349"/>
      <c r="Q139" s="349"/>
      <c r="R139" s="349"/>
      <c r="S139" s="349"/>
      <c r="T139" s="349"/>
    </row>
    <row r="140" spans="1:39">
      <c r="F140" s="349"/>
      <c r="G140" s="349"/>
      <c r="H140" s="349"/>
      <c r="I140" s="349"/>
      <c r="J140" s="349"/>
      <c r="K140" s="349"/>
      <c r="L140" s="349"/>
      <c r="M140" s="349"/>
      <c r="N140" s="349"/>
      <c r="O140" s="349"/>
      <c r="P140" s="349"/>
      <c r="Q140" s="349"/>
      <c r="R140" s="350"/>
      <c r="S140" s="349"/>
      <c r="T140" s="349"/>
    </row>
    <row r="141" spans="1:39">
      <c r="F141" s="349"/>
      <c r="G141" s="349"/>
      <c r="H141" s="349"/>
      <c r="I141" s="349"/>
      <c r="J141" s="349"/>
      <c r="K141" s="349"/>
      <c r="L141" s="349"/>
      <c r="M141" s="349"/>
      <c r="N141" s="349"/>
      <c r="O141" s="349"/>
      <c r="P141" s="349"/>
      <c r="Q141" s="349"/>
      <c r="R141" s="349"/>
      <c r="S141" s="349"/>
      <c r="T141" s="349"/>
    </row>
    <row r="142" spans="1:39">
      <c r="F142" s="349"/>
      <c r="G142" s="349"/>
      <c r="H142" s="349"/>
      <c r="I142" s="349"/>
      <c r="J142" s="349"/>
      <c r="K142" s="349"/>
      <c r="L142" s="349"/>
      <c r="M142" s="349"/>
      <c r="N142" s="349"/>
      <c r="O142" s="349"/>
      <c r="P142" s="349"/>
      <c r="Q142" s="349"/>
      <c r="R142" s="349"/>
      <c r="S142" s="349"/>
      <c r="T142" s="349"/>
    </row>
    <row r="143" spans="1:39">
      <c r="F143" s="349"/>
      <c r="G143" s="349"/>
      <c r="H143" s="349"/>
      <c r="I143" s="349"/>
      <c r="J143" s="349"/>
      <c r="K143" s="349"/>
      <c r="L143" s="349"/>
      <c r="M143" s="349"/>
      <c r="N143" s="349"/>
      <c r="O143" s="349"/>
      <c r="P143" s="349"/>
      <c r="Q143" s="349"/>
      <c r="R143" s="349"/>
      <c r="S143" s="349"/>
      <c r="T143" s="349"/>
    </row>
    <row r="144" spans="1:39">
      <c r="F144" s="349"/>
      <c r="G144" s="349"/>
      <c r="H144" s="349"/>
      <c r="I144" s="349"/>
      <c r="J144" s="349"/>
      <c r="K144" s="349"/>
      <c r="L144" s="349"/>
      <c r="M144" s="349"/>
      <c r="N144" s="349"/>
      <c r="O144" s="349"/>
      <c r="P144" s="349"/>
      <c r="Q144" s="205"/>
      <c r="R144" s="349"/>
      <c r="S144" s="349"/>
      <c r="T144" s="349"/>
    </row>
    <row r="145" spans="6:20">
      <c r="F145" s="349"/>
      <c r="G145" s="349"/>
      <c r="H145" s="349"/>
      <c r="I145" s="349"/>
      <c r="J145" s="349"/>
      <c r="K145" s="349"/>
      <c r="L145" s="349"/>
      <c r="M145" s="349"/>
      <c r="N145" s="349"/>
      <c r="O145" s="349"/>
      <c r="P145" s="349"/>
      <c r="Q145" s="349"/>
      <c r="R145" s="349"/>
      <c r="S145" s="349"/>
      <c r="T145" s="349"/>
    </row>
    <row r="146" spans="6:20">
      <c r="F146" s="349"/>
      <c r="G146" s="349"/>
      <c r="H146" s="349"/>
      <c r="I146" s="349"/>
      <c r="J146" s="349"/>
      <c r="K146" s="349"/>
      <c r="L146" s="349"/>
      <c r="M146" s="349"/>
      <c r="N146" s="349"/>
      <c r="O146" s="349"/>
      <c r="P146" s="349"/>
      <c r="Q146" s="349"/>
      <c r="R146" s="349"/>
      <c r="S146" s="349"/>
      <c r="T146" s="349"/>
    </row>
    <row r="147" spans="6:20">
      <c r="F147" s="349"/>
      <c r="G147" s="349"/>
      <c r="H147" s="349"/>
      <c r="I147" s="349"/>
      <c r="J147" s="349"/>
      <c r="K147" s="349"/>
      <c r="L147" s="349"/>
      <c r="M147" s="349"/>
      <c r="N147" s="349"/>
      <c r="O147" s="349"/>
      <c r="P147" s="349"/>
      <c r="Q147" s="349"/>
      <c r="R147" s="349"/>
      <c r="S147" s="349"/>
      <c r="T147" s="349"/>
    </row>
    <row r="148" spans="6:20">
      <c r="F148" s="349"/>
      <c r="G148" s="349"/>
      <c r="H148" s="349"/>
      <c r="I148" s="349"/>
      <c r="J148" s="349"/>
      <c r="K148" s="349"/>
      <c r="L148" s="349"/>
      <c r="M148" s="349"/>
      <c r="N148" s="349"/>
      <c r="O148" s="349"/>
      <c r="P148" s="349"/>
      <c r="Q148" s="349"/>
      <c r="R148" s="205"/>
      <c r="S148" s="349"/>
      <c r="T148" s="349"/>
    </row>
    <row r="149" spans="6:20">
      <c r="F149" s="349"/>
      <c r="G149" s="349"/>
      <c r="H149" s="349"/>
      <c r="I149" s="349"/>
      <c r="J149" s="349"/>
      <c r="K149" s="349"/>
      <c r="L149" s="349"/>
      <c r="M149" s="349"/>
      <c r="N149" s="349"/>
      <c r="O149" s="349"/>
      <c r="P149" s="349"/>
      <c r="Q149" s="349"/>
      <c r="R149" s="349"/>
      <c r="S149" s="349"/>
      <c r="T149" s="349"/>
    </row>
    <row r="150" spans="6:20">
      <c r="F150" s="349"/>
      <c r="G150" s="349"/>
      <c r="H150" s="349"/>
      <c r="I150" s="349"/>
      <c r="J150" s="349"/>
      <c r="K150" s="349"/>
      <c r="L150" s="349"/>
      <c r="M150" s="349"/>
      <c r="N150" s="349"/>
      <c r="O150" s="349"/>
      <c r="P150" s="349"/>
      <c r="Q150" s="349"/>
      <c r="R150" s="349"/>
      <c r="S150" s="349"/>
      <c r="T150" s="349"/>
    </row>
    <row r="151" spans="6:20">
      <c r="F151" s="349"/>
      <c r="G151" s="349"/>
      <c r="H151" s="349"/>
      <c r="I151" s="349"/>
      <c r="J151" s="349"/>
      <c r="K151" s="349"/>
      <c r="L151" s="349"/>
      <c r="M151" s="349"/>
      <c r="N151" s="349"/>
      <c r="O151" s="349"/>
      <c r="P151" s="349"/>
      <c r="Q151" s="349"/>
      <c r="R151" s="349"/>
      <c r="S151" s="349"/>
      <c r="T151" s="349"/>
    </row>
    <row r="152" spans="6:20">
      <c r="F152" s="349"/>
      <c r="G152" s="349"/>
      <c r="H152" s="349"/>
      <c r="I152" s="349"/>
      <c r="J152" s="349"/>
      <c r="K152" s="349"/>
      <c r="L152" s="349"/>
      <c r="M152" s="349"/>
      <c r="N152" s="349"/>
      <c r="O152" s="349"/>
      <c r="P152" s="349"/>
      <c r="Q152" s="349"/>
      <c r="R152" s="349"/>
      <c r="S152" s="349"/>
      <c r="T152" s="349"/>
    </row>
  </sheetData>
  <sheetProtection formatCells="0" formatColumns="0" formatRows="0" insertColumns="0" insertRows="0" insertHyperlinks="0" deleteColumns="0" deleteRows="0" sort="0" autoFilter="0" pivotTables="0"/>
  <sortState ref="A6:AM125">
    <sortCondition ref="AB6:AB125"/>
  </sortState>
  <conditionalFormatting sqref="AA4">
    <cfRule type="cellIs" dxfId="31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rightToLeft="1" tabSelected="1" zoomScaleNormal="100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8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2" spans="1:17" ht="21">
      <c r="E2" s="275"/>
    </row>
    <row r="3" spans="1:17" ht="21">
      <c r="A3" s="273"/>
      <c r="C3" s="275" t="s">
        <v>229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1339</v>
      </c>
      <c r="D5" s="273"/>
      <c r="E5" s="273"/>
      <c r="F5" s="277">
        <f>'תקציב אגף ת.ב.ל 2020 '!U65</f>
        <v>54061300</v>
      </c>
      <c r="I5" s="273"/>
      <c r="J5" s="273"/>
      <c r="K5" s="273"/>
      <c r="L5" s="273"/>
    </row>
    <row r="6" spans="1:17" ht="15" customHeight="1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375</v>
      </c>
      <c r="D7" s="273"/>
      <c r="F7" s="285">
        <f>'תקציב אגף ת.ב.ל 2020 '!A65</f>
        <v>59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6" t="s">
        <v>366</v>
      </c>
      <c r="E11" s="287" t="s">
        <v>367</v>
      </c>
      <c r="F11" s="288" t="s">
        <v>369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80" t="s">
        <v>13</v>
      </c>
      <c r="E12" s="289">
        <f>'תקציב אגף ת.ב.ל 2020 '!V65</f>
        <v>18950000</v>
      </c>
      <c r="F12" s="319">
        <f>E12/$E$15</f>
        <v>0.35052801172002895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276"/>
      <c r="D13" s="280" t="s">
        <v>14</v>
      </c>
      <c r="E13" s="289">
        <f>'תקציב אגף ת.ב.ל 2020 '!W65</f>
        <v>23900000</v>
      </c>
      <c r="F13" s="319">
        <f>E13/$E$15</f>
        <v>0.4420907377366064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C14" s="276"/>
      <c r="D14" s="280" t="s">
        <v>105</v>
      </c>
      <c r="E14" s="289">
        <f>'תקציב אגף ת.ב.ל 2020 '!Z65</f>
        <v>11211300</v>
      </c>
      <c r="F14" s="319">
        <f>E14/$E$15</f>
        <v>0.20738125054336468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6.2" thickBot="1">
      <c r="C15" s="276"/>
      <c r="D15" s="283" t="s">
        <v>120</v>
      </c>
      <c r="E15" s="291">
        <f>SUM(E12:E14)</f>
        <v>54061300</v>
      </c>
      <c r="F15" s="433">
        <f>SUM(F12:F14)</f>
        <v>1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B16" s="276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5.6">
      <c r="C17" s="276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s="418" customFormat="1" ht="15.6">
      <c r="C18" s="420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</row>
    <row r="19" spans="1:17" s="418" customFormat="1" ht="15.6">
      <c r="A19" s="417"/>
      <c r="B19" s="417"/>
      <c r="C19" s="417"/>
      <c r="D19" s="417"/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  <c r="Q19" s="417"/>
    </row>
    <row r="20" spans="1:17" s="418" customFormat="1" ht="15.6">
      <c r="A20" s="417"/>
      <c r="B20" s="417"/>
      <c r="C20" s="417"/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</row>
    <row r="21" spans="1:17" ht="15.6">
      <c r="A21" s="284"/>
      <c r="B21" s="299"/>
    </row>
    <row r="22" spans="1:17" ht="15.6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</row>
    <row r="23" spans="1:17" s="454" customFormat="1" ht="15.6">
      <c r="C23" s="455" t="s">
        <v>227</v>
      </c>
      <c r="D23" s="456" t="s">
        <v>1397</v>
      </c>
      <c r="E23" s="456"/>
      <c r="F23" s="456"/>
      <c r="G23" s="456"/>
      <c r="H23" s="456"/>
      <c r="I23" s="456"/>
      <c r="J23" s="456"/>
      <c r="K23" s="456"/>
      <c r="L23" s="456"/>
      <c r="M23" s="456"/>
      <c r="N23" s="456"/>
      <c r="O23" s="456"/>
      <c r="P23" s="456"/>
      <c r="Q23" s="456"/>
    </row>
    <row r="24" spans="1:17" ht="15.6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</row>
    <row r="25" spans="1:17" ht="15.6">
      <c r="C25" s="273"/>
      <c r="D25" s="273"/>
      <c r="E25" s="273"/>
      <c r="F25" s="273"/>
      <c r="H25" s="273"/>
      <c r="I25" s="273"/>
      <c r="J25" s="273"/>
      <c r="K25" s="273"/>
      <c r="L25" s="273"/>
    </row>
    <row r="26" spans="1:17" ht="15.6">
      <c r="B26" s="276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rightToLeft="1" tabSelected="1" topLeftCell="A13" zoomScaleNormal="100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8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2" spans="1:17" ht="21">
      <c r="E2" s="275"/>
    </row>
    <row r="3" spans="1:17" ht="21">
      <c r="A3" s="273"/>
      <c r="C3" s="275" t="s">
        <v>229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B5" s="276" t="s">
        <v>227</v>
      </c>
      <c r="C5" s="273" t="s">
        <v>924</v>
      </c>
      <c r="D5" s="273"/>
      <c r="E5" s="273"/>
      <c r="F5" s="273"/>
      <c r="H5" s="282"/>
      <c r="I5" s="273"/>
      <c r="J5" s="273"/>
      <c r="K5" s="273"/>
      <c r="L5" s="273"/>
      <c r="M5" s="273"/>
      <c r="N5" s="273"/>
      <c r="O5" s="273"/>
      <c r="P5" s="273"/>
      <c r="Q5" s="273"/>
    </row>
    <row r="6" spans="1:17" ht="16.2" thickBot="1">
      <c r="C6" s="273"/>
      <c r="D6" s="273"/>
      <c r="E6" s="273"/>
      <c r="F6" s="273"/>
      <c r="H6" s="273"/>
      <c r="I6" s="273"/>
      <c r="J6" s="273"/>
      <c r="K6" s="273"/>
      <c r="L6" s="273"/>
    </row>
    <row r="7" spans="1:17" ht="15.6">
      <c r="D7" s="286" t="s">
        <v>370</v>
      </c>
      <c r="E7" s="278" t="s">
        <v>367</v>
      </c>
      <c r="F7" s="279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C8" s="276"/>
      <c r="D8" s="473" t="s">
        <v>706</v>
      </c>
      <c r="E8" s="281">
        <f>'תקציב אגף ת.ב.ל 2020 '!U40</f>
        <v>17501300</v>
      </c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C9" s="276"/>
      <c r="D9" s="293" t="s">
        <v>385</v>
      </c>
      <c r="E9" s="294">
        <f>'תקציב אגף ת.ב.ל 2020 '!U44</f>
        <v>8000000</v>
      </c>
      <c r="F9" s="282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C10" s="276"/>
      <c r="D10" s="293" t="s">
        <v>1434</v>
      </c>
      <c r="E10" s="294">
        <f>'תקציב אגף ת.ב.ל 2020 '!U60+'תקציב אגף ת.ב.ל 2020 '!U55</f>
        <v>6980000</v>
      </c>
      <c r="F10" s="282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C11" s="276"/>
      <c r="D11" s="293" t="s">
        <v>705</v>
      </c>
      <c r="E11" s="294">
        <f>'תקציב אגף ת.ב.ל 2020 '!U37</f>
        <v>5230000</v>
      </c>
      <c r="F11" s="282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98" t="s">
        <v>857</v>
      </c>
      <c r="E12" s="294">
        <f>'תקציב אגף ת.ב.ל 2020 '!U39</f>
        <v>5000000</v>
      </c>
      <c r="F12" s="282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6.2" thickBot="1">
      <c r="C13" s="276"/>
      <c r="D13" s="295" t="s">
        <v>886</v>
      </c>
      <c r="E13" s="296">
        <f>'תקציב אגף ת.ב.ל 2020 '!U14</f>
        <v>3500000</v>
      </c>
      <c r="F13" s="282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B14" s="276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B15" s="276"/>
      <c r="C15" s="273"/>
      <c r="D15" s="445" t="s">
        <v>708</v>
      </c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A16" s="284"/>
      <c r="B16" s="299"/>
    </row>
    <row r="17" spans="1:17" ht="15.6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5.6">
      <c r="A18" s="273"/>
      <c r="B18" s="273"/>
      <c r="C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B19" s="276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35" spans="4:4" ht="15.6">
      <c r="D35" s="273" t="s">
        <v>709</v>
      </c>
    </row>
  </sheetData>
  <sortState ref="A8:Q13">
    <sortCondition descending="1" ref="E8:E13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3"/>
  <sheetViews>
    <sheetView showZeros="0" rightToLeft="1" tabSelected="1" zoomScaleNormal="100" workbookViewId="0">
      <pane xSplit="5" ySplit="5" topLeftCell="F58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33203125" style="37" customWidth="1"/>
    <col min="2" max="2" width="4.77734375" style="14" customWidth="1"/>
    <col min="3" max="3" width="25.5546875" style="14" customWidth="1"/>
    <col min="4" max="5" width="10" style="16" customWidth="1"/>
    <col min="6" max="6" width="9.109375" style="16" customWidth="1"/>
    <col min="7" max="8" width="10.109375" style="16" hidden="1" customWidth="1"/>
    <col min="9" max="11" width="9.109375" style="16" hidden="1" customWidth="1"/>
    <col min="12" max="12" width="10.109375" style="16" customWidth="1"/>
    <col min="13" max="14" width="9.109375" style="16" customWidth="1"/>
    <col min="15" max="15" width="9.77734375" style="16" customWidth="1"/>
    <col min="16" max="19" width="9.109375" style="16" hidden="1" customWidth="1"/>
    <col min="20" max="20" width="9.109375" style="16" customWidth="1"/>
    <col min="21" max="23" width="9.109375" style="14" customWidth="1"/>
    <col min="24" max="25" width="9.109375" style="14" hidden="1" customWidth="1"/>
    <col min="26" max="26" width="9.109375" style="14" customWidth="1"/>
    <col min="27" max="27" width="24.88671875" style="20" hidden="1" customWidth="1"/>
    <col min="28" max="28" width="7.88671875" style="14" hidden="1" customWidth="1"/>
    <col min="29" max="29" width="16.6640625" style="191" customWidth="1"/>
    <col min="30" max="30" width="10.109375" style="191" customWidth="1"/>
    <col min="31" max="31" width="9.44140625" style="31" customWidth="1"/>
    <col min="32" max="32" width="15" style="351" customWidth="1"/>
    <col min="33" max="33" width="11.44140625" style="351" customWidth="1"/>
    <col min="34" max="34" width="10.109375" style="352" customWidth="1"/>
    <col min="35" max="35" width="9.109375" style="365" customWidth="1"/>
    <col min="36" max="37" width="9.109375" style="19" customWidth="1"/>
    <col min="38" max="38" width="2.109375" style="19" customWidth="1"/>
    <col min="39" max="39" width="9.109375" style="19" customWidth="1"/>
    <col min="40" max="40" width="10.109375" style="19" customWidth="1"/>
    <col min="41" max="41" width="10.109375" style="14" customWidth="1"/>
    <col min="42" max="16384" width="9.109375" style="14"/>
  </cols>
  <sheetData>
    <row r="1" spans="1:40" s="331" customFormat="1" ht="18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2"/>
      <c r="AC1" s="191"/>
      <c r="AD1" s="191"/>
      <c r="AE1" s="31"/>
      <c r="AF1" s="353"/>
      <c r="AG1" s="354"/>
      <c r="AH1" s="355"/>
      <c r="AI1" s="355"/>
    </row>
    <row r="2" spans="1:40" s="191" customFormat="1" ht="18">
      <c r="A2" s="329" t="s">
        <v>229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210"/>
      <c r="AE2" s="31"/>
      <c r="AF2" s="353"/>
      <c r="AG2" s="354"/>
      <c r="AH2" s="355"/>
      <c r="AI2" s="355"/>
    </row>
    <row r="3" spans="1:40" ht="21.6" customHeight="1"/>
    <row r="4" spans="1:40" s="31" customFormat="1" ht="69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928</v>
      </c>
      <c r="R4" s="18" t="s">
        <v>929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628" t="s">
        <v>410</v>
      </c>
      <c r="AB4" s="18" t="s">
        <v>16</v>
      </c>
      <c r="AC4" s="191"/>
      <c r="AD4" s="191"/>
      <c r="AH4" s="352"/>
      <c r="AI4" s="356"/>
    </row>
    <row r="5" spans="1:40" s="5" customFormat="1" ht="18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191"/>
      <c r="AD5" s="191"/>
      <c r="AE5" s="31"/>
      <c r="AF5" s="351"/>
      <c r="AG5" s="351"/>
      <c r="AH5" s="352"/>
      <c r="AI5" s="357"/>
      <c r="AJ5" s="29"/>
      <c r="AK5" s="29"/>
      <c r="AL5" s="29"/>
      <c r="AM5" s="29"/>
      <c r="AN5" s="29"/>
    </row>
    <row r="6" spans="1:40" s="5" customFormat="1" ht="30" customHeight="1">
      <c r="A6" s="3">
        <v>1</v>
      </c>
      <c r="B6" s="3">
        <v>1247</v>
      </c>
      <c r="C6" s="3" t="s">
        <v>60</v>
      </c>
      <c r="D6" s="4">
        <v>9500000</v>
      </c>
      <c r="E6" s="4">
        <v>9500000</v>
      </c>
      <c r="F6" s="4">
        <f t="shared" ref="F6:F59" si="0">D6-E6</f>
        <v>0</v>
      </c>
      <c r="G6" s="4">
        <v>8850000</v>
      </c>
      <c r="H6" s="4">
        <v>8326221.0999999996</v>
      </c>
      <c r="I6" s="4">
        <v>0.68</v>
      </c>
      <c r="J6" s="4">
        <v>167329.9</v>
      </c>
      <c r="K6" s="4">
        <f>SUM(I6:J6)</f>
        <v>167330.57999999999</v>
      </c>
      <c r="L6" s="4">
        <f>K6+H6</f>
        <v>8493551.6799999997</v>
      </c>
      <c r="M6" s="4">
        <f>P6+S6</f>
        <v>356448.3200000003</v>
      </c>
      <c r="N6" s="4">
        <v>200000</v>
      </c>
      <c r="O6" s="4">
        <f>D6-L6-M6-N6</f>
        <v>450000</v>
      </c>
      <c r="P6" s="4">
        <f>G6-L6</f>
        <v>356448.3200000003</v>
      </c>
      <c r="Q6" s="4"/>
      <c r="R6" s="4"/>
      <c r="S6" s="4">
        <f>SUM(Q6:R6)</f>
        <v>0</v>
      </c>
      <c r="T6" s="4">
        <f>P6-M6+S6</f>
        <v>0</v>
      </c>
      <c r="U6" s="4">
        <f t="shared" ref="U6:U59" si="1">N6-T6</f>
        <v>200000</v>
      </c>
      <c r="V6" s="4">
        <f>U6-W6-X6-Y6-Z6</f>
        <v>0</v>
      </c>
      <c r="W6" s="4">
        <v>200000</v>
      </c>
      <c r="X6" s="4"/>
      <c r="Y6" s="4"/>
      <c r="Z6" s="3"/>
      <c r="AA6" s="3" t="s">
        <v>490</v>
      </c>
      <c r="AB6" s="3">
        <v>732000</v>
      </c>
      <c r="AC6" s="191"/>
      <c r="AD6" s="191"/>
      <c r="AE6" s="31"/>
      <c r="AF6" s="28"/>
      <c r="AG6" s="358"/>
      <c r="AH6" s="359"/>
      <c r="AI6" s="360"/>
      <c r="AJ6" s="29"/>
      <c r="AK6" s="29"/>
      <c r="AL6" s="29"/>
      <c r="AM6" s="29"/>
      <c r="AN6" s="28"/>
    </row>
    <row r="7" spans="1:40" s="5" customFormat="1" ht="30" customHeight="1">
      <c r="A7" s="3">
        <f>A6+1</f>
        <v>2</v>
      </c>
      <c r="B7" s="3">
        <v>1250</v>
      </c>
      <c r="C7" s="3" t="s">
        <v>61</v>
      </c>
      <c r="D7" s="4">
        <f>1450000+350000</f>
        <v>1800000</v>
      </c>
      <c r="E7" s="4">
        <v>1450000</v>
      </c>
      <c r="F7" s="4">
        <f t="shared" si="0"/>
        <v>350000</v>
      </c>
      <c r="G7" s="4">
        <v>1400000</v>
      </c>
      <c r="H7" s="4">
        <v>1178456.43</v>
      </c>
      <c r="I7" s="4"/>
      <c r="J7" s="4">
        <v>6276.7</v>
      </c>
      <c r="K7" s="4">
        <f t="shared" ref="K7:K59" si="2">SUM(I7:J7)</f>
        <v>6276.7</v>
      </c>
      <c r="L7" s="4">
        <f t="shared" ref="L7:L59" si="3">K7+H7</f>
        <v>1184733.1299999999</v>
      </c>
      <c r="M7" s="4">
        <f t="shared" ref="M7:M59" si="4">P7+S7</f>
        <v>215266.87000000011</v>
      </c>
      <c r="N7" s="4">
        <v>400000</v>
      </c>
      <c r="O7" s="4">
        <f t="shared" ref="O7:O59" si="5">D7-L7-M7-N7</f>
        <v>0</v>
      </c>
      <c r="P7" s="4">
        <f t="shared" ref="P7:P59" si="6">G7-L7</f>
        <v>215266.87000000011</v>
      </c>
      <c r="Q7" s="4"/>
      <c r="R7" s="4"/>
      <c r="S7" s="4">
        <f t="shared" ref="S7:S59" si="7">SUM(Q7:R7)</f>
        <v>0</v>
      </c>
      <c r="T7" s="4">
        <f t="shared" ref="T7:T59" si="8">P7-M7+S7</f>
        <v>0</v>
      </c>
      <c r="U7" s="4">
        <f t="shared" si="1"/>
        <v>400000</v>
      </c>
      <c r="V7" s="4"/>
      <c r="W7" s="4">
        <f t="shared" ref="W7:W59" si="9">U7-V7-Y7-Z7</f>
        <v>400000</v>
      </c>
      <c r="X7" s="4"/>
      <c r="Y7" s="4"/>
      <c r="Z7" s="3"/>
      <c r="AA7" s="3" t="s">
        <v>491</v>
      </c>
      <c r="AB7" s="3">
        <v>749000</v>
      </c>
      <c r="AC7" s="191"/>
      <c r="AD7" s="191"/>
      <c r="AE7" s="31"/>
      <c r="AF7" s="28"/>
      <c r="AG7" s="358"/>
      <c r="AH7" s="359"/>
      <c r="AI7" s="360"/>
      <c r="AJ7" s="29"/>
      <c r="AK7" s="29"/>
      <c r="AL7" s="29"/>
      <c r="AM7" s="29"/>
      <c r="AN7" s="28"/>
    </row>
    <row r="8" spans="1:40" s="5" customFormat="1" ht="30" customHeight="1">
      <c r="A8" s="3">
        <f t="shared" ref="A8:A59" si="10">A7+1</f>
        <v>3</v>
      </c>
      <c r="B8" s="3">
        <v>1253</v>
      </c>
      <c r="C8" s="3" t="s">
        <v>62</v>
      </c>
      <c r="D8" s="4">
        <f>4700000+500000</f>
        <v>5200000</v>
      </c>
      <c r="E8" s="4">
        <v>4700000</v>
      </c>
      <c r="F8" s="4">
        <f t="shared" si="0"/>
        <v>500000</v>
      </c>
      <c r="G8" s="4">
        <v>4700000</v>
      </c>
      <c r="H8" s="4">
        <v>4220851.32</v>
      </c>
      <c r="I8" s="4"/>
      <c r="J8" s="4">
        <v>15305.18</v>
      </c>
      <c r="K8" s="4">
        <f t="shared" si="2"/>
        <v>15305.18</v>
      </c>
      <c r="L8" s="4">
        <f t="shared" si="3"/>
        <v>4236156.5</v>
      </c>
      <c r="M8" s="4">
        <f t="shared" si="4"/>
        <v>463843.5</v>
      </c>
      <c r="N8" s="4">
        <v>500000</v>
      </c>
      <c r="O8" s="4">
        <f t="shared" si="5"/>
        <v>0</v>
      </c>
      <c r="P8" s="4">
        <f t="shared" si="6"/>
        <v>463843.5</v>
      </c>
      <c r="Q8" s="4"/>
      <c r="R8" s="4"/>
      <c r="S8" s="4">
        <f t="shared" si="7"/>
        <v>0</v>
      </c>
      <c r="T8" s="4">
        <f t="shared" si="8"/>
        <v>0</v>
      </c>
      <c r="U8" s="4">
        <f t="shared" si="1"/>
        <v>500000</v>
      </c>
      <c r="V8" s="4"/>
      <c r="W8" s="4">
        <f t="shared" si="9"/>
        <v>500000</v>
      </c>
      <c r="X8" s="4"/>
      <c r="Y8" s="4"/>
      <c r="Z8" s="3"/>
      <c r="AA8" s="3" t="s">
        <v>492</v>
      </c>
      <c r="AB8" s="3">
        <v>850000</v>
      </c>
      <c r="AC8" s="191"/>
      <c r="AD8" s="191"/>
      <c r="AE8" s="31"/>
      <c r="AF8" s="28"/>
      <c r="AG8" s="358"/>
      <c r="AH8" s="359"/>
      <c r="AI8" s="360"/>
      <c r="AJ8" s="29"/>
      <c r="AK8" s="29"/>
      <c r="AL8" s="29"/>
      <c r="AM8" s="29"/>
      <c r="AN8" s="28"/>
    </row>
    <row r="9" spans="1:40" s="5" customFormat="1" ht="30" customHeight="1">
      <c r="A9" s="3">
        <f t="shared" si="10"/>
        <v>4</v>
      </c>
      <c r="B9" s="3">
        <v>1415</v>
      </c>
      <c r="C9" s="3" t="s">
        <v>893</v>
      </c>
      <c r="D9" s="4">
        <f>1150000+50000</f>
        <v>1200000</v>
      </c>
      <c r="E9" s="4">
        <v>1150000</v>
      </c>
      <c r="F9" s="4">
        <f t="shared" si="0"/>
        <v>50000</v>
      </c>
      <c r="G9" s="4">
        <v>1100000</v>
      </c>
      <c r="H9" s="4">
        <v>1020725.93</v>
      </c>
      <c r="I9" s="4"/>
      <c r="J9" s="4">
        <v>21772.7</v>
      </c>
      <c r="K9" s="4">
        <f t="shared" si="2"/>
        <v>21772.7</v>
      </c>
      <c r="L9" s="4">
        <f t="shared" si="3"/>
        <v>1042498.63</v>
      </c>
      <c r="M9" s="4">
        <f t="shared" si="4"/>
        <v>57501.369999999995</v>
      </c>
      <c r="N9" s="4">
        <v>100000</v>
      </c>
      <c r="O9" s="4">
        <f t="shared" si="5"/>
        <v>0</v>
      </c>
      <c r="P9" s="4">
        <f t="shared" si="6"/>
        <v>57501.369999999995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100000</v>
      </c>
      <c r="V9" s="4"/>
      <c r="W9" s="4">
        <f t="shared" si="9"/>
        <v>100000</v>
      </c>
      <c r="X9" s="4"/>
      <c r="Y9" s="4"/>
      <c r="Z9" s="3"/>
      <c r="AA9" s="3" t="s">
        <v>493</v>
      </c>
      <c r="AB9" s="3">
        <v>930000</v>
      </c>
      <c r="AC9" s="191"/>
      <c r="AD9" s="191"/>
      <c r="AE9" s="31"/>
      <c r="AF9" s="28"/>
      <c r="AG9" s="358"/>
      <c r="AH9" s="359"/>
      <c r="AI9" s="360"/>
      <c r="AJ9" s="29"/>
      <c r="AK9" s="29"/>
      <c r="AL9" s="29"/>
      <c r="AM9" s="29"/>
      <c r="AN9" s="28"/>
    </row>
    <row r="10" spans="1:40" s="5" customFormat="1" ht="30" customHeight="1">
      <c r="A10" s="3">
        <f t="shared" si="10"/>
        <v>5</v>
      </c>
      <c r="B10" s="3">
        <v>1416</v>
      </c>
      <c r="C10" s="3" t="s">
        <v>136</v>
      </c>
      <c r="D10" s="4">
        <f>1700000+100000</f>
        <v>1800000</v>
      </c>
      <c r="E10" s="4">
        <v>1700000</v>
      </c>
      <c r="F10" s="4">
        <f t="shared" si="0"/>
        <v>100000</v>
      </c>
      <c r="G10" s="4">
        <v>1500000</v>
      </c>
      <c r="H10" s="4">
        <v>1421581.35</v>
      </c>
      <c r="I10" s="4"/>
      <c r="J10" s="4">
        <v>18471.29</v>
      </c>
      <c r="K10" s="4">
        <f t="shared" si="2"/>
        <v>18471.29</v>
      </c>
      <c r="L10" s="4">
        <f t="shared" si="3"/>
        <v>1440052.6400000001</v>
      </c>
      <c r="M10" s="4">
        <f t="shared" si="4"/>
        <v>59947.35999999987</v>
      </c>
      <c r="N10" s="4">
        <v>300000</v>
      </c>
      <c r="O10" s="4">
        <f t="shared" si="5"/>
        <v>0</v>
      </c>
      <c r="P10" s="4">
        <f t="shared" si="6"/>
        <v>59947.35999999987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300000</v>
      </c>
      <c r="V10" s="4"/>
      <c r="W10" s="4">
        <f t="shared" si="9"/>
        <v>300000</v>
      </c>
      <c r="X10" s="4"/>
      <c r="Y10" s="4"/>
      <c r="Z10" s="3"/>
      <c r="AA10" s="3" t="s">
        <v>494</v>
      </c>
      <c r="AB10" s="3">
        <v>930000</v>
      </c>
      <c r="AC10" s="191"/>
      <c r="AD10" s="191"/>
      <c r="AE10" s="31"/>
      <c r="AF10" s="28"/>
      <c r="AG10" s="358"/>
      <c r="AH10" s="359"/>
      <c r="AI10" s="360"/>
      <c r="AJ10" s="29"/>
      <c r="AK10" s="29"/>
      <c r="AL10" s="29"/>
      <c r="AM10" s="29"/>
      <c r="AN10" s="28"/>
    </row>
    <row r="11" spans="1:40" s="5" customFormat="1" ht="30" customHeight="1">
      <c r="A11" s="3">
        <f t="shared" si="10"/>
        <v>6</v>
      </c>
      <c r="B11" s="3">
        <v>1472</v>
      </c>
      <c r="C11" s="3" t="s">
        <v>63</v>
      </c>
      <c r="D11" s="4">
        <v>11350000</v>
      </c>
      <c r="E11" s="4">
        <v>11350000</v>
      </c>
      <c r="F11" s="4">
        <f t="shared" si="0"/>
        <v>0</v>
      </c>
      <c r="G11" s="4">
        <v>11206096</v>
      </c>
      <c r="H11" s="4">
        <v>11148927.23</v>
      </c>
      <c r="I11" s="4"/>
      <c r="J11" s="4">
        <v>26953.040000000001</v>
      </c>
      <c r="K11" s="4">
        <f t="shared" si="2"/>
        <v>26953.040000000001</v>
      </c>
      <c r="L11" s="4">
        <f t="shared" si="3"/>
        <v>11175880.27</v>
      </c>
      <c r="M11" s="4">
        <f t="shared" si="4"/>
        <v>30215.730000000447</v>
      </c>
      <c r="N11" s="4">
        <v>100000</v>
      </c>
      <c r="O11" s="4">
        <f t="shared" si="5"/>
        <v>43904</v>
      </c>
      <c r="P11" s="4">
        <f t="shared" si="6"/>
        <v>30215.730000000447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100000</v>
      </c>
      <c r="V11" s="4"/>
      <c r="W11" s="4">
        <f t="shared" si="9"/>
        <v>100000</v>
      </c>
      <c r="X11" s="4"/>
      <c r="Y11" s="4"/>
      <c r="Z11" s="3"/>
      <c r="AA11" s="3" t="s">
        <v>1467</v>
      </c>
      <c r="AB11" s="3">
        <v>810000</v>
      </c>
      <c r="AC11" s="191"/>
      <c r="AD11" s="191"/>
      <c r="AE11" s="31"/>
      <c r="AF11" s="28"/>
      <c r="AG11" s="358"/>
      <c r="AH11" s="359"/>
      <c r="AI11" s="360"/>
      <c r="AJ11" s="29"/>
      <c r="AK11" s="29"/>
      <c r="AL11" s="29"/>
      <c r="AM11" s="29"/>
      <c r="AN11" s="28"/>
    </row>
    <row r="12" spans="1:40" s="5" customFormat="1" ht="30" customHeight="1">
      <c r="A12" s="3">
        <f t="shared" si="10"/>
        <v>7</v>
      </c>
      <c r="B12" s="3">
        <v>1477</v>
      </c>
      <c r="C12" s="3" t="s">
        <v>1157</v>
      </c>
      <c r="D12" s="4">
        <v>9350000</v>
      </c>
      <c r="E12" s="4">
        <v>9350000</v>
      </c>
      <c r="F12" s="4">
        <f t="shared" si="0"/>
        <v>0</v>
      </c>
      <c r="G12" s="4">
        <v>3850000</v>
      </c>
      <c r="H12" s="4">
        <v>2167201.5699999998</v>
      </c>
      <c r="I12" s="4">
        <v>1334615.49</v>
      </c>
      <c r="J12" s="4">
        <v>29250</v>
      </c>
      <c r="K12" s="4">
        <f t="shared" si="2"/>
        <v>1363865.49</v>
      </c>
      <c r="L12" s="4">
        <f t="shared" si="3"/>
        <v>3531067.0599999996</v>
      </c>
      <c r="M12" s="4">
        <f t="shared" si="4"/>
        <v>318932.94000000041</v>
      </c>
      <c r="N12" s="4">
        <f>1600000-1000000</f>
        <v>600000</v>
      </c>
      <c r="O12" s="4">
        <f t="shared" si="5"/>
        <v>4900000</v>
      </c>
      <c r="P12" s="4">
        <f t="shared" si="6"/>
        <v>318932.94000000041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600000</v>
      </c>
      <c r="V12" s="4">
        <f>U12-W12-X12-Y12-Z12</f>
        <v>0</v>
      </c>
      <c r="W12" s="4">
        <v>600000</v>
      </c>
      <c r="X12" s="4"/>
      <c r="Y12" s="4"/>
      <c r="Z12" s="3"/>
      <c r="AA12" s="3" t="s">
        <v>1468</v>
      </c>
      <c r="AB12" s="3">
        <v>810000</v>
      </c>
      <c r="AC12" s="191"/>
      <c r="AD12" s="191"/>
      <c r="AE12" s="31"/>
      <c r="AF12" s="28"/>
      <c r="AG12" s="358"/>
      <c r="AH12" s="359"/>
      <c r="AI12" s="360"/>
      <c r="AJ12" s="29"/>
      <c r="AK12" s="29"/>
      <c r="AL12" s="29"/>
      <c r="AM12" s="29"/>
      <c r="AN12" s="28"/>
    </row>
    <row r="13" spans="1:40" s="5" customFormat="1" ht="30" customHeight="1">
      <c r="A13" s="3">
        <f t="shared" si="10"/>
        <v>8</v>
      </c>
      <c r="B13" s="3">
        <v>1483</v>
      </c>
      <c r="C13" s="3" t="s">
        <v>64</v>
      </c>
      <c r="D13" s="4">
        <v>2700000</v>
      </c>
      <c r="E13" s="4">
        <v>2700000</v>
      </c>
      <c r="F13" s="4">
        <f t="shared" si="0"/>
        <v>0</v>
      </c>
      <c r="G13" s="4">
        <v>2100000</v>
      </c>
      <c r="H13" s="4">
        <v>1550290.95</v>
      </c>
      <c r="I13" s="4"/>
      <c r="J13" s="4">
        <v>427232.56</v>
      </c>
      <c r="K13" s="4">
        <f t="shared" si="2"/>
        <v>427232.56</v>
      </c>
      <c r="L13" s="4">
        <f t="shared" si="3"/>
        <v>1977523.51</v>
      </c>
      <c r="M13" s="4">
        <f t="shared" si="4"/>
        <v>122476.48999999999</v>
      </c>
      <c r="N13" s="4"/>
      <c r="O13" s="4">
        <f t="shared" si="5"/>
        <v>600000</v>
      </c>
      <c r="P13" s="4">
        <f t="shared" si="6"/>
        <v>122476.48999999999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0</v>
      </c>
      <c r="V13" s="4"/>
      <c r="W13" s="4">
        <f t="shared" si="9"/>
        <v>0</v>
      </c>
      <c r="X13" s="4"/>
      <c r="Y13" s="4"/>
      <c r="Z13" s="3"/>
      <c r="AA13" s="3" t="s">
        <v>497</v>
      </c>
      <c r="AB13" s="3">
        <v>812000</v>
      </c>
      <c r="AC13" s="191"/>
      <c r="AD13" s="191"/>
      <c r="AE13" s="31"/>
      <c r="AF13" s="28"/>
      <c r="AG13" s="358"/>
      <c r="AH13" s="359"/>
      <c r="AI13" s="360"/>
      <c r="AJ13" s="29"/>
      <c r="AK13" s="29"/>
      <c r="AL13" s="29"/>
      <c r="AM13" s="29"/>
      <c r="AN13" s="28"/>
    </row>
    <row r="14" spans="1:40" s="5" customFormat="1" ht="30" customHeight="1">
      <c r="A14" s="3">
        <f t="shared" si="10"/>
        <v>9</v>
      </c>
      <c r="B14" s="3">
        <v>1489</v>
      </c>
      <c r="C14" s="3" t="s">
        <v>498</v>
      </c>
      <c r="D14" s="4">
        <f>46200000+2300000</f>
        <v>48500000</v>
      </c>
      <c r="E14" s="4">
        <v>46200000</v>
      </c>
      <c r="F14" s="4">
        <f t="shared" si="0"/>
        <v>2300000</v>
      </c>
      <c r="G14" s="4">
        <v>43900000</v>
      </c>
      <c r="H14" s="4">
        <v>37910141.090000004</v>
      </c>
      <c r="I14" s="4"/>
      <c r="J14" s="4">
        <v>3298194.95</v>
      </c>
      <c r="K14" s="4">
        <f t="shared" si="2"/>
        <v>3298194.95</v>
      </c>
      <c r="L14" s="4">
        <f t="shared" si="3"/>
        <v>41208336.040000007</v>
      </c>
      <c r="M14" s="4">
        <f t="shared" si="4"/>
        <v>3291663.9599999934</v>
      </c>
      <c r="N14" s="4">
        <f>4000000-500000</f>
        <v>3500000</v>
      </c>
      <c r="O14" s="4">
        <f t="shared" si="5"/>
        <v>500000</v>
      </c>
      <c r="P14" s="4">
        <f t="shared" si="6"/>
        <v>2691663.9599999934</v>
      </c>
      <c r="Q14" s="4">
        <v>600000</v>
      </c>
      <c r="R14" s="4"/>
      <c r="S14" s="4">
        <f t="shared" si="7"/>
        <v>600000</v>
      </c>
      <c r="T14" s="4">
        <f t="shared" si="8"/>
        <v>0</v>
      </c>
      <c r="U14" s="4">
        <f t="shared" si="1"/>
        <v>3500000</v>
      </c>
      <c r="V14" s="4"/>
      <c r="W14" s="4">
        <f t="shared" si="9"/>
        <v>3500000</v>
      </c>
      <c r="X14" s="4"/>
      <c r="Y14" s="4"/>
      <c r="Z14" s="3"/>
      <c r="AA14" s="3" t="s">
        <v>768</v>
      </c>
      <c r="AB14" s="3">
        <v>742000</v>
      </c>
      <c r="AC14" s="191"/>
      <c r="AD14" s="191"/>
      <c r="AE14" s="31"/>
      <c r="AF14" s="28"/>
      <c r="AG14" s="358"/>
      <c r="AH14" s="359"/>
      <c r="AI14" s="360"/>
      <c r="AJ14" s="29"/>
      <c r="AK14" s="29"/>
      <c r="AL14" s="29"/>
      <c r="AM14" s="29"/>
      <c r="AN14" s="28"/>
    </row>
    <row r="15" spans="1:40" s="5" customFormat="1" ht="30" customHeight="1">
      <c r="A15" s="3">
        <f t="shared" si="10"/>
        <v>10</v>
      </c>
      <c r="B15" s="3">
        <v>1560</v>
      </c>
      <c r="C15" s="3" t="s">
        <v>65</v>
      </c>
      <c r="D15" s="4">
        <f>4610000+900000</f>
        <v>5510000</v>
      </c>
      <c r="E15" s="4">
        <v>4610000</v>
      </c>
      <c r="F15" s="4">
        <f t="shared" si="0"/>
        <v>900000</v>
      </c>
      <c r="G15" s="4">
        <v>4610000</v>
      </c>
      <c r="H15" s="4">
        <v>3045356.19</v>
      </c>
      <c r="I15" s="4"/>
      <c r="J15" s="4">
        <v>627349.77</v>
      </c>
      <c r="K15" s="4">
        <f t="shared" si="2"/>
        <v>627349.77</v>
      </c>
      <c r="L15" s="4">
        <f t="shared" si="3"/>
        <v>3672705.96</v>
      </c>
      <c r="M15" s="4">
        <f t="shared" si="4"/>
        <v>937294.04</v>
      </c>
      <c r="N15" s="4">
        <v>900000</v>
      </c>
      <c r="O15" s="4">
        <f t="shared" si="5"/>
        <v>0</v>
      </c>
      <c r="P15" s="4">
        <f t="shared" si="6"/>
        <v>937294.04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1"/>
        <v>900000</v>
      </c>
      <c r="V15" s="4"/>
      <c r="W15" s="4">
        <f t="shared" si="9"/>
        <v>900000</v>
      </c>
      <c r="X15" s="4"/>
      <c r="Y15" s="4"/>
      <c r="Z15" s="3"/>
      <c r="AA15" s="3" t="s">
        <v>1158</v>
      </c>
      <c r="AB15" s="3">
        <v>746000</v>
      </c>
      <c r="AC15" s="191"/>
      <c r="AD15" s="191"/>
      <c r="AE15" s="31"/>
      <c r="AF15" s="28"/>
      <c r="AG15" s="358"/>
      <c r="AH15" s="359"/>
      <c r="AI15" s="360"/>
      <c r="AJ15" s="29"/>
      <c r="AK15" s="29"/>
      <c r="AL15" s="29"/>
      <c r="AM15" s="29"/>
      <c r="AN15" s="28"/>
    </row>
    <row r="16" spans="1:40" s="5" customFormat="1" ht="30" customHeight="1">
      <c r="A16" s="3">
        <f t="shared" si="10"/>
        <v>11</v>
      </c>
      <c r="B16" s="3">
        <v>1662</v>
      </c>
      <c r="C16" s="3" t="s">
        <v>171</v>
      </c>
      <c r="D16" s="4">
        <v>815000</v>
      </c>
      <c r="E16" s="4">
        <v>815000</v>
      </c>
      <c r="F16" s="4">
        <f t="shared" si="0"/>
        <v>0</v>
      </c>
      <c r="G16" s="4">
        <v>815000</v>
      </c>
      <c r="H16" s="4">
        <v>271204.53999999998</v>
      </c>
      <c r="I16" s="4"/>
      <c r="J16" s="4">
        <v>400000</v>
      </c>
      <c r="K16" s="4">
        <f t="shared" si="2"/>
        <v>400000</v>
      </c>
      <c r="L16" s="4">
        <f t="shared" si="3"/>
        <v>671204.54</v>
      </c>
      <c r="M16" s="4">
        <f t="shared" si="4"/>
        <v>143795.45999999996</v>
      </c>
      <c r="N16" s="4"/>
      <c r="O16" s="4">
        <f t="shared" si="5"/>
        <v>0</v>
      </c>
      <c r="P16" s="4">
        <f t="shared" si="6"/>
        <v>143795.45999999996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1"/>
        <v>0</v>
      </c>
      <c r="V16" s="4"/>
      <c r="W16" s="4">
        <f t="shared" si="9"/>
        <v>0</v>
      </c>
      <c r="X16" s="4"/>
      <c r="Y16" s="4"/>
      <c r="Z16" s="3"/>
      <c r="AA16" s="3"/>
      <c r="AB16" s="3">
        <v>870000</v>
      </c>
      <c r="AC16" s="191"/>
      <c r="AD16" s="191"/>
      <c r="AE16" s="31"/>
      <c r="AF16" s="28"/>
      <c r="AG16" s="358"/>
      <c r="AH16" s="359"/>
      <c r="AI16" s="360"/>
      <c r="AJ16" s="29"/>
      <c r="AK16" s="29"/>
      <c r="AL16" s="29"/>
      <c r="AM16" s="29"/>
      <c r="AN16" s="28"/>
    </row>
    <row r="17" spans="1:40" s="5" customFormat="1" ht="30" customHeight="1">
      <c r="A17" s="3">
        <f t="shared" si="10"/>
        <v>12</v>
      </c>
      <c r="B17" s="3">
        <v>1677</v>
      </c>
      <c r="C17" s="3" t="s">
        <v>67</v>
      </c>
      <c r="D17" s="4">
        <v>18500000</v>
      </c>
      <c r="E17" s="4">
        <v>18500000</v>
      </c>
      <c r="F17" s="4">
        <f t="shared" si="0"/>
        <v>0</v>
      </c>
      <c r="G17" s="4">
        <v>18500000</v>
      </c>
      <c r="H17" s="4">
        <v>18167039.149999999</v>
      </c>
      <c r="I17" s="4">
        <v>302080</v>
      </c>
      <c r="J17" s="4"/>
      <c r="K17" s="4">
        <f t="shared" si="2"/>
        <v>302080</v>
      </c>
      <c r="L17" s="4">
        <f t="shared" si="3"/>
        <v>18469119.149999999</v>
      </c>
      <c r="M17" s="4">
        <f t="shared" si="4"/>
        <v>30880.85000000149</v>
      </c>
      <c r="N17" s="4"/>
      <c r="O17" s="4">
        <f t="shared" si="5"/>
        <v>0</v>
      </c>
      <c r="P17" s="4">
        <f t="shared" si="6"/>
        <v>30880.85000000149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1"/>
        <v>0</v>
      </c>
      <c r="V17" s="4"/>
      <c r="W17" s="4">
        <f t="shared" si="9"/>
        <v>0</v>
      </c>
      <c r="X17" s="4"/>
      <c r="Y17" s="4"/>
      <c r="Z17" s="3"/>
      <c r="AA17" s="3"/>
      <c r="AB17" s="3">
        <v>810000</v>
      </c>
      <c r="AC17" s="191"/>
      <c r="AD17" s="191"/>
      <c r="AE17" s="31"/>
      <c r="AF17" s="28"/>
      <c r="AG17" s="358"/>
      <c r="AH17" s="359"/>
      <c r="AI17" s="360"/>
      <c r="AJ17" s="29"/>
      <c r="AK17" s="29"/>
      <c r="AL17" s="29"/>
      <c r="AM17" s="29"/>
      <c r="AN17" s="28"/>
    </row>
    <row r="18" spans="1:40" s="5" customFormat="1" ht="30" customHeight="1">
      <c r="A18" s="3">
        <f t="shared" si="10"/>
        <v>13</v>
      </c>
      <c r="B18" s="3">
        <v>1691</v>
      </c>
      <c r="C18" s="3" t="s">
        <v>208</v>
      </c>
      <c r="D18" s="4">
        <v>210000</v>
      </c>
      <c r="E18" s="4">
        <v>210000</v>
      </c>
      <c r="F18" s="4">
        <f t="shared" si="0"/>
        <v>0</v>
      </c>
      <c r="G18" s="4">
        <v>210000</v>
      </c>
      <c r="H18" s="4">
        <v>184253.53</v>
      </c>
      <c r="I18" s="4"/>
      <c r="J18" s="4"/>
      <c r="K18" s="4">
        <f t="shared" si="2"/>
        <v>0</v>
      </c>
      <c r="L18" s="4">
        <f t="shared" si="3"/>
        <v>184253.53</v>
      </c>
      <c r="M18" s="4">
        <f t="shared" si="4"/>
        <v>25746.47</v>
      </c>
      <c r="N18" s="4"/>
      <c r="O18" s="4">
        <f t="shared" si="5"/>
        <v>0</v>
      </c>
      <c r="P18" s="4">
        <f t="shared" si="6"/>
        <v>25746.47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1"/>
        <v>0</v>
      </c>
      <c r="V18" s="4"/>
      <c r="W18" s="4">
        <f t="shared" si="9"/>
        <v>0</v>
      </c>
      <c r="X18" s="4"/>
      <c r="Y18" s="4"/>
      <c r="Z18" s="3"/>
      <c r="AA18" s="3" t="s">
        <v>1159</v>
      </c>
      <c r="AB18" s="3">
        <v>810000</v>
      </c>
      <c r="AC18" s="191"/>
      <c r="AD18" s="191"/>
      <c r="AE18" s="31"/>
      <c r="AF18" s="28"/>
      <c r="AG18" s="358"/>
      <c r="AH18" s="359"/>
      <c r="AI18" s="360"/>
      <c r="AJ18" s="29"/>
      <c r="AK18" s="29"/>
      <c r="AL18" s="29"/>
      <c r="AM18" s="29"/>
      <c r="AN18" s="28"/>
    </row>
    <row r="19" spans="1:40" s="5" customFormat="1" ht="30" customHeight="1">
      <c r="A19" s="3">
        <f t="shared" si="10"/>
        <v>14</v>
      </c>
      <c r="B19" s="3">
        <v>1770</v>
      </c>
      <c r="C19" s="3" t="s">
        <v>499</v>
      </c>
      <c r="D19" s="4">
        <v>29752105</v>
      </c>
      <c r="E19" s="4">
        <v>29752105</v>
      </c>
      <c r="F19" s="4">
        <f t="shared" si="0"/>
        <v>0</v>
      </c>
      <c r="G19" s="4">
        <v>29752105</v>
      </c>
      <c r="H19" s="4">
        <v>28089675.219999999</v>
      </c>
      <c r="I19" s="4"/>
      <c r="J19" s="4">
        <v>1289309.68</v>
      </c>
      <c r="K19" s="4">
        <f t="shared" si="2"/>
        <v>1289309.68</v>
      </c>
      <c r="L19" s="4">
        <f t="shared" si="3"/>
        <v>29378984.899999999</v>
      </c>
      <c r="M19" s="4">
        <f t="shared" si="4"/>
        <v>373120.10000000149</v>
      </c>
      <c r="N19" s="4"/>
      <c r="O19" s="4">
        <f t="shared" si="5"/>
        <v>0</v>
      </c>
      <c r="P19" s="4">
        <f t="shared" si="6"/>
        <v>373120.10000000149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1"/>
        <v>0</v>
      </c>
      <c r="V19" s="4"/>
      <c r="W19" s="4">
        <f t="shared" si="9"/>
        <v>0</v>
      </c>
      <c r="X19" s="4"/>
      <c r="Y19" s="4"/>
      <c r="Z19" s="3"/>
      <c r="AA19" s="3" t="s">
        <v>1159</v>
      </c>
      <c r="AB19" s="3">
        <v>810000</v>
      </c>
      <c r="AC19" s="191"/>
      <c r="AD19" s="191"/>
      <c r="AE19" s="31"/>
      <c r="AF19" s="28"/>
      <c r="AG19" s="358"/>
      <c r="AH19" s="359"/>
      <c r="AI19" s="360"/>
      <c r="AJ19" s="29"/>
      <c r="AK19" s="29"/>
      <c r="AL19" s="29"/>
      <c r="AM19" s="29"/>
      <c r="AN19" s="28"/>
    </row>
    <row r="20" spans="1:40" s="5" customFormat="1" ht="30" customHeight="1">
      <c r="A20" s="3">
        <f t="shared" si="10"/>
        <v>15</v>
      </c>
      <c r="B20" s="3">
        <v>1773</v>
      </c>
      <c r="C20" s="3" t="s">
        <v>132</v>
      </c>
      <c r="D20" s="4">
        <v>1500000</v>
      </c>
      <c r="E20" s="4">
        <v>1500000</v>
      </c>
      <c r="F20" s="4">
        <f t="shared" si="0"/>
        <v>0</v>
      </c>
      <c r="G20" s="4">
        <v>1500000</v>
      </c>
      <c r="H20" s="4">
        <v>119925</v>
      </c>
      <c r="I20" s="4">
        <v>58000</v>
      </c>
      <c r="J20" s="4"/>
      <c r="K20" s="4">
        <f t="shared" si="2"/>
        <v>58000</v>
      </c>
      <c r="L20" s="4">
        <f t="shared" si="3"/>
        <v>177925</v>
      </c>
      <c r="M20" s="4">
        <f>P20+S20-800000</f>
        <v>522075</v>
      </c>
      <c r="N20" s="4">
        <v>800000</v>
      </c>
      <c r="O20" s="4">
        <f t="shared" si="5"/>
        <v>0</v>
      </c>
      <c r="P20" s="4">
        <f t="shared" si="6"/>
        <v>1322075</v>
      </c>
      <c r="Q20" s="4"/>
      <c r="R20" s="4"/>
      <c r="S20" s="4">
        <f t="shared" si="7"/>
        <v>0</v>
      </c>
      <c r="T20" s="4">
        <f t="shared" si="8"/>
        <v>800000</v>
      </c>
      <c r="U20" s="4">
        <f t="shared" si="1"/>
        <v>0</v>
      </c>
      <c r="V20" s="4"/>
      <c r="W20" s="4">
        <f t="shared" si="9"/>
        <v>0</v>
      </c>
      <c r="X20" s="4"/>
      <c r="Y20" s="4"/>
      <c r="Z20" s="3"/>
      <c r="AA20" s="3" t="s">
        <v>500</v>
      </c>
      <c r="AB20" s="3">
        <v>746000</v>
      </c>
      <c r="AC20" s="191"/>
      <c r="AD20" s="191"/>
      <c r="AE20" s="31"/>
      <c r="AF20" s="28"/>
      <c r="AG20" s="358"/>
      <c r="AH20" s="359"/>
      <c r="AI20" s="28"/>
      <c r="AJ20" s="29"/>
      <c r="AK20" s="29"/>
      <c r="AL20" s="29"/>
      <c r="AM20" s="29"/>
      <c r="AN20" s="28"/>
    </row>
    <row r="21" spans="1:40" s="5" customFormat="1" ht="30" customHeight="1">
      <c r="A21" s="3">
        <f t="shared" si="10"/>
        <v>16</v>
      </c>
      <c r="B21" s="3">
        <v>1794</v>
      </c>
      <c r="C21" s="3" t="s">
        <v>142</v>
      </c>
      <c r="D21" s="4">
        <v>1100000</v>
      </c>
      <c r="E21" s="4">
        <v>1100000</v>
      </c>
      <c r="F21" s="4">
        <f t="shared" si="0"/>
        <v>0</v>
      </c>
      <c r="G21" s="4">
        <v>1100000</v>
      </c>
      <c r="H21" s="4">
        <v>949008.68</v>
      </c>
      <c r="I21" s="4">
        <v>20093.060000000001</v>
      </c>
      <c r="J21" s="4"/>
      <c r="K21" s="4">
        <f t="shared" si="2"/>
        <v>20093.060000000001</v>
      </c>
      <c r="L21" s="4">
        <f t="shared" si="3"/>
        <v>969101.74000000011</v>
      </c>
      <c r="M21" s="4">
        <f t="shared" si="4"/>
        <v>130898.25999999989</v>
      </c>
      <c r="N21" s="4"/>
      <c r="O21" s="4">
        <f t="shared" si="5"/>
        <v>0</v>
      </c>
      <c r="P21" s="4">
        <f t="shared" si="6"/>
        <v>130898.25999999989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1"/>
        <v>0</v>
      </c>
      <c r="V21" s="4"/>
      <c r="W21" s="4">
        <f t="shared" si="9"/>
        <v>0</v>
      </c>
      <c r="X21" s="4"/>
      <c r="Y21" s="4"/>
      <c r="Z21" s="3"/>
      <c r="AA21" s="3" t="s">
        <v>501</v>
      </c>
      <c r="AB21" s="3">
        <v>850000</v>
      </c>
      <c r="AC21" s="191"/>
      <c r="AD21" s="191"/>
      <c r="AE21" s="31"/>
      <c r="AF21" s="28"/>
      <c r="AG21" s="358"/>
      <c r="AH21" s="359"/>
      <c r="AI21" s="360"/>
      <c r="AJ21" s="29"/>
      <c r="AK21" s="29"/>
      <c r="AL21" s="29"/>
      <c r="AM21" s="29"/>
      <c r="AN21" s="28"/>
    </row>
    <row r="22" spans="1:40" s="5" customFormat="1" ht="30" customHeight="1">
      <c r="A22" s="3">
        <f t="shared" si="10"/>
        <v>17</v>
      </c>
      <c r="B22" s="3">
        <v>1804</v>
      </c>
      <c r="C22" s="3" t="s">
        <v>139</v>
      </c>
      <c r="D22" s="4">
        <v>200000</v>
      </c>
      <c r="E22" s="4">
        <v>200000</v>
      </c>
      <c r="F22" s="4">
        <f t="shared" si="0"/>
        <v>0</v>
      </c>
      <c r="G22" s="4">
        <v>200000</v>
      </c>
      <c r="H22" s="4">
        <v>18830.330000000002</v>
      </c>
      <c r="I22" s="4"/>
      <c r="J22" s="4">
        <v>28242.87</v>
      </c>
      <c r="K22" s="4">
        <f>SUM(I22:J22)</f>
        <v>28242.87</v>
      </c>
      <c r="L22" s="4">
        <f t="shared" ref="L22" si="11">H22+K22</f>
        <v>47073.2</v>
      </c>
      <c r="M22" s="4">
        <f t="shared" si="4"/>
        <v>152926.79999999999</v>
      </c>
      <c r="N22" s="4"/>
      <c r="O22" s="4">
        <f t="shared" si="5"/>
        <v>0</v>
      </c>
      <c r="P22" s="4">
        <f t="shared" si="6"/>
        <v>152926.79999999999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1"/>
        <v>0</v>
      </c>
      <c r="V22" s="4">
        <f t="shared" ref="V22" si="12">U22-Z22-W22-Y22</f>
        <v>0</v>
      </c>
      <c r="W22" s="4"/>
      <c r="X22" s="4"/>
      <c r="Y22" s="4"/>
      <c r="Z22" s="3"/>
      <c r="AA22" s="39" t="s">
        <v>1469</v>
      </c>
      <c r="AB22" s="3">
        <v>742000</v>
      </c>
      <c r="AC22" s="619"/>
      <c r="AD22" s="52"/>
    </row>
    <row r="23" spans="1:40" s="5" customFormat="1" ht="30" customHeight="1">
      <c r="A23" s="3">
        <f t="shared" si="10"/>
        <v>18</v>
      </c>
      <c r="B23" s="3">
        <v>1848</v>
      </c>
      <c r="C23" s="3" t="s">
        <v>164</v>
      </c>
      <c r="D23" s="4">
        <f>700000+500000</f>
        <v>1200000</v>
      </c>
      <c r="E23" s="4">
        <v>700000</v>
      </c>
      <c r="F23" s="4">
        <f t="shared" si="0"/>
        <v>500000</v>
      </c>
      <c r="G23" s="4">
        <v>700000</v>
      </c>
      <c r="H23" s="4">
        <v>510383.99</v>
      </c>
      <c r="I23" s="4"/>
      <c r="J23" s="4">
        <v>145636.89000000001</v>
      </c>
      <c r="K23" s="4">
        <f t="shared" si="2"/>
        <v>145636.89000000001</v>
      </c>
      <c r="L23" s="4">
        <f t="shared" si="3"/>
        <v>656020.88</v>
      </c>
      <c r="M23" s="4">
        <f t="shared" si="4"/>
        <v>43979.119999999995</v>
      </c>
      <c r="N23" s="4">
        <v>500000</v>
      </c>
      <c r="O23" s="4">
        <f t="shared" si="5"/>
        <v>0</v>
      </c>
      <c r="P23" s="4">
        <f t="shared" si="6"/>
        <v>43979.119999999995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1"/>
        <v>500000</v>
      </c>
      <c r="V23" s="4"/>
      <c r="W23" s="4">
        <f t="shared" si="9"/>
        <v>500000</v>
      </c>
      <c r="X23" s="4"/>
      <c r="Y23" s="4"/>
      <c r="Z23" s="3"/>
      <c r="AA23" s="3" t="s">
        <v>636</v>
      </c>
      <c r="AB23" s="3">
        <v>742000</v>
      </c>
      <c r="AC23" s="191"/>
      <c r="AD23" s="191"/>
      <c r="AE23" s="31"/>
      <c r="AF23" s="28"/>
      <c r="AG23" s="358"/>
      <c r="AH23" s="359"/>
      <c r="AI23" s="360"/>
      <c r="AJ23" s="29"/>
      <c r="AK23" s="29"/>
      <c r="AL23" s="29"/>
      <c r="AM23" s="29"/>
      <c r="AN23" s="28"/>
    </row>
    <row r="24" spans="1:40" s="5" customFormat="1" ht="30" customHeight="1">
      <c r="A24" s="3">
        <f t="shared" si="10"/>
        <v>19</v>
      </c>
      <c r="B24" s="3">
        <v>1849</v>
      </c>
      <c r="C24" s="3" t="s">
        <v>502</v>
      </c>
      <c r="D24" s="4">
        <v>1400000</v>
      </c>
      <c r="E24" s="4">
        <v>1400000</v>
      </c>
      <c r="F24" s="4">
        <f t="shared" si="0"/>
        <v>0</v>
      </c>
      <c r="G24" s="4">
        <v>1400000</v>
      </c>
      <c r="H24" s="4">
        <v>459810.04</v>
      </c>
      <c r="I24" s="4"/>
      <c r="J24" s="4">
        <v>636855</v>
      </c>
      <c r="K24" s="4">
        <f t="shared" si="2"/>
        <v>636855</v>
      </c>
      <c r="L24" s="4">
        <f t="shared" si="3"/>
        <v>1096665.04</v>
      </c>
      <c r="M24" s="4">
        <f t="shared" si="4"/>
        <v>303334.95999999996</v>
      </c>
      <c r="N24" s="4"/>
      <c r="O24" s="4">
        <f t="shared" si="5"/>
        <v>0</v>
      </c>
      <c r="P24" s="4">
        <f t="shared" si="6"/>
        <v>303334.95999999996</v>
      </c>
      <c r="Q24" s="4"/>
      <c r="R24" s="4"/>
      <c r="S24" s="4">
        <f t="shared" si="7"/>
        <v>0</v>
      </c>
      <c r="T24" s="4">
        <f t="shared" si="8"/>
        <v>0</v>
      </c>
      <c r="U24" s="4">
        <f t="shared" si="1"/>
        <v>0</v>
      </c>
      <c r="V24" s="4"/>
      <c r="W24" s="4">
        <f t="shared" si="9"/>
        <v>0</v>
      </c>
      <c r="X24" s="4"/>
      <c r="Y24" s="4"/>
      <c r="Z24" s="3"/>
      <c r="AA24" s="3" t="s">
        <v>503</v>
      </c>
      <c r="AB24" s="3">
        <v>743000</v>
      </c>
      <c r="AC24" s="191"/>
      <c r="AD24" s="191"/>
      <c r="AE24" s="31"/>
      <c r="AF24" s="28"/>
      <c r="AG24" s="358"/>
      <c r="AH24" s="359"/>
      <c r="AI24" s="360"/>
      <c r="AJ24" s="29"/>
      <c r="AK24" s="29"/>
      <c r="AL24" s="28"/>
      <c r="AM24" s="28"/>
      <c r="AN24" s="28"/>
    </row>
    <row r="25" spans="1:40" s="5" customFormat="1" ht="30" customHeight="1">
      <c r="A25" s="3">
        <f t="shared" si="10"/>
        <v>20</v>
      </c>
      <c r="B25" s="3">
        <v>1850</v>
      </c>
      <c r="C25" s="3" t="s">
        <v>1273</v>
      </c>
      <c r="D25" s="4">
        <v>14600000</v>
      </c>
      <c r="E25" s="4">
        <v>14600000</v>
      </c>
      <c r="F25" s="4">
        <f t="shared" si="0"/>
        <v>0</v>
      </c>
      <c r="G25" s="4">
        <v>3780000</v>
      </c>
      <c r="H25" s="4">
        <v>2584412.12</v>
      </c>
      <c r="I25" s="4"/>
      <c r="J25" s="4">
        <v>1017036.53</v>
      </c>
      <c r="K25" s="4">
        <f t="shared" si="2"/>
        <v>1017036.53</v>
      </c>
      <c r="L25" s="4">
        <f t="shared" si="3"/>
        <v>3601448.6500000004</v>
      </c>
      <c r="M25" s="4">
        <f t="shared" si="4"/>
        <v>528551.34999999963</v>
      </c>
      <c r="N25" s="4">
        <f>1000000-500000</f>
        <v>500000</v>
      </c>
      <c r="O25" s="4">
        <f t="shared" si="5"/>
        <v>9970000</v>
      </c>
      <c r="P25" s="4">
        <f t="shared" si="6"/>
        <v>178551.34999999963</v>
      </c>
      <c r="Q25" s="4">
        <v>350000</v>
      </c>
      <c r="R25" s="4"/>
      <c r="S25" s="4">
        <f t="shared" si="7"/>
        <v>350000</v>
      </c>
      <c r="T25" s="4">
        <f t="shared" si="8"/>
        <v>0</v>
      </c>
      <c r="U25" s="4">
        <f t="shared" si="1"/>
        <v>500000</v>
      </c>
      <c r="V25" s="4"/>
      <c r="W25" s="4">
        <f t="shared" si="9"/>
        <v>500000</v>
      </c>
      <c r="X25" s="4"/>
      <c r="Y25" s="4"/>
      <c r="Z25" s="3"/>
      <c r="AA25" s="3" t="s">
        <v>1274</v>
      </c>
      <c r="AB25" s="3">
        <v>810000</v>
      </c>
      <c r="AC25" s="191"/>
      <c r="AD25" s="191"/>
      <c r="AE25" s="31"/>
      <c r="AF25" s="28"/>
      <c r="AG25" s="358"/>
      <c r="AH25" s="359"/>
      <c r="AI25" s="360"/>
      <c r="AJ25" s="29"/>
      <c r="AK25" s="29"/>
      <c r="AL25" s="28"/>
      <c r="AM25" s="28"/>
      <c r="AN25" s="28"/>
    </row>
    <row r="26" spans="1:40" s="5" customFormat="1" ht="30" customHeight="1">
      <c r="A26" s="3">
        <f t="shared" si="10"/>
        <v>21</v>
      </c>
      <c r="B26" s="3">
        <v>1853</v>
      </c>
      <c r="C26" s="3" t="s">
        <v>165</v>
      </c>
      <c r="D26" s="4">
        <v>410000</v>
      </c>
      <c r="E26" s="4">
        <v>410000</v>
      </c>
      <c r="F26" s="4">
        <f t="shared" si="0"/>
        <v>0</v>
      </c>
      <c r="G26" s="4">
        <v>410000</v>
      </c>
      <c r="H26" s="4">
        <v>138353.79999999999</v>
      </c>
      <c r="I26" s="4">
        <v>5148</v>
      </c>
      <c r="J26" s="4">
        <v>173326.7</v>
      </c>
      <c r="K26" s="4">
        <f t="shared" si="2"/>
        <v>178474.7</v>
      </c>
      <c r="L26" s="4">
        <f t="shared" si="3"/>
        <v>316828.5</v>
      </c>
      <c r="M26" s="4">
        <f t="shared" si="4"/>
        <v>93171.5</v>
      </c>
      <c r="N26" s="4"/>
      <c r="O26" s="4">
        <f t="shared" si="5"/>
        <v>0</v>
      </c>
      <c r="P26" s="4">
        <f t="shared" si="6"/>
        <v>93171.5</v>
      </c>
      <c r="Q26" s="4"/>
      <c r="R26" s="4"/>
      <c r="S26" s="4">
        <f t="shared" si="7"/>
        <v>0</v>
      </c>
      <c r="T26" s="4">
        <f t="shared" si="8"/>
        <v>0</v>
      </c>
      <c r="U26" s="4">
        <f t="shared" si="1"/>
        <v>0</v>
      </c>
      <c r="V26" s="4"/>
      <c r="W26" s="4">
        <f t="shared" si="9"/>
        <v>0</v>
      </c>
      <c r="X26" s="4"/>
      <c r="Y26" s="4"/>
      <c r="Z26" s="3"/>
      <c r="AA26" s="3" t="s">
        <v>505</v>
      </c>
      <c r="AB26" s="3">
        <v>824000</v>
      </c>
      <c r="AC26" s="191"/>
      <c r="AD26" s="191"/>
      <c r="AE26" s="31"/>
      <c r="AF26" s="28"/>
      <c r="AG26" s="358"/>
      <c r="AH26" s="359"/>
      <c r="AI26" s="360"/>
      <c r="AJ26" s="29"/>
      <c r="AK26" s="29"/>
      <c r="AL26" s="29"/>
      <c r="AM26" s="29"/>
      <c r="AN26" s="28"/>
    </row>
    <row r="27" spans="1:40" s="5" customFormat="1" ht="30" customHeight="1">
      <c r="A27" s="3">
        <f t="shared" si="10"/>
        <v>22</v>
      </c>
      <c r="B27" s="3">
        <v>1883</v>
      </c>
      <c r="C27" s="3" t="s">
        <v>166</v>
      </c>
      <c r="D27" s="4">
        <v>26215000</v>
      </c>
      <c r="E27" s="4">
        <v>26215000</v>
      </c>
      <c r="F27" s="4">
        <f t="shared" si="0"/>
        <v>0</v>
      </c>
      <c r="G27" s="4">
        <v>26215000</v>
      </c>
      <c r="H27" s="4">
        <v>25106039.760000002</v>
      </c>
      <c r="I27" s="4">
        <v>927814.76</v>
      </c>
      <c r="J27" s="4">
        <v>114302</v>
      </c>
      <c r="K27" s="4">
        <f t="shared" si="2"/>
        <v>1042116.76</v>
      </c>
      <c r="L27" s="4">
        <f t="shared" si="3"/>
        <v>26148156.520000003</v>
      </c>
      <c r="M27" s="4">
        <f t="shared" si="4"/>
        <v>66843.479999996722</v>
      </c>
      <c r="N27" s="4"/>
      <c r="O27" s="4">
        <f t="shared" si="5"/>
        <v>0</v>
      </c>
      <c r="P27" s="4">
        <f t="shared" si="6"/>
        <v>66843.479999996722</v>
      </c>
      <c r="Q27" s="89"/>
      <c r="R27" s="4"/>
      <c r="S27" s="4">
        <f t="shared" si="7"/>
        <v>0</v>
      </c>
      <c r="T27" s="4">
        <f t="shared" si="8"/>
        <v>0</v>
      </c>
      <c r="U27" s="4">
        <f t="shared" si="1"/>
        <v>0</v>
      </c>
      <c r="V27" s="4"/>
      <c r="W27" s="4">
        <f t="shared" si="9"/>
        <v>0</v>
      </c>
      <c r="X27" s="4"/>
      <c r="Y27" s="4"/>
      <c r="Z27" s="3"/>
      <c r="AA27" s="3"/>
      <c r="AB27" s="3">
        <v>810000</v>
      </c>
      <c r="AC27" s="191"/>
      <c r="AD27" s="191"/>
      <c r="AE27" s="31"/>
      <c r="AF27" s="28"/>
      <c r="AG27" s="358"/>
      <c r="AH27" s="359"/>
      <c r="AI27" s="360"/>
      <c r="AJ27" s="29"/>
      <c r="AK27" s="29"/>
      <c r="AL27" s="28"/>
      <c r="AM27" s="28"/>
      <c r="AN27" s="28"/>
    </row>
    <row r="28" spans="1:40" s="5" customFormat="1" ht="30" customHeight="1">
      <c r="A28" s="3">
        <f t="shared" si="10"/>
        <v>23</v>
      </c>
      <c r="B28" s="3">
        <v>1887</v>
      </c>
      <c r="C28" s="3" t="s">
        <v>167</v>
      </c>
      <c r="D28" s="4">
        <v>5200000</v>
      </c>
      <c r="E28" s="4">
        <v>5200000</v>
      </c>
      <c r="F28" s="4">
        <f t="shared" si="0"/>
        <v>0</v>
      </c>
      <c r="G28" s="4">
        <v>4200000</v>
      </c>
      <c r="H28" s="4">
        <v>1117190.22</v>
      </c>
      <c r="I28" s="4">
        <v>32262.75</v>
      </c>
      <c r="J28" s="4">
        <v>166759.23000000001</v>
      </c>
      <c r="K28" s="4">
        <f t="shared" si="2"/>
        <v>199021.98</v>
      </c>
      <c r="L28" s="4">
        <f t="shared" si="3"/>
        <v>1316212.2</v>
      </c>
      <c r="M28" s="4">
        <f>P28+S28-2000000-500000</f>
        <v>383787.79999999981</v>
      </c>
      <c r="N28" s="4">
        <f>1000000-1000000</f>
        <v>0</v>
      </c>
      <c r="O28" s="4">
        <f t="shared" si="5"/>
        <v>3500000</v>
      </c>
      <c r="P28" s="4">
        <f t="shared" si="6"/>
        <v>2883787.8</v>
      </c>
      <c r="Q28" s="4"/>
      <c r="R28" s="4"/>
      <c r="S28" s="4">
        <f t="shared" si="7"/>
        <v>0</v>
      </c>
      <c r="T28" s="4">
        <f t="shared" si="8"/>
        <v>2500000</v>
      </c>
      <c r="U28" s="4">
        <f t="shared" si="1"/>
        <v>-2500000</v>
      </c>
      <c r="V28" s="4">
        <f>U28-W28-X28-Y28-Z28</f>
        <v>-1600000</v>
      </c>
      <c r="W28" s="4">
        <v>-900000</v>
      </c>
      <c r="X28" s="4"/>
      <c r="Y28" s="4"/>
      <c r="Z28" s="3"/>
      <c r="AA28" s="3" t="s">
        <v>1470</v>
      </c>
      <c r="AB28" s="3">
        <v>810000</v>
      </c>
      <c r="AC28" s="191"/>
      <c r="AD28" s="191"/>
      <c r="AE28" s="31"/>
      <c r="AF28" s="28"/>
      <c r="AG28" s="358"/>
      <c r="AH28" s="359"/>
      <c r="AI28" s="28"/>
      <c r="AJ28" s="29"/>
      <c r="AK28" s="29"/>
      <c r="AL28" s="28"/>
      <c r="AM28" s="28"/>
      <c r="AN28" s="28"/>
    </row>
    <row r="29" spans="1:40" s="5" customFormat="1" ht="30" customHeight="1">
      <c r="A29" s="3">
        <f t="shared" si="10"/>
        <v>24</v>
      </c>
      <c r="B29" s="3">
        <v>1900</v>
      </c>
      <c r="C29" s="3" t="s">
        <v>168</v>
      </c>
      <c r="D29" s="4">
        <v>700000</v>
      </c>
      <c r="E29" s="4">
        <v>700000</v>
      </c>
      <c r="F29" s="4">
        <f t="shared" si="0"/>
        <v>0</v>
      </c>
      <c r="G29" s="4">
        <v>700000</v>
      </c>
      <c r="H29" s="4">
        <v>369198.41</v>
      </c>
      <c r="I29" s="4">
        <v>153212.19</v>
      </c>
      <c r="J29" s="4"/>
      <c r="K29" s="4">
        <f t="shared" si="2"/>
        <v>153212.19</v>
      </c>
      <c r="L29" s="4">
        <f t="shared" si="3"/>
        <v>522410.6</v>
      </c>
      <c r="M29" s="4">
        <f t="shared" si="4"/>
        <v>177589.40000000002</v>
      </c>
      <c r="N29" s="4"/>
      <c r="O29" s="4">
        <f t="shared" si="5"/>
        <v>0</v>
      </c>
      <c r="P29" s="4">
        <f t="shared" si="6"/>
        <v>177589.40000000002</v>
      </c>
      <c r="Q29" s="4"/>
      <c r="R29" s="4"/>
      <c r="S29" s="4">
        <f t="shared" si="7"/>
        <v>0</v>
      </c>
      <c r="T29" s="4">
        <f t="shared" si="8"/>
        <v>0</v>
      </c>
      <c r="U29" s="4">
        <f t="shared" si="1"/>
        <v>0</v>
      </c>
      <c r="V29" s="4"/>
      <c r="W29" s="4">
        <f t="shared" si="9"/>
        <v>0</v>
      </c>
      <c r="X29" s="4"/>
      <c r="Y29" s="4"/>
      <c r="Z29" s="3"/>
      <c r="AA29" s="3"/>
      <c r="AB29" s="3">
        <v>810000</v>
      </c>
      <c r="AC29" s="191"/>
      <c r="AD29" s="191"/>
      <c r="AE29" s="31"/>
      <c r="AF29" s="28"/>
      <c r="AG29" s="358"/>
      <c r="AH29" s="359"/>
      <c r="AI29" s="360"/>
      <c r="AJ29" s="29"/>
      <c r="AK29" s="29"/>
      <c r="AL29" s="29"/>
      <c r="AM29" s="29"/>
      <c r="AN29" s="28"/>
    </row>
    <row r="30" spans="1:40" s="5" customFormat="1" ht="30" customHeight="1">
      <c r="A30" s="3">
        <f t="shared" si="10"/>
        <v>25</v>
      </c>
      <c r="B30" s="3">
        <v>1917</v>
      </c>
      <c r="C30" s="3" t="s">
        <v>169</v>
      </c>
      <c r="D30" s="4">
        <v>76800000</v>
      </c>
      <c r="E30" s="4">
        <v>76800000</v>
      </c>
      <c r="F30" s="4">
        <f t="shared" si="0"/>
        <v>0</v>
      </c>
      <c r="G30" s="4">
        <v>33501000</v>
      </c>
      <c r="H30" s="4">
        <v>14941312.73</v>
      </c>
      <c r="I30" s="4"/>
      <c r="J30" s="4">
        <v>14067361.029999999</v>
      </c>
      <c r="K30" s="4">
        <f t="shared" si="2"/>
        <v>14067361.029999999</v>
      </c>
      <c r="L30" s="4">
        <f t="shared" si="3"/>
        <v>29008673.759999998</v>
      </c>
      <c r="M30" s="4">
        <f t="shared" si="4"/>
        <v>4492326.2400000021</v>
      </c>
      <c r="N30" s="4">
        <f>3000000-1500000-500000</f>
        <v>1000000</v>
      </c>
      <c r="O30" s="4">
        <f t="shared" si="5"/>
        <v>42299000</v>
      </c>
      <c r="P30" s="4">
        <f t="shared" si="6"/>
        <v>4492326.2400000021</v>
      </c>
      <c r="Q30" s="4"/>
      <c r="R30" s="4"/>
      <c r="S30" s="4">
        <f t="shared" si="7"/>
        <v>0</v>
      </c>
      <c r="T30" s="4">
        <f t="shared" si="8"/>
        <v>0</v>
      </c>
      <c r="U30" s="4">
        <f t="shared" si="1"/>
        <v>1000000</v>
      </c>
      <c r="V30" s="4">
        <f>U30-W30-X30-Y30-Z30</f>
        <v>1000000</v>
      </c>
      <c r="W30" s="4"/>
      <c r="X30" s="4"/>
      <c r="Y30" s="4"/>
      <c r="Z30" s="3"/>
      <c r="AA30" s="3" t="s">
        <v>587</v>
      </c>
      <c r="AB30" s="3">
        <v>743000</v>
      </c>
      <c r="AC30" s="191"/>
      <c r="AD30" s="191"/>
      <c r="AE30" s="31"/>
      <c r="AF30" s="28"/>
      <c r="AG30" s="358"/>
      <c r="AH30" s="359"/>
      <c r="AI30" s="360"/>
      <c r="AJ30" s="29"/>
      <c r="AK30" s="29"/>
      <c r="AL30" s="28"/>
      <c r="AM30" s="28"/>
      <c r="AN30" s="28"/>
    </row>
    <row r="31" spans="1:40" s="5" customFormat="1" ht="30" customHeight="1">
      <c r="A31" s="3">
        <f t="shared" si="10"/>
        <v>26</v>
      </c>
      <c r="B31" s="3">
        <v>1925</v>
      </c>
      <c r="C31" s="3" t="s">
        <v>170</v>
      </c>
      <c r="D31" s="4">
        <v>1000000</v>
      </c>
      <c r="E31" s="4">
        <v>1000000</v>
      </c>
      <c r="F31" s="4">
        <f t="shared" si="0"/>
        <v>0</v>
      </c>
      <c r="G31" s="4">
        <v>1000000</v>
      </c>
      <c r="H31" s="4">
        <v>901633.83</v>
      </c>
      <c r="I31" s="4"/>
      <c r="J31" s="4">
        <v>19562.400000000001</v>
      </c>
      <c r="K31" s="4">
        <f t="shared" si="2"/>
        <v>19562.400000000001</v>
      </c>
      <c r="L31" s="4">
        <f t="shared" si="3"/>
        <v>921196.23</v>
      </c>
      <c r="M31" s="4">
        <f t="shared" si="4"/>
        <v>78803.770000000019</v>
      </c>
      <c r="N31" s="4"/>
      <c r="O31" s="4">
        <f t="shared" si="5"/>
        <v>0</v>
      </c>
      <c r="P31" s="4">
        <f t="shared" si="6"/>
        <v>78803.770000000019</v>
      </c>
      <c r="Q31" s="4"/>
      <c r="R31" s="4"/>
      <c r="S31" s="4">
        <f t="shared" si="7"/>
        <v>0</v>
      </c>
      <c r="T31" s="4">
        <f t="shared" si="8"/>
        <v>0</v>
      </c>
      <c r="U31" s="4">
        <f t="shared" si="1"/>
        <v>0</v>
      </c>
      <c r="V31" s="4"/>
      <c r="W31" s="4">
        <f t="shared" si="9"/>
        <v>0</v>
      </c>
      <c r="X31" s="4"/>
      <c r="Y31" s="4"/>
      <c r="Z31" s="3"/>
      <c r="AA31" s="3"/>
      <c r="AB31" s="3">
        <v>850000</v>
      </c>
      <c r="AC31" s="191"/>
      <c r="AD31" s="191"/>
      <c r="AE31" s="31"/>
      <c r="AF31" s="28"/>
      <c r="AG31" s="358"/>
      <c r="AH31" s="359"/>
      <c r="AI31" s="360"/>
      <c r="AJ31" s="29"/>
      <c r="AK31" s="29"/>
      <c r="AL31" s="29"/>
      <c r="AM31" s="29"/>
      <c r="AN31" s="28"/>
    </row>
    <row r="32" spans="1:40" s="5" customFormat="1" ht="30" customHeight="1">
      <c r="A32" s="3">
        <f t="shared" si="10"/>
        <v>27</v>
      </c>
      <c r="B32" s="3">
        <v>1933</v>
      </c>
      <c r="C32" s="3" t="s">
        <v>190</v>
      </c>
      <c r="D32" s="4">
        <v>1420000</v>
      </c>
      <c r="E32" s="4">
        <v>1420000</v>
      </c>
      <c r="F32" s="4">
        <f t="shared" si="0"/>
        <v>0</v>
      </c>
      <c r="G32" s="4">
        <v>1420000</v>
      </c>
      <c r="H32" s="4">
        <v>176058</v>
      </c>
      <c r="I32" s="4"/>
      <c r="J32" s="4">
        <v>895264.37</v>
      </c>
      <c r="K32" s="4">
        <f t="shared" si="2"/>
        <v>895264.37</v>
      </c>
      <c r="L32" s="4">
        <f t="shared" si="3"/>
        <v>1071322.3700000001</v>
      </c>
      <c r="M32" s="4">
        <f t="shared" si="4"/>
        <v>348677.62999999989</v>
      </c>
      <c r="N32" s="4"/>
      <c r="O32" s="4">
        <f t="shared" si="5"/>
        <v>0</v>
      </c>
      <c r="P32" s="4">
        <f t="shared" si="6"/>
        <v>348677.62999999989</v>
      </c>
      <c r="Q32" s="4"/>
      <c r="R32" s="4"/>
      <c r="S32" s="4">
        <f t="shared" si="7"/>
        <v>0</v>
      </c>
      <c r="T32" s="4">
        <f t="shared" si="8"/>
        <v>0</v>
      </c>
      <c r="U32" s="4">
        <f t="shared" si="1"/>
        <v>0</v>
      </c>
      <c r="V32" s="4"/>
      <c r="W32" s="4">
        <f t="shared" si="9"/>
        <v>0</v>
      </c>
      <c r="X32" s="4"/>
      <c r="Y32" s="4"/>
      <c r="Z32" s="3"/>
      <c r="AA32" s="3" t="s">
        <v>770</v>
      </c>
      <c r="AB32" s="3">
        <v>826000</v>
      </c>
      <c r="AC32" s="191"/>
      <c r="AD32" s="191"/>
      <c r="AE32" s="31"/>
      <c r="AF32" s="28"/>
      <c r="AG32" s="358"/>
      <c r="AH32" s="359"/>
      <c r="AI32" s="28"/>
      <c r="AJ32" s="29"/>
      <c r="AK32" s="29"/>
      <c r="AL32" s="29"/>
      <c r="AM32" s="29"/>
      <c r="AN32" s="28"/>
    </row>
    <row r="33" spans="1:40" s="5" customFormat="1" ht="30" customHeight="1">
      <c r="A33" s="3">
        <f t="shared" si="10"/>
        <v>28</v>
      </c>
      <c r="B33" s="3">
        <v>1942</v>
      </c>
      <c r="C33" s="3" t="s">
        <v>191</v>
      </c>
      <c r="D33" s="4">
        <v>972000</v>
      </c>
      <c r="E33" s="4">
        <v>972000</v>
      </c>
      <c r="F33" s="4">
        <f t="shared" si="0"/>
        <v>0</v>
      </c>
      <c r="G33" s="4">
        <v>972000</v>
      </c>
      <c r="H33" s="4">
        <v>498681.01</v>
      </c>
      <c r="I33" s="4"/>
      <c r="J33" s="4"/>
      <c r="K33" s="4">
        <f t="shared" si="2"/>
        <v>0</v>
      </c>
      <c r="L33" s="4">
        <f t="shared" si="3"/>
        <v>498681.01</v>
      </c>
      <c r="M33" s="4">
        <f t="shared" si="4"/>
        <v>473318.99</v>
      </c>
      <c r="N33" s="4"/>
      <c r="O33" s="4">
        <f t="shared" si="5"/>
        <v>0</v>
      </c>
      <c r="P33" s="4">
        <f t="shared" si="6"/>
        <v>473318.99</v>
      </c>
      <c r="Q33" s="324"/>
      <c r="R33" s="4"/>
      <c r="S33" s="4">
        <f t="shared" si="7"/>
        <v>0</v>
      </c>
      <c r="T33" s="4">
        <f t="shared" si="8"/>
        <v>0</v>
      </c>
      <c r="U33" s="4">
        <f t="shared" si="1"/>
        <v>0</v>
      </c>
      <c r="V33" s="4">
        <f>U33-W33-X33-Y33-Z33</f>
        <v>0</v>
      </c>
      <c r="W33" s="4"/>
      <c r="X33" s="4"/>
      <c r="Y33" s="4"/>
      <c r="Z33" s="3"/>
      <c r="AA33" s="3" t="s">
        <v>507</v>
      </c>
      <c r="AB33" s="3">
        <v>724000</v>
      </c>
      <c r="AC33" s="191"/>
      <c r="AD33" s="191"/>
      <c r="AE33" s="31"/>
      <c r="AF33" s="28"/>
      <c r="AG33" s="358"/>
      <c r="AH33" s="359"/>
      <c r="AI33" s="360"/>
      <c r="AJ33" s="29"/>
      <c r="AK33" s="29"/>
      <c r="AL33" s="29"/>
      <c r="AM33" s="29"/>
      <c r="AN33" s="28"/>
    </row>
    <row r="34" spans="1:40" s="5" customFormat="1" ht="30" customHeight="1">
      <c r="A34" s="3">
        <f t="shared" si="10"/>
        <v>29</v>
      </c>
      <c r="B34" s="3">
        <v>1946</v>
      </c>
      <c r="C34" s="3" t="s">
        <v>508</v>
      </c>
      <c r="D34" s="4">
        <v>890000</v>
      </c>
      <c r="E34" s="4">
        <v>890000</v>
      </c>
      <c r="F34" s="4">
        <f t="shared" si="0"/>
        <v>0</v>
      </c>
      <c r="G34" s="4">
        <v>890000</v>
      </c>
      <c r="H34" s="4">
        <v>668799.36</v>
      </c>
      <c r="I34" s="4"/>
      <c r="J34" s="4">
        <v>10000</v>
      </c>
      <c r="K34" s="4">
        <f t="shared" si="2"/>
        <v>10000</v>
      </c>
      <c r="L34" s="4">
        <f t="shared" si="3"/>
        <v>678799.35999999999</v>
      </c>
      <c r="M34" s="4">
        <f t="shared" si="4"/>
        <v>211200.64000000001</v>
      </c>
      <c r="N34" s="4"/>
      <c r="O34" s="4">
        <f t="shared" si="5"/>
        <v>0</v>
      </c>
      <c r="P34" s="4">
        <f t="shared" si="6"/>
        <v>211200.64000000001</v>
      </c>
      <c r="Q34" s="4"/>
      <c r="R34" s="4"/>
      <c r="S34" s="4">
        <f t="shared" si="7"/>
        <v>0</v>
      </c>
      <c r="T34" s="4">
        <f t="shared" si="8"/>
        <v>0</v>
      </c>
      <c r="U34" s="4">
        <f t="shared" si="1"/>
        <v>0</v>
      </c>
      <c r="V34" s="4"/>
      <c r="W34" s="4">
        <f t="shared" si="9"/>
        <v>0</v>
      </c>
      <c r="X34" s="4"/>
      <c r="Y34" s="4"/>
      <c r="Z34" s="3"/>
      <c r="AA34" s="3"/>
      <c r="AB34" s="3">
        <v>810000</v>
      </c>
      <c r="AC34" s="191"/>
      <c r="AD34" s="191"/>
      <c r="AE34" s="31"/>
      <c r="AF34" s="28"/>
      <c r="AG34" s="358"/>
      <c r="AH34" s="359"/>
      <c r="AI34" s="360"/>
      <c r="AJ34" s="29"/>
      <c r="AK34" s="29"/>
      <c r="AL34" s="29"/>
      <c r="AM34" s="29"/>
      <c r="AN34" s="28"/>
    </row>
    <row r="35" spans="1:40" s="5" customFormat="1" ht="30" customHeight="1">
      <c r="A35" s="3">
        <f t="shared" si="10"/>
        <v>30</v>
      </c>
      <c r="B35" s="3">
        <v>1947</v>
      </c>
      <c r="C35" s="3" t="s">
        <v>218</v>
      </c>
      <c r="D35" s="4">
        <v>2500000</v>
      </c>
      <c r="E35" s="4">
        <v>2500000</v>
      </c>
      <c r="F35" s="4">
        <f t="shared" si="0"/>
        <v>0</v>
      </c>
      <c r="G35" s="4">
        <v>1950000</v>
      </c>
      <c r="H35" s="4">
        <v>19880.57</v>
      </c>
      <c r="I35" s="4">
        <v>204750</v>
      </c>
      <c r="J35" s="4"/>
      <c r="K35" s="4">
        <f t="shared" si="2"/>
        <v>204750</v>
      </c>
      <c r="L35" s="4">
        <f t="shared" si="3"/>
        <v>224630.57</v>
      </c>
      <c r="M35" s="4">
        <f t="shared" si="4"/>
        <v>1725369.43</v>
      </c>
      <c r="N35" s="4">
        <v>550000</v>
      </c>
      <c r="O35" s="4">
        <f t="shared" si="5"/>
        <v>0</v>
      </c>
      <c r="P35" s="4">
        <f t="shared" si="6"/>
        <v>1725369.43</v>
      </c>
      <c r="Q35" s="4"/>
      <c r="R35" s="4"/>
      <c r="S35" s="4">
        <f t="shared" si="7"/>
        <v>0</v>
      </c>
      <c r="T35" s="4">
        <f t="shared" si="8"/>
        <v>0</v>
      </c>
      <c r="U35" s="4">
        <f t="shared" si="1"/>
        <v>550000</v>
      </c>
      <c r="V35" s="4">
        <f>U35-W35-X35-Y35-Z35</f>
        <v>550000</v>
      </c>
      <c r="W35" s="4"/>
      <c r="X35" s="4"/>
      <c r="Y35" s="4"/>
      <c r="Z35" s="3"/>
      <c r="AA35" s="3" t="s">
        <v>771</v>
      </c>
      <c r="AB35" s="3">
        <v>850000</v>
      </c>
      <c r="AC35" s="191"/>
      <c r="AD35" s="191"/>
      <c r="AE35" s="31"/>
      <c r="AF35" s="28"/>
      <c r="AG35" s="358"/>
      <c r="AH35" s="359"/>
      <c r="AI35" s="360"/>
      <c r="AJ35" s="29"/>
      <c r="AK35" s="29"/>
      <c r="AL35" s="29"/>
      <c r="AM35" s="29"/>
      <c r="AN35" s="28"/>
    </row>
    <row r="36" spans="1:40" s="5" customFormat="1" ht="30" customHeight="1">
      <c r="A36" s="3">
        <f t="shared" si="10"/>
        <v>31</v>
      </c>
      <c r="B36" s="3">
        <v>1966</v>
      </c>
      <c r="C36" s="3" t="s">
        <v>767</v>
      </c>
      <c r="D36" s="4">
        <v>1700000</v>
      </c>
      <c r="E36" s="4">
        <v>1700000</v>
      </c>
      <c r="F36" s="4">
        <f t="shared" si="0"/>
        <v>0</v>
      </c>
      <c r="G36" s="4">
        <v>1700000</v>
      </c>
      <c r="H36" s="4">
        <v>0</v>
      </c>
      <c r="I36" s="4"/>
      <c r="J36" s="4"/>
      <c r="K36" s="4">
        <f t="shared" si="2"/>
        <v>0</v>
      </c>
      <c r="L36" s="4">
        <f t="shared" si="3"/>
        <v>0</v>
      </c>
      <c r="M36" s="4">
        <f t="shared" si="4"/>
        <v>1700000</v>
      </c>
      <c r="N36" s="4"/>
      <c r="O36" s="4">
        <f t="shared" si="5"/>
        <v>0</v>
      </c>
      <c r="P36" s="4">
        <f t="shared" si="6"/>
        <v>1700000</v>
      </c>
      <c r="Q36" s="4"/>
      <c r="R36" s="4"/>
      <c r="S36" s="4">
        <f t="shared" si="7"/>
        <v>0</v>
      </c>
      <c r="T36" s="4">
        <f t="shared" si="8"/>
        <v>0</v>
      </c>
      <c r="U36" s="4">
        <f t="shared" si="1"/>
        <v>0</v>
      </c>
      <c r="V36" s="4"/>
      <c r="W36" s="4">
        <f t="shared" si="9"/>
        <v>0</v>
      </c>
      <c r="X36" s="4"/>
      <c r="Y36" s="4"/>
      <c r="Z36" s="3"/>
      <c r="AA36" s="3" t="s">
        <v>1160</v>
      </c>
      <c r="AB36" s="3">
        <v>870000</v>
      </c>
      <c r="AC36" s="191"/>
      <c r="AD36" s="191"/>
      <c r="AE36" s="31"/>
      <c r="AF36" s="28"/>
      <c r="AG36" s="358"/>
      <c r="AH36" s="359"/>
      <c r="AI36" s="360"/>
      <c r="AJ36" s="29"/>
      <c r="AK36" s="29"/>
      <c r="AL36" s="28"/>
      <c r="AM36" s="28"/>
      <c r="AN36" s="28"/>
    </row>
    <row r="37" spans="1:40" s="5" customFormat="1" ht="30" customHeight="1">
      <c r="A37" s="3">
        <f t="shared" si="10"/>
        <v>32</v>
      </c>
      <c r="B37" s="3">
        <v>1967</v>
      </c>
      <c r="C37" s="3" t="s">
        <v>192</v>
      </c>
      <c r="D37" s="4">
        <v>12929000</v>
      </c>
      <c r="E37" s="4">
        <v>12929000</v>
      </c>
      <c r="F37" s="4">
        <f t="shared" si="0"/>
        <v>0</v>
      </c>
      <c r="G37" s="4">
        <v>4929000</v>
      </c>
      <c r="H37" s="4">
        <v>2039172.46</v>
      </c>
      <c r="I37" s="4">
        <v>388411.46</v>
      </c>
      <c r="J37" s="4">
        <v>65859.34</v>
      </c>
      <c r="K37" s="4">
        <f t="shared" si="2"/>
        <v>454270.80000000005</v>
      </c>
      <c r="L37" s="4">
        <f t="shared" si="3"/>
        <v>2493443.2599999998</v>
      </c>
      <c r="M37" s="4">
        <f t="shared" si="4"/>
        <v>3205556.74</v>
      </c>
      <c r="N37" s="4">
        <f>7230000-2000000</f>
        <v>5230000</v>
      </c>
      <c r="O37" s="4">
        <f t="shared" si="5"/>
        <v>2000000</v>
      </c>
      <c r="P37" s="4">
        <f t="shared" si="6"/>
        <v>2435556.7400000002</v>
      </c>
      <c r="Q37" s="4">
        <v>770000</v>
      </c>
      <c r="R37" s="4"/>
      <c r="S37" s="4">
        <f t="shared" si="7"/>
        <v>770000</v>
      </c>
      <c r="T37" s="4">
        <f t="shared" si="8"/>
        <v>0</v>
      </c>
      <c r="U37" s="4">
        <f t="shared" si="1"/>
        <v>5230000</v>
      </c>
      <c r="V37" s="4">
        <f>U37-W37-X37-Y37-Z37</f>
        <v>2500000</v>
      </c>
      <c r="W37" s="4">
        <v>2620000</v>
      </c>
      <c r="X37" s="4"/>
      <c r="Y37" s="4"/>
      <c r="Z37" s="4">
        <v>110000</v>
      </c>
      <c r="AA37" s="3" t="s">
        <v>1161</v>
      </c>
      <c r="AB37" s="3">
        <v>810000</v>
      </c>
      <c r="AC37" s="191"/>
      <c r="AD37" s="191"/>
      <c r="AE37" s="31"/>
      <c r="AF37" s="28"/>
      <c r="AG37" s="358"/>
      <c r="AH37" s="359"/>
      <c r="AI37" s="28"/>
      <c r="AJ37" s="29"/>
      <c r="AK37" s="29"/>
      <c r="AL37" s="29"/>
      <c r="AM37" s="29"/>
      <c r="AN37" s="28"/>
    </row>
    <row r="38" spans="1:40" s="5" customFormat="1" ht="30" customHeight="1">
      <c r="A38" s="3">
        <f t="shared" si="10"/>
        <v>33</v>
      </c>
      <c r="B38" s="3">
        <v>1968</v>
      </c>
      <c r="C38" s="3" t="s">
        <v>193</v>
      </c>
      <c r="D38" s="4">
        <f>1650000+300000</f>
        <v>1950000</v>
      </c>
      <c r="E38" s="4">
        <v>1650000</v>
      </c>
      <c r="F38" s="4">
        <f t="shared" si="0"/>
        <v>300000</v>
      </c>
      <c r="G38" s="4">
        <v>1650000</v>
      </c>
      <c r="H38" s="4">
        <v>1262412.33</v>
      </c>
      <c r="I38" s="4"/>
      <c r="J38" s="4">
        <v>32638.41</v>
      </c>
      <c r="K38" s="4">
        <f t="shared" si="2"/>
        <v>32638.41</v>
      </c>
      <c r="L38" s="4">
        <f t="shared" si="3"/>
        <v>1295050.74</v>
      </c>
      <c r="M38" s="4">
        <f t="shared" si="4"/>
        <v>354949.26</v>
      </c>
      <c r="N38" s="4">
        <v>300000</v>
      </c>
      <c r="O38" s="4">
        <f t="shared" si="5"/>
        <v>0</v>
      </c>
      <c r="P38" s="4">
        <f t="shared" si="6"/>
        <v>354949.26</v>
      </c>
      <c r="Q38" s="4"/>
      <c r="R38" s="4"/>
      <c r="S38" s="4">
        <f t="shared" si="7"/>
        <v>0</v>
      </c>
      <c r="T38" s="4">
        <f t="shared" si="8"/>
        <v>0</v>
      </c>
      <c r="U38" s="4">
        <f t="shared" si="1"/>
        <v>300000</v>
      </c>
      <c r="V38" s="4"/>
      <c r="W38" s="4">
        <f t="shared" si="9"/>
        <v>300000</v>
      </c>
      <c r="X38" s="4"/>
      <c r="Y38" s="4"/>
      <c r="Z38" s="3"/>
      <c r="AA38" s="3" t="s">
        <v>1162</v>
      </c>
      <c r="AB38" s="3">
        <v>848500</v>
      </c>
      <c r="AC38" s="191"/>
      <c r="AD38" s="191"/>
      <c r="AE38" s="31"/>
      <c r="AF38" s="28"/>
      <c r="AG38" s="358"/>
      <c r="AH38" s="359"/>
      <c r="AI38" s="360"/>
      <c r="AJ38" s="29"/>
      <c r="AK38" s="29"/>
      <c r="AL38" s="29"/>
      <c r="AM38" s="29"/>
      <c r="AN38" s="28"/>
    </row>
    <row r="39" spans="1:40" s="5" customFormat="1" ht="30" customHeight="1">
      <c r="A39" s="3">
        <f t="shared" si="10"/>
        <v>34</v>
      </c>
      <c r="B39" s="3">
        <v>1970</v>
      </c>
      <c r="C39" s="3" t="s">
        <v>209</v>
      </c>
      <c r="D39" s="4">
        <f>21519000+13500000+1500000</f>
        <v>36519000</v>
      </c>
      <c r="E39" s="4">
        <v>21500000</v>
      </c>
      <c r="F39" s="4">
        <f>D39-E39</f>
        <v>15019000</v>
      </c>
      <c r="G39" s="4">
        <v>21519000</v>
      </c>
      <c r="H39" s="4">
        <v>12855863.859999999</v>
      </c>
      <c r="I39" s="4"/>
      <c r="J39" s="4">
        <v>8022659.0599999996</v>
      </c>
      <c r="K39" s="4">
        <f t="shared" si="2"/>
        <v>8022659.0599999996</v>
      </c>
      <c r="L39" s="4">
        <f t="shared" si="3"/>
        <v>20878522.919999998</v>
      </c>
      <c r="M39" s="4">
        <f t="shared" si="4"/>
        <v>2140477.0800000019</v>
      </c>
      <c r="N39" s="4">
        <f>13500000-7500000-1000000</f>
        <v>5000000</v>
      </c>
      <c r="O39" s="4">
        <f t="shared" si="5"/>
        <v>8500000</v>
      </c>
      <c r="P39" s="4">
        <f t="shared" si="6"/>
        <v>640477.08000000194</v>
      </c>
      <c r="Q39" s="4"/>
      <c r="R39" s="4">
        <v>1500000</v>
      </c>
      <c r="S39" s="4">
        <f t="shared" si="7"/>
        <v>1500000</v>
      </c>
      <c r="T39" s="4">
        <f t="shared" si="8"/>
        <v>0</v>
      </c>
      <c r="U39" s="4">
        <f t="shared" si="1"/>
        <v>5000000</v>
      </c>
      <c r="V39" s="4"/>
      <c r="W39" s="4">
        <f t="shared" si="9"/>
        <v>5000000</v>
      </c>
      <c r="X39" s="4"/>
      <c r="Y39" s="4"/>
      <c r="Z39" s="3"/>
      <c r="AA39" s="3" t="s">
        <v>1374</v>
      </c>
      <c r="AB39" s="3">
        <v>810000</v>
      </c>
      <c r="AC39" s="191"/>
      <c r="AD39" s="191"/>
      <c r="AE39" s="31"/>
      <c r="AF39" s="28"/>
      <c r="AG39" s="358"/>
      <c r="AH39" s="359"/>
      <c r="AI39" s="360"/>
      <c r="AJ39" s="29"/>
      <c r="AK39" s="29"/>
      <c r="AL39" s="29"/>
      <c r="AM39" s="29"/>
      <c r="AN39" s="28"/>
    </row>
    <row r="40" spans="1:40" s="5" customFormat="1" ht="30" customHeight="1">
      <c r="A40" s="3">
        <f t="shared" si="10"/>
        <v>35</v>
      </c>
      <c r="B40" s="3">
        <v>2001</v>
      </c>
      <c r="C40" s="3" t="s">
        <v>219</v>
      </c>
      <c r="D40" s="4">
        <v>18500000</v>
      </c>
      <c r="E40" s="4">
        <v>18500000</v>
      </c>
      <c r="F40" s="4">
        <f>D40-E40</f>
        <v>0</v>
      </c>
      <c r="G40" s="4">
        <v>998700</v>
      </c>
      <c r="H40" s="4">
        <v>198537</v>
      </c>
      <c r="I40" s="4">
        <v>626186.59</v>
      </c>
      <c r="J40" s="4">
        <v>4866.1499999999996</v>
      </c>
      <c r="K40" s="4">
        <f t="shared" si="2"/>
        <v>631052.74</v>
      </c>
      <c r="L40" s="4">
        <f t="shared" si="3"/>
        <v>829589.74</v>
      </c>
      <c r="M40" s="4">
        <f t="shared" si="4"/>
        <v>169110.26</v>
      </c>
      <c r="N40" s="4">
        <v>17501300</v>
      </c>
      <c r="O40" s="4">
        <f t="shared" si="5"/>
        <v>0</v>
      </c>
      <c r="P40" s="4">
        <f t="shared" si="6"/>
        <v>169110.26</v>
      </c>
      <c r="Q40" s="4"/>
      <c r="R40" s="4"/>
      <c r="S40" s="4">
        <f t="shared" si="7"/>
        <v>0</v>
      </c>
      <c r="T40" s="4">
        <f t="shared" si="8"/>
        <v>0</v>
      </c>
      <c r="U40" s="4">
        <f t="shared" si="1"/>
        <v>17501300</v>
      </c>
      <c r="V40" s="4">
        <f>U40-W40-X40-Y40-Z40</f>
        <v>8500000</v>
      </c>
      <c r="W40" s="4"/>
      <c r="X40" s="4"/>
      <c r="Y40" s="4"/>
      <c r="Z40" s="4">
        <v>9001300</v>
      </c>
      <c r="AA40" s="3" t="s">
        <v>1163</v>
      </c>
      <c r="AB40" s="3">
        <v>810000</v>
      </c>
      <c r="AC40" s="191"/>
      <c r="AD40" s="191"/>
      <c r="AE40" s="31"/>
      <c r="AF40" s="28"/>
      <c r="AG40" s="358"/>
      <c r="AH40" s="359"/>
      <c r="AI40" s="28"/>
      <c r="AJ40" s="29"/>
      <c r="AK40" s="29"/>
      <c r="AL40" s="29"/>
      <c r="AM40" s="29"/>
      <c r="AN40" s="28"/>
    </row>
    <row r="41" spans="1:40" s="5" customFormat="1" ht="30" customHeight="1">
      <c r="A41" s="3">
        <f t="shared" si="10"/>
        <v>36</v>
      </c>
      <c r="B41" s="3">
        <v>2027</v>
      </c>
      <c r="C41" s="3" t="s">
        <v>511</v>
      </c>
      <c r="D41" s="4">
        <v>1930000</v>
      </c>
      <c r="E41" s="4">
        <v>1930000</v>
      </c>
      <c r="F41" s="4">
        <f t="shared" si="0"/>
        <v>0</v>
      </c>
      <c r="G41" s="4">
        <v>1930000</v>
      </c>
      <c r="H41" s="4">
        <v>1798656.39</v>
      </c>
      <c r="I41" s="4"/>
      <c r="J41" s="4">
        <v>102241.56</v>
      </c>
      <c r="K41" s="4">
        <f t="shared" si="2"/>
        <v>102241.56</v>
      </c>
      <c r="L41" s="4">
        <f t="shared" si="3"/>
        <v>1900897.95</v>
      </c>
      <c r="M41" s="4">
        <f t="shared" si="4"/>
        <v>29102.050000000047</v>
      </c>
      <c r="N41" s="4"/>
      <c r="O41" s="4">
        <f t="shared" si="5"/>
        <v>0</v>
      </c>
      <c r="P41" s="4">
        <f t="shared" si="6"/>
        <v>29102.050000000047</v>
      </c>
      <c r="Q41" s="324"/>
      <c r="R41" s="4"/>
      <c r="S41" s="324">
        <f t="shared" si="7"/>
        <v>0</v>
      </c>
      <c r="T41" s="4">
        <f t="shared" si="8"/>
        <v>0</v>
      </c>
      <c r="U41" s="4">
        <f t="shared" si="1"/>
        <v>0</v>
      </c>
      <c r="V41" s="4"/>
      <c r="W41" s="4">
        <f t="shared" si="9"/>
        <v>0</v>
      </c>
      <c r="X41" s="4"/>
      <c r="Y41" s="4"/>
      <c r="Z41" s="3"/>
      <c r="AA41" s="3"/>
      <c r="AB41" s="3">
        <v>810000</v>
      </c>
      <c r="AC41" s="191"/>
      <c r="AD41" s="191"/>
      <c r="AE41" s="31"/>
      <c r="AF41" s="28"/>
      <c r="AG41" s="358"/>
      <c r="AH41" s="359"/>
      <c r="AI41" s="360"/>
      <c r="AJ41" s="29"/>
      <c r="AK41" s="29"/>
      <c r="AL41" s="29"/>
      <c r="AM41" s="29"/>
      <c r="AN41" s="28"/>
    </row>
    <row r="42" spans="1:40" s="5" customFormat="1" ht="30" customHeight="1">
      <c r="A42" s="3">
        <f t="shared" si="10"/>
        <v>37</v>
      </c>
      <c r="B42" s="3">
        <v>2028</v>
      </c>
      <c r="C42" s="3" t="s">
        <v>512</v>
      </c>
      <c r="D42" s="4">
        <f>1800000+400000</f>
        <v>2200000</v>
      </c>
      <c r="E42" s="4">
        <v>1800000</v>
      </c>
      <c r="F42" s="4">
        <f t="shared" si="0"/>
        <v>400000</v>
      </c>
      <c r="G42" s="4">
        <v>1800000</v>
      </c>
      <c r="H42" s="4">
        <v>433605.55</v>
      </c>
      <c r="I42" s="4">
        <v>1320644.7</v>
      </c>
      <c r="J42" s="4">
        <v>5382</v>
      </c>
      <c r="K42" s="4">
        <f t="shared" si="2"/>
        <v>1326026.7</v>
      </c>
      <c r="L42" s="4">
        <f t="shared" si="3"/>
        <v>1759632.25</v>
      </c>
      <c r="M42" s="4">
        <f t="shared" si="4"/>
        <v>40367.75</v>
      </c>
      <c r="N42" s="4">
        <v>400000</v>
      </c>
      <c r="O42" s="4">
        <f t="shared" si="5"/>
        <v>0</v>
      </c>
      <c r="P42" s="4">
        <f t="shared" si="6"/>
        <v>40367.75</v>
      </c>
      <c r="Q42" s="4"/>
      <c r="R42" s="4"/>
      <c r="S42" s="4">
        <f t="shared" si="7"/>
        <v>0</v>
      </c>
      <c r="T42" s="4">
        <f t="shared" si="8"/>
        <v>0</v>
      </c>
      <c r="U42" s="4">
        <f t="shared" si="1"/>
        <v>400000</v>
      </c>
      <c r="V42" s="4"/>
      <c r="W42" s="4">
        <f t="shared" si="9"/>
        <v>400000</v>
      </c>
      <c r="X42" s="4"/>
      <c r="Y42" s="4"/>
      <c r="Z42" s="3"/>
      <c r="AA42" s="3" t="s">
        <v>1164</v>
      </c>
      <c r="AB42" s="3">
        <v>810000</v>
      </c>
      <c r="AC42" s="191"/>
      <c r="AD42" s="191"/>
      <c r="AE42" s="31"/>
      <c r="AF42" s="28"/>
      <c r="AG42" s="358"/>
      <c r="AH42" s="359"/>
      <c r="AI42" s="28"/>
      <c r="AJ42" s="29"/>
      <c r="AK42" s="29"/>
      <c r="AL42" s="29"/>
      <c r="AM42" s="29"/>
      <c r="AN42" s="28"/>
    </row>
    <row r="43" spans="1:40" s="5" customFormat="1" ht="30" customHeight="1">
      <c r="A43" s="3">
        <f t="shared" si="10"/>
        <v>38</v>
      </c>
      <c r="B43" s="3">
        <v>2029</v>
      </c>
      <c r="C43" s="3" t="s">
        <v>513</v>
      </c>
      <c r="D43" s="4">
        <v>300000</v>
      </c>
      <c r="E43" s="4">
        <v>300000</v>
      </c>
      <c r="F43" s="4">
        <f t="shared" si="0"/>
        <v>0</v>
      </c>
      <c r="G43" s="4">
        <v>300000</v>
      </c>
      <c r="H43" s="4">
        <v>0</v>
      </c>
      <c r="I43" s="4"/>
      <c r="J43" s="4"/>
      <c r="K43" s="4">
        <f t="shared" si="2"/>
        <v>0</v>
      </c>
      <c r="L43" s="4">
        <f t="shared" si="3"/>
        <v>0</v>
      </c>
      <c r="M43" s="4">
        <f>P43+S43-250000</f>
        <v>50000</v>
      </c>
      <c r="N43" s="4">
        <v>250000</v>
      </c>
      <c r="O43" s="4">
        <f t="shared" si="5"/>
        <v>0</v>
      </c>
      <c r="P43" s="4">
        <f t="shared" si="6"/>
        <v>300000</v>
      </c>
      <c r="Q43" s="4"/>
      <c r="R43" s="4"/>
      <c r="S43" s="4">
        <f t="shared" si="7"/>
        <v>0</v>
      </c>
      <c r="T43" s="4">
        <f t="shared" si="8"/>
        <v>250000</v>
      </c>
      <c r="U43" s="4">
        <f t="shared" si="1"/>
        <v>0</v>
      </c>
      <c r="V43" s="4"/>
      <c r="W43" s="4">
        <f t="shared" si="9"/>
        <v>0</v>
      </c>
      <c r="X43" s="4"/>
      <c r="Y43" s="4"/>
      <c r="Z43" s="3"/>
      <c r="AA43" s="3" t="s">
        <v>1499</v>
      </c>
      <c r="AB43" s="3">
        <v>850000</v>
      </c>
      <c r="AC43" s="191"/>
      <c r="AD43" s="191"/>
      <c r="AE43" s="31"/>
      <c r="AF43" s="28"/>
      <c r="AG43" s="358"/>
      <c r="AH43" s="359"/>
      <c r="AI43" s="28"/>
      <c r="AJ43" s="29"/>
      <c r="AK43" s="29"/>
      <c r="AL43" s="29"/>
      <c r="AM43" s="29"/>
      <c r="AN43" s="28"/>
    </row>
    <row r="44" spans="1:40" s="5" customFormat="1" ht="30" customHeight="1">
      <c r="A44" s="3">
        <f t="shared" si="10"/>
        <v>39</v>
      </c>
      <c r="B44" s="3">
        <v>2030</v>
      </c>
      <c r="C44" s="3" t="s">
        <v>385</v>
      </c>
      <c r="D44" s="4">
        <v>31500000</v>
      </c>
      <c r="E44" s="4">
        <v>31500000</v>
      </c>
      <c r="F44" s="4">
        <f t="shared" si="0"/>
        <v>0</v>
      </c>
      <c r="G44" s="4">
        <v>11000000</v>
      </c>
      <c r="H44" s="4">
        <v>2019372.78</v>
      </c>
      <c r="I44" s="4">
        <v>5480195.0999999996</v>
      </c>
      <c r="J44" s="4">
        <v>43146.38</v>
      </c>
      <c r="K44" s="4">
        <f t="shared" si="2"/>
        <v>5523341.4799999995</v>
      </c>
      <c r="L44" s="4">
        <f t="shared" si="3"/>
        <v>7542714.2599999998</v>
      </c>
      <c r="M44" s="4">
        <f t="shared" si="4"/>
        <v>3457285.74</v>
      </c>
      <c r="N44" s="4">
        <v>8000000</v>
      </c>
      <c r="O44" s="4">
        <f t="shared" si="5"/>
        <v>12500000</v>
      </c>
      <c r="P44" s="4">
        <f t="shared" si="6"/>
        <v>3457285.74</v>
      </c>
      <c r="Q44" s="4"/>
      <c r="R44" s="4"/>
      <c r="S44" s="4">
        <f t="shared" si="7"/>
        <v>0</v>
      </c>
      <c r="T44" s="4">
        <f t="shared" si="8"/>
        <v>0</v>
      </c>
      <c r="U44" s="4">
        <f t="shared" si="1"/>
        <v>8000000</v>
      </c>
      <c r="V44" s="4">
        <f>U44-W44-X44-Y44-Z44</f>
        <v>8000000</v>
      </c>
      <c r="W44" s="4"/>
      <c r="X44" s="4"/>
      <c r="Y44" s="4"/>
      <c r="Z44" s="4"/>
      <c r="AA44" s="3" t="s">
        <v>1471</v>
      </c>
      <c r="AB44" s="3">
        <v>810000</v>
      </c>
      <c r="AC44" s="191"/>
      <c r="AD44" s="191"/>
      <c r="AE44" s="31"/>
      <c r="AF44" s="28"/>
      <c r="AG44" s="358"/>
      <c r="AH44" s="359"/>
      <c r="AI44" s="28"/>
      <c r="AJ44" s="29"/>
      <c r="AK44" s="29"/>
      <c r="AL44" s="28"/>
      <c r="AM44" s="28"/>
      <c r="AN44" s="28"/>
    </row>
    <row r="45" spans="1:40" s="5" customFormat="1" ht="30" customHeight="1">
      <c r="A45" s="3">
        <f t="shared" si="10"/>
        <v>40</v>
      </c>
      <c r="B45" s="3">
        <v>2061</v>
      </c>
      <c r="C45" s="3" t="s">
        <v>514</v>
      </c>
      <c r="D45" s="4">
        <v>290000</v>
      </c>
      <c r="E45" s="4">
        <v>290000</v>
      </c>
      <c r="F45" s="4">
        <f t="shared" si="0"/>
        <v>0</v>
      </c>
      <c r="G45" s="4">
        <v>290000</v>
      </c>
      <c r="H45" s="4">
        <v>256348.76</v>
      </c>
      <c r="I45" s="4"/>
      <c r="J45" s="4">
        <v>32643</v>
      </c>
      <c r="K45" s="4">
        <f t="shared" si="2"/>
        <v>32643</v>
      </c>
      <c r="L45" s="4">
        <f t="shared" si="3"/>
        <v>288991.76</v>
      </c>
      <c r="M45" s="4">
        <f t="shared" si="4"/>
        <v>1008.2399999999907</v>
      </c>
      <c r="N45" s="4"/>
      <c r="O45" s="4">
        <f t="shared" si="5"/>
        <v>0</v>
      </c>
      <c r="P45" s="4">
        <f t="shared" si="6"/>
        <v>1008.2399999999907</v>
      </c>
      <c r="Q45" s="4"/>
      <c r="R45" s="4"/>
      <c r="S45" s="4">
        <f t="shared" si="7"/>
        <v>0</v>
      </c>
      <c r="T45" s="4">
        <f t="shared" si="8"/>
        <v>0</v>
      </c>
      <c r="U45" s="4">
        <f t="shared" si="1"/>
        <v>0</v>
      </c>
      <c r="V45" s="4"/>
      <c r="W45" s="4">
        <f t="shared" si="9"/>
        <v>0</v>
      </c>
      <c r="X45" s="4"/>
      <c r="Y45" s="4"/>
      <c r="Z45" s="3"/>
      <c r="AA45" s="3" t="s">
        <v>773</v>
      </c>
      <c r="AB45" s="3">
        <v>930000</v>
      </c>
      <c r="AC45" s="191"/>
      <c r="AD45" s="191"/>
      <c r="AE45" s="31"/>
      <c r="AF45" s="28"/>
      <c r="AG45" s="358"/>
      <c r="AH45" s="359"/>
      <c r="AI45" s="28"/>
      <c r="AJ45" s="29"/>
      <c r="AK45" s="29"/>
      <c r="AL45" s="29"/>
      <c r="AM45" s="29"/>
      <c r="AN45" s="28"/>
    </row>
    <row r="46" spans="1:40" s="5" customFormat="1" ht="30" customHeight="1">
      <c r="A46" s="3">
        <f t="shared" si="10"/>
        <v>41</v>
      </c>
      <c r="B46" s="3">
        <v>2063</v>
      </c>
      <c r="C46" s="3" t="s">
        <v>515</v>
      </c>
      <c r="D46" s="4">
        <v>1490000</v>
      </c>
      <c r="E46" s="4">
        <v>1490000</v>
      </c>
      <c r="F46" s="4">
        <f t="shared" si="0"/>
        <v>0</v>
      </c>
      <c r="G46" s="4">
        <v>1490000</v>
      </c>
      <c r="H46" s="4">
        <v>60470.12</v>
      </c>
      <c r="I46" s="4">
        <v>38680.199999999997</v>
      </c>
      <c r="J46" s="4">
        <v>31297.5</v>
      </c>
      <c r="K46" s="4">
        <f t="shared" si="2"/>
        <v>69977.7</v>
      </c>
      <c r="L46" s="4">
        <f t="shared" si="3"/>
        <v>130447.82</v>
      </c>
      <c r="M46" s="4">
        <f>P46+S46-1000000</f>
        <v>359552.17999999993</v>
      </c>
      <c r="N46" s="4">
        <v>1000000</v>
      </c>
      <c r="O46" s="4">
        <f t="shared" si="5"/>
        <v>0</v>
      </c>
      <c r="P46" s="4">
        <f t="shared" si="6"/>
        <v>1359552.18</v>
      </c>
      <c r="Q46" s="4"/>
      <c r="R46" s="4"/>
      <c r="S46" s="4">
        <f t="shared" si="7"/>
        <v>0</v>
      </c>
      <c r="T46" s="4">
        <f t="shared" si="8"/>
        <v>1000000</v>
      </c>
      <c r="U46" s="4">
        <f t="shared" si="1"/>
        <v>0</v>
      </c>
      <c r="V46" s="4"/>
      <c r="W46" s="4">
        <f t="shared" si="9"/>
        <v>0</v>
      </c>
      <c r="X46" s="4"/>
      <c r="Y46" s="4"/>
      <c r="Z46" s="3"/>
      <c r="AA46" s="3" t="s">
        <v>1500</v>
      </c>
      <c r="AB46" s="3">
        <v>810000</v>
      </c>
      <c r="AC46" s="191"/>
      <c r="AD46" s="191"/>
      <c r="AE46" s="31"/>
      <c r="AF46" s="28"/>
      <c r="AG46" s="358"/>
      <c r="AH46" s="359"/>
      <c r="AI46" s="28"/>
      <c r="AJ46" s="29"/>
      <c r="AK46" s="29"/>
      <c r="AL46" s="29"/>
      <c r="AM46" s="29"/>
      <c r="AN46" s="28"/>
    </row>
    <row r="47" spans="1:40" s="5" customFormat="1" ht="30" customHeight="1">
      <c r="A47" s="3">
        <f t="shared" si="10"/>
        <v>42</v>
      </c>
      <c r="B47" s="3">
        <v>2065</v>
      </c>
      <c r="C47" s="3" t="s">
        <v>516</v>
      </c>
      <c r="D47" s="4">
        <v>700000</v>
      </c>
      <c r="E47" s="4">
        <v>700000</v>
      </c>
      <c r="F47" s="4">
        <f t="shared" si="0"/>
        <v>0</v>
      </c>
      <c r="G47" s="4">
        <v>700000</v>
      </c>
      <c r="H47" s="4">
        <v>675328.1</v>
      </c>
      <c r="I47" s="4"/>
      <c r="J47" s="4">
        <v>24618.63</v>
      </c>
      <c r="K47" s="4">
        <f t="shared" si="2"/>
        <v>24618.63</v>
      </c>
      <c r="L47" s="4">
        <f t="shared" si="3"/>
        <v>699946.73</v>
      </c>
      <c r="M47" s="4">
        <f t="shared" si="4"/>
        <v>53.270000000018626</v>
      </c>
      <c r="N47" s="4"/>
      <c r="O47" s="4">
        <f t="shared" si="5"/>
        <v>0</v>
      </c>
      <c r="P47" s="4">
        <f t="shared" si="6"/>
        <v>53.270000000018626</v>
      </c>
      <c r="Q47" s="4"/>
      <c r="R47" s="4"/>
      <c r="S47" s="4">
        <f t="shared" si="7"/>
        <v>0</v>
      </c>
      <c r="T47" s="4">
        <f t="shared" si="8"/>
        <v>0</v>
      </c>
      <c r="U47" s="4">
        <f t="shared" si="1"/>
        <v>0</v>
      </c>
      <c r="V47" s="4"/>
      <c r="W47" s="4">
        <f t="shared" si="9"/>
        <v>0</v>
      </c>
      <c r="X47" s="4"/>
      <c r="Y47" s="4"/>
      <c r="Z47" s="3"/>
      <c r="AA47" s="3" t="s">
        <v>775</v>
      </c>
      <c r="AB47" s="3">
        <v>810000</v>
      </c>
      <c r="AC47" s="191"/>
      <c r="AD47" s="191"/>
      <c r="AE47" s="351"/>
      <c r="AF47" s="28"/>
      <c r="AG47" s="358"/>
      <c r="AH47" s="359"/>
      <c r="AI47" s="28"/>
      <c r="AJ47" s="29"/>
      <c r="AK47" s="29"/>
      <c r="AL47" s="29"/>
      <c r="AM47" s="29"/>
      <c r="AN47" s="28"/>
    </row>
    <row r="48" spans="1:40" s="5" customFormat="1" ht="30" customHeight="1">
      <c r="A48" s="3">
        <f t="shared" si="10"/>
        <v>43</v>
      </c>
      <c r="B48" s="3">
        <v>2068</v>
      </c>
      <c r="C48" s="3" t="s">
        <v>776</v>
      </c>
      <c r="D48" s="4">
        <v>280000</v>
      </c>
      <c r="E48" s="4">
        <v>280000</v>
      </c>
      <c r="F48" s="4">
        <f t="shared" si="0"/>
        <v>0</v>
      </c>
      <c r="G48" s="4">
        <v>280000</v>
      </c>
      <c r="H48" s="4">
        <v>261600.54</v>
      </c>
      <c r="I48" s="4"/>
      <c r="J48" s="4"/>
      <c r="K48" s="4">
        <f t="shared" si="2"/>
        <v>0</v>
      </c>
      <c r="L48" s="4">
        <f t="shared" si="3"/>
        <v>261600.54</v>
      </c>
      <c r="M48" s="4">
        <f t="shared" si="4"/>
        <v>18399.459999999992</v>
      </c>
      <c r="N48" s="4"/>
      <c r="O48" s="4">
        <f t="shared" si="5"/>
        <v>0</v>
      </c>
      <c r="P48" s="4">
        <f t="shared" si="6"/>
        <v>18399.459999999992</v>
      </c>
      <c r="Q48" s="4"/>
      <c r="R48" s="4"/>
      <c r="S48" s="4">
        <f t="shared" si="7"/>
        <v>0</v>
      </c>
      <c r="T48" s="4">
        <f t="shared" si="8"/>
        <v>0</v>
      </c>
      <c r="U48" s="4">
        <f t="shared" si="1"/>
        <v>0</v>
      </c>
      <c r="V48" s="4"/>
      <c r="W48" s="4">
        <f t="shared" si="9"/>
        <v>0</v>
      </c>
      <c r="X48" s="4"/>
      <c r="Y48" s="4"/>
      <c r="Z48" s="3"/>
      <c r="AA48" s="3" t="s">
        <v>777</v>
      </c>
      <c r="AB48" s="3">
        <v>829000</v>
      </c>
      <c r="AC48" s="191"/>
      <c r="AD48" s="191"/>
      <c r="AE48" s="31"/>
      <c r="AF48" s="28"/>
      <c r="AG48" s="358"/>
      <c r="AH48" s="359"/>
      <c r="AI48" s="28"/>
      <c r="AJ48" s="29"/>
      <c r="AK48" s="29"/>
      <c r="AL48" s="29"/>
      <c r="AM48" s="29"/>
      <c r="AN48" s="28"/>
    </row>
    <row r="49" spans="1:40" s="636" customFormat="1" ht="30" customHeight="1">
      <c r="A49" s="3">
        <f t="shared" si="10"/>
        <v>44</v>
      </c>
      <c r="B49" s="629">
        <v>2071</v>
      </c>
      <c r="C49" s="630" t="s">
        <v>530</v>
      </c>
      <c r="D49" s="4">
        <v>300000</v>
      </c>
      <c r="E49" s="631">
        <v>300000</v>
      </c>
      <c r="F49" s="631">
        <f>D49-E49</f>
        <v>0</v>
      </c>
      <c r="G49" s="631">
        <v>300000</v>
      </c>
      <c r="H49" s="631">
        <v>270457.13</v>
      </c>
      <c r="I49" s="631"/>
      <c r="J49" s="631"/>
      <c r="K49" s="631">
        <f>I49+J49</f>
        <v>0</v>
      </c>
      <c r="L49" s="631">
        <f>H49+K49</f>
        <v>270457.13</v>
      </c>
      <c r="M49" s="631">
        <f t="shared" si="4"/>
        <v>29542.869999999995</v>
      </c>
      <c r="N49" s="4">
        <f>F49</f>
        <v>0</v>
      </c>
      <c r="O49" s="631">
        <f>D49-M49-N49-L49</f>
        <v>0</v>
      </c>
      <c r="P49" s="631">
        <f t="shared" si="6"/>
        <v>29542.869999999995</v>
      </c>
      <c r="Q49" s="631"/>
      <c r="R49" s="631"/>
      <c r="S49" s="631">
        <f>SUM(Q49:R49)</f>
        <v>0</v>
      </c>
      <c r="T49" s="631">
        <f>P49-M49+S49</f>
        <v>0</v>
      </c>
      <c r="U49" s="631">
        <f>N49-T49</f>
        <v>0</v>
      </c>
      <c r="V49" s="631"/>
      <c r="W49" s="631">
        <f>U49-V49-Y49-Z49</f>
        <v>0</v>
      </c>
      <c r="X49" s="631"/>
      <c r="Y49" s="631"/>
      <c r="Z49" s="632"/>
      <c r="AA49" s="3" t="s">
        <v>1159</v>
      </c>
      <c r="AB49" s="630">
        <v>810000</v>
      </c>
      <c r="AC49" s="633"/>
      <c r="AD49" s="634"/>
      <c r="AE49" s="634"/>
      <c r="AF49" s="634"/>
      <c r="AG49" s="634"/>
      <c r="AH49" s="635"/>
    </row>
    <row r="50" spans="1:40" s="5" customFormat="1" ht="30" customHeight="1">
      <c r="A50" s="3">
        <f t="shared" si="10"/>
        <v>45</v>
      </c>
      <c r="B50" s="3">
        <v>2074</v>
      </c>
      <c r="C50" s="3" t="s">
        <v>517</v>
      </c>
      <c r="D50" s="4">
        <v>2000000</v>
      </c>
      <c r="E50" s="4">
        <v>2000000</v>
      </c>
      <c r="F50" s="4">
        <f>D50-E50</f>
        <v>0</v>
      </c>
      <c r="G50" s="4">
        <v>2000000</v>
      </c>
      <c r="H50" s="4">
        <v>134261.41</v>
      </c>
      <c r="I50" s="4"/>
      <c r="J50" s="4">
        <v>22256.37</v>
      </c>
      <c r="K50" s="4">
        <f t="shared" si="2"/>
        <v>22256.37</v>
      </c>
      <c r="L50" s="4">
        <f t="shared" si="3"/>
        <v>156517.78</v>
      </c>
      <c r="M50" s="4">
        <f t="shared" si="4"/>
        <v>1843482.22</v>
      </c>
      <c r="N50" s="4"/>
      <c r="O50" s="4">
        <f>D50-L50-M50-N50</f>
        <v>0</v>
      </c>
      <c r="P50" s="4">
        <f t="shared" si="6"/>
        <v>1843482.22</v>
      </c>
      <c r="Q50" s="4"/>
      <c r="R50" s="4"/>
      <c r="S50" s="4">
        <f>SUM(Q50:R50)</f>
        <v>0</v>
      </c>
      <c r="T50" s="4">
        <f>P50-M50+S50</f>
        <v>0</v>
      </c>
      <c r="U50" s="4">
        <f>N50-T50</f>
        <v>0</v>
      </c>
      <c r="V50" s="4">
        <f>U50*0.5</f>
        <v>0</v>
      </c>
      <c r="W50" s="4">
        <f>U50-V50-Y50-Z50</f>
        <v>0</v>
      </c>
      <c r="X50" s="4"/>
      <c r="Y50" s="4"/>
      <c r="Z50" s="3"/>
      <c r="AA50" s="3" t="s">
        <v>1472</v>
      </c>
      <c r="AB50" s="3">
        <v>930000</v>
      </c>
      <c r="AC50" s="191"/>
      <c r="AD50" s="191"/>
      <c r="AE50" s="31"/>
      <c r="AF50" s="28"/>
      <c r="AG50" s="358"/>
      <c r="AH50" s="359"/>
      <c r="AI50" s="28"/>
      <c r="AJ50" s="29"/>
      <c r="AK50" s="29"/>
      <c r="AL50" s="29"/>
      <c r="AM50" s="29"/>
      <c r="AN50" s="28"/>
    </row>
    <row r="51" spans="1:40" s="5" customFormat="1" ht="30" customHeight="1">
      <c r="A51" s="3">
        <f t="shared" si="10"/>
        <v>46</v>
      </c>
      <c r="B51" s="39">
        <v>2095</v>
      </c>
      <c r="C51" s="3" t="s">
        <v>519</v>
      </c>
      <c r="D51" s="4">
        <v>160000</v>
      </c>
      <c r="E51" s="4">
        <v>160000</v>
      </c>
      <c r="F51" s="4">
        <f>D51-E51</f>
        <v>0</v>
      </c>
      <c r="G51" s="4">
        <v>160000</v>
      </c>
      <c r="H51" s="4">
        <v>0</v>
      </c>
      <c r="I51" s="4"/>
      <c r="J51" s="4"/>
      <c r="K51" s="4">
        <f t="shared" si="2"/>
        <v>0</v>
      </c>
      <c r="L51" s="4">
        <f t="shared" si="3"/>
        <v>0</v>
      </c>
      <c r="M51" s="4">
        <f t="shared" si="4"/>
        <v>160000</v>
      </c>
      <c r="N51" s="4"/>
      <c r="O51" s="4">
        <f>D51-L51-M51-N51</f>
        <v>0</v>
      </c>
      <c r="P51" s="4">
        <f t="shared" si="6"/>
        <v>160000</v>
      </c>
      <c r="Q51" s="4"/>
      <c r="R51" s="4"/>
      <c r="S51" s="4">
        <f>SUM(Q51:R51)</f>
        <v>0</v>
      </c>
      <c r="T51" s="4">
        <f>P51-M51+S51</f>
        <v>0</v>
      </c>
      <c r="U51" s="4">
        <f>N51-T51</f>
        <v>0</v>
      </c>
      <c r="V51" s="4"/>
      <c r="W51" s="4">
        <f>U51-V51-Y51-Z51</f>
        <v>0</v>
      </c>
      <c r="X51" s="4"/>
      <c r="Y51" s="4"/>
      <c r="Z51" s="3"/>
      <c r="AA51" s="3" t="s">
        <v>1375</v>
      </c>
      <c r="AB51" s="3">
        <v>610000</v>
      </c>
      <c r="AC51" s="191"/>
      <c r="AD51" s="191"/>
      <c r="AE51" s="31"/>
      <c r="AF51" s="351"/>
      <c r="AG51" s="351"/>
      <c r="AH51" s="352"/>
      <c r="AI51" s="357"/>
      <c r="AJ51" s="29"/>
      <c r="AK51" s="29"/>
      <c r="AL51" s="29"/>
      <c r="AM51" s="29"/>
      <c r="AN51" s="28"/>
    </row>
    <row r="52" spans="1:40" s="5" customFormat="1" ht="30" customHeight="1">
      <c r="A52" s="3">
        <f t="shared" si="10"/>
        <v>47</v>
      </c>
      <c r="B52" s="39">
        <v>2096</v>
      </c>
      <c r="C52" s="3" t="s">
        <v>521</v>
      </c>
      <c r="D52" s="4">
        <v>1215000</v>
      </c>
      <c r="E52" s="4">
        <v>1215000</v>
      </c>
      <c r="F52" s="4">
        <f>D52-E52</f>
        <v>0</v>
      </c>
      <c r="G52" s="4">
        <v>800000</v>
      </c>
      <c r="H52" s="4">
        <v>1972</v>
      </c>
      <c r="I52" s="4"/>
      <c r="J52" s="4">
        <v>119593.84</v>
      </c>
      <c r="K52" s="4">
        <f t="shared" si="2"/>
        <v>119593.84</v>
      </c>
      <c r="L52" s="4">
        <f t="shared" si="3"/>
        <v>121565.84</v>
      </c>
      <c r="M52" s="4">
        <f>P52+S52-415000</f>
        <v>678434.16000000015</v>
      </c>
      <c r="N52" s="4">
        <v>415000</v>
      </c>
      <c r="O52" s="4">
        <f>D52-L52-M52-N52</f>
        <v>0</v>
      </c>
      <c r="P52" s="4">
        <f t="shared" si="6"/>
        <v>678434.16</v>
      </c>
      <c r="Q52" s="4">
        <v>415000</v>
      </c>
      <c r="R52" s="4"/>
      <c r="S52" s="4">
        <f>SUM(Q52:R52)</f>
        <v>415000</v>
      </c>
      <c r="T52" s="4">
        <f>P52-M52+S52</f>
        <v>414999.99999999988</v>
      </c>
      <c r="U52" s="4">
        <f>N52-T52</f>
        <v>0</v>
      </c>
      <c r="V52" s="4">
        <f>500000-500000</f>
        <v>0</v>
      </c>
      <c r="W52" s="4">
        <f>U52-V52-Y52-Z52</f>
        <v>0</v>
      </c>
      <c r="X52" s="4"/>
      <c r="Y52" s="4"/>
      <c r="Z52" s="3"/>
      <c r="AA52" s="3" t="s">
        <v>778</v>
      </c>
      <c r="AB52" s="3">
        <v>930000</v>
      </c>
      <c r="AC52" s="191"/>
      <c r="AD52" s="191"/>
      <c r="AE52" s="31"/>
      <c r="AF52" s="351"/>
      <c r="AG52" s="351"/>
      <c r="AH52" s="352"/>
      <c r="AI52" s="357"/>
      <c r="AJ52" s="29"/>
      <c r="AK52" s="29"/>
      <c r="AL52" s="29"/>
      <c r="AM52" s="29"/>
      <c r="AN52" s="28"/>
    </row>
    <row r="53" spans="1:40" s="5" customFormat="1" ht="30" customHeight="1">
      <c r="A53" s="3">
        <f t="shared" si="10"/>
        <v>48</v>
      </c>
      <c r="B53" s="3">
        <v>2128</v>
      </c>
      <c r="C53" s="3" t="s">
        <v>1055</v>
      </c>
      <c r="D53" s="4">
        <v>450000</v>
      </c>
      <c r="E53" s="4">
        <v>450000</v>
      </c>
      <c r="F53" s="4">
        <f t="shared" si="0"/>
        <v>0</v>
      </c>
      <c r="G53" s="4">
        <v>450000</v>
      </c>
      <c r="H53" s="4">
        <v>0</v>
      </c>
      <c r="I53" s="4"/>
      <c r="J53" s="4">
        <v>129870</v>
      </c>
      <c r="K53" s="4">
        <f t="shared" si="2"/>
        <v>129870</v>
      </c>
      <c r="L53" s="4">
        <f t="shared" si="3"/>
        <v>129870</v>
      </c>
      <c r="M53" s="4">
        <f t="shared" si="4"/>
        <v>320130</v>
      </c>
      <c r="N53" s="4"/>
      <c r="O53" s="4">
        <f t="shared" si="5"/>
        <v>0</v>
      </c>
      <c r="P53" s="4">
        <f t="shared" si="6"/>
        <v>320130</v>
      </c>
      <c r="Q53" s="4"/>
      <c r="R53" s="4"/>
      <c r="S53" s="4">
        <f t="shared" si="7"/>
        <v>0</v>
      </c>
      <c r="T53" s="4">
        <f t="shared" si="8"/>
        <v>0</v>
      </c>
      <c r="U53" s="4">
        <f t="shared" si="1"/>
        <v>0</v>
      </c>
      <c r="V53" s="4"/>
      <c r="W53" s="4">
        <f t="shared" si="9"/>
        <v>0</v>
      </c>
      <c r="X53" s="4"/>
      <c r="Y53" s="4"/>
      <c r="Z53" s="3"/>
      <c r="AA53" s="3" t="s">
        <v>1166</v>
      </c>
      <c r="AB53" s="3">
        <v>720000</v>
      </c>
      <c r="AC53" s="191"/>
      <c r="AD53" s="191"/>
      <c r="AE53" s="31"/>
      <c r="AF53" s="28"/>
      <c r="AG53" s="358"/>
      <c r="AH53" s="359"/>
      <c r="AI53" s="28"/>
      <c r="AJ53" s="29"/>
      <c r="AK53" s="29"/>
      <c r="AL53" s="29"/>
      <c r="AM53" s="29"/>
      <c r="AN53" s="28"/>
    </row>
    <row r="54" spans="1:40" s="5" customFormat="1" ht="30" customHeight="1">
      <c r="A54" s="3">
        <f t="shared" si="10"/>
        <v>49</v>
      </c>
      <c r="B54" s="3">
        <v>2129</v>
      </c>
      <c r="C54" s="3" t="s">
        <v>1167</v>
      </c>
      <c r="D54" s="4">
        <v>624000</v>
      </c>
      <c r="E54" s="4">
        <v>624000</v>
      </c>
      <c r="F54" s="4">
        <f t="shared" si="0"/>
        <v>0</v>
      </c>
      <c r="G54" s="4">
        <v>624000</v>
      </c>
      <c r="H54" s="4">
        <v>0</v>
      </c>
      <c r="I54" s="4"/>
      <c r="J54" s="4">
        <v>486170.87</v>
      </c>
      <c r="K54" s="4">
        <f t="shared" si="2"/>
        <v>486170.87</v>
      </c>
      <c r="L54" s="4">
        <f t="shared" si="3"/>
        <v>486170.87</v>
      </c>
      <c r="M54" s="4">
        <f t="shared" si="4"/>
        <v>137829.13</v>
      </c>
      <c r="N54" s="4"/>
      <c r="O54" s="4">
        <f t="shared" si="5"/>
        <v>0</v>
      </c>
      <c r="P54" s="4">
        <f t="shared" si="6"/>
        <v>137829.13</v>
      </c>
      <c r="Q54" s="4"/>
      <c r="R54" s="4"/>
      <c r="S54" s="4">
        <f t="shared" si="7"/>
        <v>0</v>
      </c>
      <c r="T54" s="4">
        <f t="shared" si="8"/>
        <v>0</v>
      </c>
      <c r="U54" s="4">
        <f t="shared" si="1"/>
        <v>0</v>
      </c>
      <c r="V54" s="4">
        <f>U54*0.5</f>
        <v>0</v>
      </c>
      <c r="W54" s="4">
        <f t="shared" si="9"/>
        <v>0</v>
      </c>
      <c r="X54" s="4"/>
      <c r="Y54" s="4"/>
      <c r="Z54" s="3"/>
      <c r="AA54" s="3" t="s">
        <v>1168</v>
      </c>
      <c r="AB54" s="3">
        <v>840000</v>
      </c>
      <c r="AC54" s="191"/>
      <c r="AD54" s="191"/>
      <c r="AE54" s="31"/>
      <c r="AF54" s="28"/>
      <c r="AG54" s="358"/>
      <c r="AH54" s="359"/>
      <c r="AI54" s="28"/>
      <c r="AJ54" s="29"/>
      <c r="AK54" s="29"/>
      <c r="AL54" s="29"/>
      <c r="AM54" s="29"/>
      <c r="AN54" s="28"/>
    </row>
    <row r="55" spans="1:40" s="5" customFormat="1" ht="30" customHeight="1">
      <c r="A55" s="3">
        <f t="shared" si="10"/>
        <v>50</v>
      </c>
      <c r="B55" s="39">
        <v>2131</v>
      </c>
      <c r="C55" s="3" t="s">
        <v>1377</v>
      </c>
      <c r="D55" s="4">
        <v>7500000</v>
      </c>
      <c r="E55" s="4">
        <v>7500000</v>
      </c>
      <c r="F55" s="4">
        <f t="shared" si="0"/>
        <v>0</v>
      </c>
      <c r="G55" s="4">
        <v>4020000</v>
      </c>
      <c r="H55" s="4">
        <v>0</v>
      </c>
      <c r="I55" s="4"/>
      <c r="J55" s="4">
        <v>377402.59</v>
      </c>
      <c r="K55" s="4">
        <f>SUM(I55:J55)</f>
        <v>377402.59</v>
      </c>
      <c r="L55" s="4">
        <f t="shared" si="3"/>
        <v>377402.59</v>
      </c>
      <c r="M55" s="4">
        <f t="shared" si="4"/>
        <v>3642597.41</v>
      </c>
      <c r="N55" s="4">
        <v>3480000</v>
      </c>
      <c r="O55" s="4">
        <f t="shared" si="5"/>
        <v>0</v>
      </c>
      <c r="P55" s="4">
        <f t="shared" si="6"/>
        <v>3642597.41</v>
      </c>
      <c r="Q55" s="4"/>
      <c r="R55" s="4"/>
      <c r="S55" s="4">
        <f t="shared" si="7"/>
        <v>0</v>
      </c>
      <c r="T55" s="4">
        <f t="shared" si="8"/>
        <v>0</v>
      </c>
      <c r="U55" s="4">
        <f t="shared" si="1"/>
        <v>3480000</v>
      </c>
      <c r="V55" s="4">
        <f>500000-500000</f>
        <v>0</v>
      </c>
      <c r="W55" s="4">
        <f t="shared" si="9"/>
        <v>3480000</v>
      </c>
      <c r="X55" s="4"/>
      <c r="Y55" s="4"/>
      <c r="Z55" s="3"/>
      <c r="AA55" s="3" t="s">
        <v>1169</v>
      </c>
      <c r="AB55" s="3">
        <v>870000</v>
      </c>
      <c r="AC55" s="191"/>
      <c r="AD55" s="191"/>
      <c r="AE55" s="31"/>
      <c r="AF55" s="351"/>
      <c r="AG55" s="351"/>
      <c r="AH55" s="352"/>
      <c r="AI55" s="357"/>
      <c r="AJ55" s="29"/>
      <c r="AK55" s="29"/>
      <c r="AL55" s="29"/>
      <c r="AM55" s="29"/>
      <c r="AN55" s="28"/>
    </row>
    <row r="56" spans="1:40" s="5" customFormat="1" ht="30" customHeight="1">
      <c r="A56" s="3">
        <f t="shared" si="10"/>
        <v>51</v>
      </c>
      <c r="B56" s="39">
        <v>2132</v>
      </c>
      <c r="C56" s="3" t="s">
        <v>1057</v>
      </c>
      <c r="D56" s="4">
        <v>700000</v>
      </c>
      <c r="E56" s="4">
        <v>700000</v>
      </c>
      <c r="F56" s="4">
        <f t="shared" si="0"/>
        <v>0</v>
      </c>
      <c r="G56" s="4">
        <v>700000</v>
      </c>
      <c r="H56" s="4">
        <v>101790</v>
      </c>
      <c r="I56" s="4"/>
      <c r="J56" s="4">
        <v>5122.8500000000004</v>
      </c>
      <c r="K56" s="4">
        <f>SUM(I56:J56)</f>
        <v>5122.8500000000004</v>
      </c>
      <c r="L56" s="4">
        <f t="shared" si="3"/>
        <v>106912.85</v>
      </c>
      <c r="M56" s="4">
        <f t="shared" si="4"/>
        <v>593087.15</v>
      </c>
      <c r="N56" s="4"/>
      <c r="O56" s="4">
        <f t="shared" si="5"/>
        <v>0</v>
      </c>
      <c r="P56" s="4">
        <f t="shared" si="6"/>
        <v>593087.15</v>
      </c>
      <c r="Q56" s="4"/>
      <c r="R56" s="4"/>
      <c r="S56" s="4">
        <f t="shared" si="7"/>
        <v>0</v>
      </c>
      <c r="T56" s="4">
        <f t="shared" si="8"/>
        <v>0</v>
      </c>
      <c r="U56" s="4">
        <f t="shared" si="1"/>
        <v>0</v>
      </c>
      <c r="V56" s="4">
        <f>500000-500000</f>
        <v>0</v>
      </c>
      <c r="W56" s="4">
        <f t="shared" si="9"/>
        <v>0</v>
      </c>
      <c r="X56" s="4"/>
      <c r="Y56" s="4"/>
      <c r="Z56" s="3"/>
      <c r="AA56" s="3" t="s">
        <v>1170</v>
      </c>
      <c r="AB56" s="3">
        <v>810000</v>
      </c>
      <c r="AC56" s="191"/>
      <c r="AD56" s="191"/>
      <c r="AE56" s="31"/>
      <c r="AF56" s="351"/>
      <c r="AG56" s="351"/>
      <c r="AH56" s="352"/>
      <c r="AI56" s="357"/>
      <c r="AJ56" s="29"/>
      <c r="AK56" s="29"/>
      <c r="AL56" s="29"/>
      <c r="AM56" s="29"/>
      <c r="AN56" s="28"/>
    </row>
    <row r="57" spans="1:40" s="5" customFormat="1" ht="30" customHeight="1">
      <c r="A57" s="3">
        <f t="shared" si="10"/>
        <v>52</v>
      </c>
      <c r="B57" s="39">
        <v>2133</v>
      </c>
      <c r="C57" s="3" t="s">
        <v>1058</v>
      </c>
      <c r="D57" s="4">
        <v>3000000</v>
      </c>
      <c r="E57" s="4">
        <v>3000000</v>
      </c>
      <c r="F57" s="4">
        <f t="shared" si="0"/>
        <v>0</v>
      </c>
      <c r="G57" s="4">
        <v>1000000</v>
      </c>
      <c r="H57" s="4">
        <v>0</v>
      </c>
      <c r="I57" s="4"/>
      <c r="J57" s="4"/>
      <c r="K57" s="4">
        <f>SUM(I57:J57)</f>
        <v>0</v>
      </c>
      <c r="L57" s="4">
        <f t="shared" si="3"/>
        <v>0</v>
      </c>
      <c r="M57" s="4">
        <f t="shared" si="4"/>
        <v>1000000</v>
      </c>
      <c r="N57" s="4">
        <v>2000000</v>
      </c>
      <c r="O57" s="4">
        <f t="shared" si="5"/>
        <v>0</v>
      </c>
      <c r="P57" s="4">
        <f t="shared" si="6"/>
        <v>1000000</v>
      </c>
      <c r="Q57" s="4"/>
      <c r="R57" s="4"/>
      <c r="S57" s="4">
        <f t="shared" si="7"/>
        <v>0</v>
      </c>
      <c r="T57" s="4">
        <f t="shared" si="8"/>
        <v>0</v>
      </c>
      <c r="U57" s="4">
        <f t="shared" si="1"/>
        <v>2000000</v>
      </c>
      <c r="V57" s="4">
        <f>500000-500000</f>
        <v>0</v>
      </c>
      <c r="W57" s="4">
        <f t="shared" si="9"/>
        <v>2000000</v>
      </c>
      <c r="X57" s="4"/>
      <c r="Y57" s="4"/>
      <c r="Z57" s="3"/>
      <c r="AA57" s="3" t="s">
        <v>1171</v>
      </c>
      <c r="AB57" s="3">
        <v>930000</v>
      </c>
      <c r="AC57" s="191"/>
      <c r="AD57" s="191"/>
      <c r="AE57" s="31"/>
      <c r="AF57" s="351"/>
      <c r="AG57" s="351"/>
      <c r="AH57" s="352"/>
      <c r="AI57" s="357"/>
      <c r="AJ57" s="29"/>
      <c r="AK57" s="29"/>
      <c r="AL57" s="29"/>
      <c r="AM57" s="29"/>
      <c r="AN57" s="28"/>
    </row>
    <row r="58" spans="1:40" s="5" customFormat="1" ht="30" customHeight="1">
      <c r="A58" s="3">
        <f t="shared" si="10"/>
        <v>53</v>
      </c>
      <c r="B58" s="39">
        <v>2134</v>
      </c>
      <c r="C58" s="3" t="s">
        <v>1059</v>
      </c>
      <c r="D58" s="4">
        <v>494000</v>
      </c>
      <c r="E58" s="4">
        <v>494000</v>
      </c>
      <c r="F58" s="4">
        <f t="shared" si="0"/>
        <v>0</v>
      </c>
      <c r="G58" s="4">
        <v>494000</v>
      </c>
      <c r="H58" s="4">
        <v>0</v>
      </c>
      <c r="I58" s="4"/>
      <c r="J58" s="4"/>
      <c r="K58" s="4">
        <f>SUM(I58:J58)</f>
        <v>0</v>
      </c>
      <c r="L58" s="4">
        <f t="shared" si="3"/>
        <v>0</v>
      </c>
      <c r="M58" s="4">
        <f t="shared" si="4"/>
        <v>494000</v>
      </c>
      <c r="N58" s="4"/>
      <c r="O58" s="4">
        <f t="shared" si="5"/>
        <v>0</v>
      </c>
      <c r="P58" s="4">
        <f t="shared" si="6"/>
        <v>494000</v>
      </c>
      <c r="Q58" s="4"/>
      <c r="R58" s="4"/>
      <c r="S58" s="4">
        <f t="shared" si="7"/>
        <v>0</v>
      </c>
      <c r="T58" s="4">
        <f t="shared" si="8"/>
        <v>0</v>
      </c>
      <c r="U58" s="4">
        <f t="shared" si="1"/>
        <v>0</v>
      </c>
      <c r="V58" s="4">
        <f>500000-500000</f>
        <v>0</v>
      </c>
      <c r="W58" s="4">
        <f t="shared" si="9"/>
        <v>0</v>
      </c>
      <c r="X58" s="4"/>
      <c r="Y58" s="4"/>
      <c r="Z58" s="3"/>
      <c r="AA58" s="3" t="s">
        <v>1172</v>
      </c>
      <c r="AB58" s="3">
        <v>829000</v>
      </c>
      <c r="AC58" s="191"/>
      <c r="AD58" s="191"/>
      <c r="AE58" s="31"/>
      <c r="AF58" s="351"/>
      <c r="AG58" s="351"/>
      <c r="AH58" s="352"/>
      <c r="AI58" s="357"/>
      <c r="AJ58" s="29"/>
      <c r="AK58" s="29"/>
      <c r="AL58" s="29"/>
      <c r="AM58" s="29"/>
      <c r="AN58" s="28"/>
    </row>
    <row r="59" spans="1:40" s="5" customFormat="1" ht="30" customHeight="1">
      <c r="A59" s="3">
        <f t="shared" si="10"/>
        <v>54</v>
      </c>
      <c r="B59" s="39">
        <v>2139</v>
      </c>
      <c r="C59" s="3" t="s">
        <v>1060</v>
      </c>
      <c r="D59" s="4">
        <v>2948000</v>
      </c>
      <c r="E59" s="4">
        <v>2948000</v>
      </c>
      <c r="F59" s="4">
        <f t="shared" si="0"/>
        <v>0</v>
      </c>
      <c r="G59" s="4">
        <v>0</v>
      </c>
      <c r="H59" s="4">
        <v>0</v>
      </c>
      <c r="I59" s="4"/>
      <c r="J59" s="4"/>
      <c r="K59" s="4">
        <f t="shared" si="2"/>
        <v>0</v>
      </c>
      <c r="L59" s="4">
        <f t="shared" si="3"/>
        <v>0</v>
      </c>
      <c r="M59" s="4">
        <f t="shared" si="4"/>
        <v>0</v>
      </c>
      <c r="N59" s="4"/>
      <c r="O59" s="4">
        <f t="shared" si="5"/>
        <v>2948000</v>
      </c>
      <c r="P59" s="4">
        <f t="shared" si="6"/>
        <v>0</v>
      </c>
      <c r="Q59" s="4"/>
      <c r="R59" s="4"/>
      <c r="S59" s="4">
        <f t="shared" si="7"/>
        <v>0</v>
      </c>
      <c r="T59" s="4">
        <f t="shared" si="8"/>
        <v>0</v>
      </c>
      <c r="U59" s="4">
        <f t="shared" si="1"/>
        <v>0</v>
      </c>
      <c r="V59" s="4">
        <f>500000-500000</f>
        <v>0</v>
      </c>
      <c r="W59" s="4">
        <f t="shared" si="9"/>
        <v>0</v>
      </c>
      <c r="X59" s="4"/>
      <c r="Y59" s="4"/>
      <c r="Z59" s="3"/>
      <c r="AA59" s="41"/>
      <c r="AB59" s="3">
        <v>810000</v>
      </c>
      <c r="AC59" s="191"/>
      <c r="AD59" s="191"/>
      <c r="AE59" s="31"/>
      <c r="AF59" s="351"/>
      <c r="AG59" s="351"/>
      <c r="AH59" s="352"/>
      <c r="AI59" s="357"/>
      <c r="AJ59" s="29"/>
      <c r="AK59" s="29"/>
      <c r="AL59" s="29"/>
      <c r="AM59" s="29"/>
      <c r="AN59" s="28"/>
    </row>
    <row r="60" spans="1:40" s="5" customFormat="1" ht="30" customHeight="1">
      <c r="A60" s="3">
        <f>A59+1</f>
        <v>55</v>
      </c>
      <c r="B60" s="39">
        <v>2154</v>
      </c>
      <c r="C60" s="3" t="s">
        <v>1494</v>
      </c>
      <c r="D60" s="4">
        <v>10500000</v>
      </c>
      <c r="E60" s="4"/>
      <c r="F60" s="4">
        <f t="shared" ref="F60:F64" si="13">D60-E60</f>
        <v>10500000</v>
      </c>
      <c r="G60" s="4">
        <v>0</v>
      </c>
      <c r="H60" s="4">
        <v>0</v>
      </c>
      <c r="I60" s="4"/>
      <c r="J60" s="4"/>
      <c r="K60" s="4">
        <f t="shared" ref="K60:K64" si="14">SUM(I60:J60)</f>
        <v>0</v>
      </c>
      <c r="L60" s="4">
        <f t="shared" ref="L60:L64" si="15">H60+K60</f>
        <v>0</v>
      </c>
      <c r="M60" s="4">
        <f t="shared" ref="M60:M64" si="16">P60+S60</f>
        <v>0</v>
      </c>
      <c r="N60" s="4">
        <v>3500000</v>
      </c>
      <c r="O60" s="4">
        <f t="shared" ref="O60:O64" si="17">D60-L60-M60-N60</f>
        <v>7000000</v>
      </c>
      <c r="P60" s="4">
        <f t="shared" ref="P60:P64" si="18">G60-L60</f>
        <v>0</v>
      </c>
      <c r="Q60" s="4"/>
      <c r="R60" s="4"/>
      <c r="S60" s="4">
        <f t="shared" ref="S60:S64" si="19">SUM(Q60:R60)</f>
        <v>0</v>
      </c>
      <c r="T60" s="4">
        <f t="shared" ref="T60:T64" si="20">P60-M60+S60</f>
        <v>0</v>
      </c>
      <c r="U60" s="4">
        <f t="shared" ref="U60:U64" si="21">N60-T60</f>
        <v>3500000</v>
      </c>
      <c r="V60" s="4">
        <f t="shared" ref="V60:V64" si="22">U60-Z60-W60-Y60</f>
        <v>0</v>
      </c>
      <c r="W60" s="4">
        <v>1400000</v>
      </c>
      <c r="X60" s="4"/>
      <c r="Y60" s="4"/>
      <c r="Z60" s="4">
        <v>2100000</v>
      </c>
      <c r="AA60" s="3" t="s">
        <v>1173</v>
      </c>
      <c r="AB60" s="3">
        <v>870000</v>
      </c>
      <c r="AC60" s="6"/>
      <c r="AD60" s="6"/>
    </row>
    <row r="61" spans="1:40" s="5" customFormat="1" ht="30" customHeight="1">
      <c r="A61" s="3">
        <f t="shared" ref="A61:A64" si="23">A60+1</f>
        <v>56</v>
      </c>
      <c r="B61" s="39">
        <v>2155</v>
      </c>
      <c r="C61" s="3" t="s">
        <v>1174</v>
      </c>
      <c r="D61" s="4">
        <v>700000</v>
      </c>
      <c r="E61" s="4"/>
      <c r="F61" s="4">
        <f t="shared" si="13"/>
        <v>700000</v>
      </c>
      <c r="G61" s="4">
        <v>0</v>
      </c>
      <c r="H61" s="4">
        <v>0</v>
      </c>
      <c r="I61" s="4"/>
      <c r="J61" s="4"/>
      <c r="K61" s="4">
        <f t="shared" si="14"/>
        <v>0</v>
      </c>
      <c r="L61" s="4">
        <f t="shared" si="15"/>
        <v>0</v>
      </c>
      <c r="M61" s="4">
        <f t="shared" si="16"/>
        <v>0</v>
      </c>
      <c r="N61" s="4">
        <v>700000</v>
      </c>
      <c r="O61" s="4">
        <f t="shared" si="17"/>
        <v>0</v>
      </c>
      <c r="P61" s="4">
        <f t="shared" si="18"/>
        <v>0</v>
      </c>
      <c r="Q61" s="4"/>
      <c r="R61" s="4"/>
      <c r="S61" s="4">
        <f t="shared" si="19"/>
        <v>0</v>
      </c>
      <c r="T61" s="4">
        <f t="shared" si="20"/>
        <v>0</v>
      </c>
      <c r="U61" s="4">
        <f t="shared" si="21"/>
        <v>700000</v>
      </c>
      <c r="V61" s="4">
        <f t="shared" si="22"/>
        <v>0</v>
      </c>
      <c r="W61" s="4">
        <v>700000</v>
      </c>
      <c r="X61" s="4"/>
      <c r="Y61" s="4"/>
      <c r="Z61" s="4"/>
      <c r="AA61" s="3" t="s">
        <v>1175</v>
      </c>
      <c r="AB61" s="3">
        <v>746000</v>
      </c>
      <c r="AC61" s="6"/>
      <c r="AD61" s="6"/>
    </row>
    <row r="62" spans="1:40" s="5" customFormat="1" ht="30" customHeight="1">
      <c r="A62" s="3">
        <f t="shared" si="23"/>
        <v>57</v>
      </c>
      <c r="B62" s="39">
        <v>2156</v>
      </c>
      <c r="C62" s="3" t="s">
        <v>1176</v>
      </c>
      <c r="D62" s="4">
        <v>1600000</v>
      </c>
      <c r="E62" s="4"/>
      <c r="F62" s="4">
        <f t="shared" si="13"/>
        <v>1600000</v>
      </c>
      <c r="G62" s="4">
        <v>0</v>
      </c>
      <c r="H62" s="4">
        <v>0</v>
      </c>
      <c r="I62" s="4"/>
      <c r="J62" s="4"/>
      <c r="K62" s="4">
        <f t="shared" si="14"/>
        <v>0</v>
      </c>
      <c r="L62" s="4">
        <f t="shared" si="15"/>
        <v>0</v>
      </c>
      <c r="M62" s="4">
        <f t="shared" si="16"/>
        <v>0</v>
      </c>
      <c r="N62" s="4">
        <f>1600000-800000</f>
        <v>800000</v>
      </c>
      <c r="O62" s="4">
        <f t="shared" si="17"/>
        <v>800000</v>
      </c>
      <c r="P62" s="4">
        <f t="shared" si="18"/>
        <v>0</v>
      </c>
      <c r="Q62" s="4"/>
      <c r="R62" s="4"/>
      <c r="S62" s="4">
        <f t="shared" si="19"/>
        <v>0</v>
      </c>
      <c r="T62" s="4">
        <f t="shared" si="20"/>
        <v>0</v>
      </c>
      <c r="U62" s="4">
        <f t="shared" si="21"/>
        <v>800000</v>
      </c>
      <c r="V62" s="4">
        <f t="shared" si="22"/>
        <v>0</v>
      </c>
      <c r="W62" s="4">
        <v>800000</v>
      </c>
      <c r="X62" s="4"/>
      <c r="Y62" s="4"/>
      <c r="Z62" s="4"/>
      <c r="AA62" s="3" t="s">
        <v>1177</v>
      </c>
      <c r="AB62" s="3">
        <v>720000</v>
      </c>
      <c r="AC62" s="6"/>
      <c r="AD62" s="6"/>
    </row>
    <row r="63" spans="1:40" s="5" customFormat="1" ht="30" customHeight="1">
      <c r="A63" s="3">
        <f t="shared" si="23"/>
        <v>58</v>
      </c>
      <c r="B63" s="39">
        <v>2157</v>
      </c>
      <c r="C63" s="3" t="s">
        <v>1178</v>
      </c>
      <c r="D63" s="4">
        <f>3600000+1600000</f>
        <v>5200000</v>
      </c>
      <c r="E63" s="4"/>
      <c r="F63" s="4">
        <f t="shared" si="13"/>
        <v>5200000</v>
      </c>
      <c r="G63" s="4">
        <v>0</v>
      </c>
      <c r="H63" s="4">
        <v>0</v>
      </c>
      <c r="I63" s="4"/>
      <c r="J63" s="4"/>
      <c r="K63" s="4">
        <f t="shared" si="14"/>
        <v>0</v>
      </c>
      <c r="L63" s="4">
        <f t="shared" si="15"/>
        <v>0</v>
      </c>
      <c r="M63" s="4">
        <f t="shared" si="16"/>
        <v>0</v>
      </c>
      <c r="N63" s="4">
        <f>1800000-800000-500000</f>
        <v>500000</v>
      </c>
      <c r="O63" s="4">
        <f t="shared" si="17"/>
        <v>4700000</v>
      </c>
      <c r="P63" s="4">
        <f t="shared" si="18"/>
        <v>0</v>
      </c>
      <c r="Q63" s="4"/>
      <c r="R63" s="4"/>
      <c r="S63" s="4">
        <f t="shared" si="19"/>
        <v>0</v>
      </c>
      <c r="T63" s="4">
        <f t="shared" si="20"/>
        <v>0</v>
      </c>
      <c r="U63" s="4">
        <f t="shared" si="21"/>
        <v>500000</v>
      </c>
      <c r="V63" s="4">
        <f t="shared" si="22"/>
        <v>0</v>
      </c>
      <c r="W63" s="4">
        <v>500000</v>
      </c>
      <c r="X63" s="4"/>
      <c r="Y63" s="4"/>
      <c r="Z63" s="4"/>
      <c r="AA63" s="3" t="s">
        <v>1376</v>
      </c>
      <c r="AB63" s="3">
        <v>810000</v>
      </c>
      <c r="AC63" s="6"/>
      <c r="AD63" s="6"/>
    </row>
    <row r="64" spans="1:40" s="5" customFormat="1" ht="30" customHeight="1">
      <c r="A64" s="3">
        <f t="shared" si="23"/>
        <v>59</v>
      </c>
      <c r="B64" s="39">
        <v>2140</v>
      </c>
      <c r="C64" s="3" t="s">
        <v>1305</v>
      </c>
      <c r="D64" s="4">
        <v>360000</v>
      </c>
      <c r="E64" s="4"/>
      <c r="F64" s="4">
        <f t="shared" si="13"/>
        <v>360000</v>
      </c>
      <c r="G64" s="4">
        <v>0</v>
      </c>
      <c r="H64" s="4">
        <v>0</v>
      </c>
      <c r="I64" s="4"/>
      <c r="J64" s="4"/>
      <c r="K64" s="4">
        <f t="shared" si="14"/>
        <v>0</v>
      </c>
      <c r="L64" s="4">
        <f t="shared" si="15"/>
        <v>0</v>
      </c>
      <c r="M64" s="4">
        <f t="shared" si="16"/>
        <v>360000</v>
      </c>
      <c r="N64" s="4">
        <f>360000-360000</f>
        <v>0</v>
      </c>
      <c r="O64" s="4">
        <f t="shared" si="17"/>
        <v>0</v>
      </c>
      <c r="P64" s="4">
        <f t="shared" si="18"/>
        <v>0</v>
      </c>
      <c r="Q64" s="4"/>
      <c r="R64" s="4">
        <v>360000</v>
      </c>
      <c r="S64" s="4">
        <f t="shared" si="19"/>
        <v>360000</v>
      </c>
      <c r="T64" s="4">
        <f t="shared" si="20"/>
        <v>0</v>
      </c>
      <c r="U64" s="4">
        <f t="shared" si="21"/>
        <v>0</v>
      </c>
      <c r="V64" s="4">
        <f t="shared" si="22"/>
        <v>0</v>
      </c>
      <c r="W64" s="4"/>
      <c r="X64" s="4"/>
      <c r="Y64" s="4"/>
      <c r="Z64" s="4"/>
      <c r="AA64" s="3" t="s">
        <v>1501</v>
      </c>
      <c r="AB64" s="3">
        <v>810000</v>
      </c>
      <c r="AC64" s="6"/>
      <c r="AD64" s="6"/>
    </row>
    <row r="65" spans="1:40" s="84" customFormat="1" ht="30" customHeight="1">
      <c r="A65" s="41">
        <f>A64</f>
        <v>59</v>
      </c>
      <c r="B65" s="41"/>
      <c r="C65" s="204" t="s">
        <v>687</v>
      </c>
      <c r="D65" s="88">
        <f t="shared" ref="D65:Z65" si="24">SUM(D6:D64)</f>
        <v>430333105</v>
      </c>
      <c r="E65" s="88">
        <f t="shared" si="24"/>
        <v>391554105</v>
      </c>
      <c r="F65" s="88">
        <f t="shared" si="24"/>
        <v>38779000</v>
      </c>
      <c r="G65" s="88">
        <f t="shared" si="24"/>
        <v>271565901</v>
      </c>
      <c r="H65" s="88">
        <f t="shared" si="24"/>
        <v>189651291.88</v>
      </c>
      <c r="I65" s="88">
        <f t="shared" si="24"/>
        <v>10892094.979999999</v>
      </c>
      <c r="J65" s="88">
        <f t="shared" si="24"/>
        <v>33107561.339999996</v>
      </c>
      <c r="K65" s="88">
        <f t="shared" si="24"/>
        <v>43999656.320000008</v>
      </c>
      <c r="L65" s="88">
        <f t="shared" si="24"/>
        <v>233650948.19999993</v>
      </c>
      <c r="M65" s="88">
        <f t="shared" si="24"/>
        <v>36944952.800000004</v>
      </c>
      <c r="N65" s="88">
        <f t="shared" si="24"/>
        <v>59026300</v>
      </c>
      <c r="O65" s="88">
        <f t="shared" si="24"/>
        <v>100710904</v>
      </c>
      <c r="P65" s="88">
        <f t="shared" si="24"/>
        <v>37914952.799999997</v>
      </c>
      <c r="Q65" s="88">
        <f t="shared" si="24"/>
        <v>2135000</v>
      </c>
      <c r="R65" s="88">
        <f t="shared" si="24"/>
        <v>1860000</v>
      </c>
      <c r="S65" s="88">
        <f t="shared" si="24"/>
        <v>3995000</v>
      </c>
      <c r="T65" s="88">
        <f t="shared" si="24"/>
        <v>4965000</v>
      </c>
      <c r="U65" s="88">
        <f t="shared" si="24"/>
        <v>54061300</v>
      </c>
      <c r="V65" s="88">
        <f t="shared" si="24"/>
        <v>18950000</v>
      </c>
      <c r="W65" s="88">
        <f t="shared" si="24"/>
        <v>23900000</v>
      </c>
      <c r="X65" s="88">
        <f t="shared" si="24"/>
        <v>0</v>
      </c>
      <c r="Y65" s="88">
        <f t="shared" si="24"/>
        <v>0</v>
      </c>
      <c r="Z65" s="88">
        <f t="shared" si="24"/>
        <v>11211300</v>
      </c>
      <c r="AA65" s="41"/>
      <c r="AB65" s="41"/>
    </row>
    <row r="66" spans="1:40" s="29" customFormat="1" hidden="1">
      <c r="B66" s="19"/>
      <c r="C66" s="14"/>
      <c r="D66" s="25"/>
      <c r="E66" s="25">
        <v>391354105</v>
      </c>
      <c r="F66" s="25"/>
      <c r="G66" s="25">
        <v>271365901</v>
      </c>
      <c r="H66" s="25"/>
      <c r="I66" s="25"/>
      <c r="J66" s="25"/>
      <c r="K66" s="25"/>
      <c r="L66" s="25">
        <f>K65+H65</f>
        <v>233650948.19999999</v>
      </c>
      <c r="M66" s="25"/>
      <c r="N66" s="25"/>
      <c r="O66" s="25"/>
      <c r="P66" s="25">
        <f>G65-L65</f>
        <v>37914952.800000072</v>
      </c>
      <c r="Q66" s="25"/>
      <c r="R66" s="25"/>
      <c r="S66" s="25"/>
      <c r="T66" s="25">
        <f>P66+S65-M65</f>
        <v>4965000.0000000671</v>
      </c>
      <c r="U66" s="25">
        <f>N65-T66</f>
        <v>54061299.999999933</v>
      </c>
      <c r="V66" s="19"/>
      <c r="W66" s="19"/>
      <c r="X66" s="19"/>
      <c r="Y66" s="19"/>
      <c r="Z66" s="19"/>
      <c r="AA66" s="20"/>
      <c r="AB66" s="19"/>
      <c r="AC66" s="191"/>
      <c r="AD66" s="191"/>
      <c r="AE66" s="31"/>
      <c r="AF66" s="351"/>
      <c r="AG66" s="351"/>
      <c r="AH66" s="352"/>
      <c r="AI66" s="357"/>
    </row>
    <row r="67" spans="1:40" s="29" customFormat="1">
      <c r="B67" s="19"/>
      <c r="C67" s="19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192"/>
      <c r="Q67" s="25"/>
      <c r="R67" s="25"/>
      <c r="S67" s="25"/>
      <c r="T67" s="25"/>
      <c r="U67" s="19"/>
      <c r="V67" s="19"/>
      <c r="W67" s="19"/>
      <c r="X67" s="19"/>
      <c r="Y67" s="19"/>
      <c r="Z67" s="19"/>
      <c r="AA67" s="20"/>
      <c r="AB67" s="19"/>
      <c r="AC67" s="191"/>
      <c r="AD67" s="191"/>
      <c r="AE67" s="31"/>
      <c r="AF67" s="351"/>
      <c r="AG67" s="351"/>
      <c r="AH67" s="352"/>
      <c r="AI67" s="357"/>
    </row>
    <row r="68" spans="1:40">
      <c r="A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25"/>
      <c r="O68" s="25"/>
      <c r="P68" s="25"/>
      <c r="Q68" s="25"/>
      <c r="R68" s="25"/>
      <c r="S68" s="25"/>
      <c r="T68" s="25"/>
      <c r="U68" s="19"/>
    </row>
    <row r="69" spans="1:40">
      <c r="A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25"/>
      <c r="O69" s="25"/>
      <c r="P69" s="25"/>
      <c r="Q69" s="25"/>
      <c r="R69" s="25"/>
      <c r="S69" s="25"/>
      <c r="T69" s="25"/>
      <c r="U69" s="19"/>
    </row>
    <row r="70" spans="1:40">
      <c r="A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25"/>
      <c r="O70" s="25"/>
      <c r="P70" s="25"/>
      <c r="Q70" s="25"/>
      <c r="R70" s="25"/>
      <c r="S70" s="25"/>
      <c r="T70" s="25"/>
      <c r="U70" s="19"/>
    </row>
    <row r="71" spans="1:40">
      <c r="A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25"/>
      <c r="O71" s="25"/>
      <c r="P71" s="25"/>
      <c r="Q71" s="25"/>
      <c r="R71" s="25"/>
      <c r="S71" s="25"/>
      <c r="T71" s="25"/>
      <c r="U71" s="19"/>
    </row>
    <row r="72" spans="1:40">
      <c r="A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25"/>
      <c r="O72" s="25"/>
      <c r="P72" s="25"/>
      <c r="Q72" s="25"/>
      <c r="R72" s="25"/>
      <c r="S72" s="25"/>
      <c r="T72" s="25"/>
      <c r="U72" s="19"/>
    </row>
    <row r="74" spans="1:40">
      <c r="A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S74" s="42"/>
    </row>
    <row r="75" spans="1:40">
      <c r="A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S75" s="42"/>
    </row>
    <row r="76" spans="1:40">
      <c r="A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S76" s="42"/>
    </row>
    <row r="77" spans="1:40">
      <c r="A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S77" s="42"/>
      <c r="AN77" s="25"/>
    </row>
    <row r="78" spans="1:40">
      <c r="A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S78" s="42"/>
    </row>
    <row r="80" spans="1:40">
      <c r="A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S80" s="42"/>
    </row>
    <row r="81" spans="1:40">
      <c r="A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AN81" s="25"/>
    </row>
    <row r="82" spans="1:40">
      <c r="A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T82" s="14"/>
      <c r="U82" s="16"/>
    </row>
    <row r="83" spans="1:40">
      <c r="A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6"/>
      <c r="AA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314" priority="3" operator="equal">
      <formula>0</formula>
    </cfRule>
  </conditionalFormatting>
  <conditionalFormatting sqref="AC49:AD49">
    <cfRule type="cellIs" dxfId="313" priority="2" operator="equal">
      <formula>0</formula>
    </cfRule>
  </conditionalFormatting>
  <conditionalFormatting sqref="AE49:AG49">
    <cfRule type="cellIs" dxfId="31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95"/>
  <sheetViews>
    <sheetView showZeros="0" rightToLeft="1" zoomScaleNormal="100" workbookViewId="0">
      <pane xSplit="5" ySplit="5" topLeftCell="F67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E77" sqref="E77:F77"/>
    </sheetView>
  </sheetViews>
  <sheetFormatPr defaultColWidth="9.109375" defaultRowHeight="13.8"/>
  <cols>
    <col min="1" max="1" width="5.33203125" style="37" customWidth="1"/>
    <col min="2" max="2" width="6.6640625" style="26" customWidth="1"/>
    <col min="3" max="3" width="25.5546875" style="407" customWidth="1"/>
    <col min="4" max="4" width="11.33203125" style="16" customWidth="1"/>
    <col min="5" max="5" width="11" style="16" customWidth="1"/>
    <col min="6" max="6" width="11.33203125" style="16" customWidth="1"/>
    <col min="7" max="10" width="12.6640625" style="16" customWidth="1"/>
    <col min="11" max="11" width="11.33203125" style="16" customWidth="1"/>
    <col min="12" max="12" width="10.88671875" style="16" customWidth="1"/>
    <col min="13" max="13" width="10.109375" style="16" customWidth="1"/>
    <col min="14" max="14" width="10.33203125" style="16" customWidth="1"/>
    <col min="15" max="15" width="11.109375" style="16" customWidth="1"/>
    <col min="16" max="17" width="11.109375" style="16" hidden="1" customWidth="1"/>
    <col min="18" max="19" width="12" style="16" hidden="1" customWidth="1"/>
    <col min="20" max="20" width="8.109375" style="16" bestFit="1" customWidth="1"/>
    <col min="21" max="21" width="10.88671875" style="14" customWidth="1"/>
    <col min="22" max="22" width="10.109375" style="14" customWidth="1"/>
    <col min="23" max="23" width="10.6640625" style="14" customWidth="1"/>
    <col min="24" max="24" width="4.109375" style="14" hidden="1" customWidth="1"/>
    <col min="25" max="25" width="4.6640625" style="14" hidden="1" customWidth="1"/>
    <col min="26" max="26" width="9.88671875" style="14" customWidth="1"/>
    <col min="27" max="27" width="24.88671875" style="408" customWidth="1"/>
    <col min="28" max="28" width="7.88671875" style="14" customWidth="1"/>
    <col min="29" max="29" width="16.6640625" style="191" customWidth="1"/>
    <col min="30" max="30" width="10.109375" style="191" customWidth="1"/>
    <col min="31" max="31" width="9.44140625" style="31" customWidth="1"/>
    <col min="32" max="32" width="15" style="351" customWidth="1"/>
    <col min="33" max="33" width="11.44140625" style="351" customWidth="1"/>
    <col min="34" max="34" width="10.109375" style="352" customWidth="1"/>
    <col min="35" max="35" width="9.109375" style="365" customWidth="1"/>
    <col min="36" max="37" width="9.109375" style="19" customWidth="1"/>
    <col min="38" max="38" width="2.109375" style="19" customWidth="1"/>
    <col min="39" max="39" width="9.109375" style="19" customWidth="1"/>
    <col min="40" max="40" width="10.109375" style="19" customWidth="1"/>
    <col min="41" max="41" width="10.109375" style="14" customWidth="1"/>
    <col min="42" max="16384" width="9.109375" style="14"/>
  </cols>
  <sheetData>
    <row r="1" spans="1:40" s="331" customFormat="1" ht="18">
      <c r="A1" s="329"/>
      <c r="B1" s="766"/>
      <c r="C1" s="764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3"/>
      <c r="AC1" s="191"/>
      <c r="AD1" s="191"/>
      <c r="AE1" s="31"/>
      <c r="AF1" s="353"/>
      <c r="AG1" s="354"/>
      <c r="AH1" s="355"/>
      <c r="AI1" s="355"/>
    </row>
    <row r="2" spans="1:40" s="191" customFormat="1" ht="18">
      <c r="A2" s="329" t="s">
        <v>229</v>
      </c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96"/>
      <c r="AE2" s="31"/>
      <c r="AF2" s="353"/>
      <c r="AG2" s="354"/>
      <c r="AH2" s="355"/>
      <c r="AI2" s="355"/>
    </row>
    <row r="4" spans="1:40" s="31" customFormat="1" ht="69">
      <c r="A4" s="18" t="s">
        <v>0</v>
      </c>
      <c r="B4" s="756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928</v>
      </c>
      <c r="R4" s="18" t="s">
        <v>929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628" t="s">
        <v>410</v>
      </c>
      <c r="AB4" s="18" t="s">
        <v>16</v>
      </c>
      <c r="AC4" s="191"/>
      <c r="AD4" s="191"/>
      <c r="AH4" s="352"/>
      <c r="AI4" s="356"/>
    </row>
    <row r="5" spans="1:40" s="5" customFormat="1" ht="18" customHeight="1">
      <c r="A5" s="3"/>
      <c r="B5" s="706"/>
      <c r="C5" s="32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25"/>
      <c r="AB5" s="3"/>
      <c r="AC5" s="191"/>
      <c r="AD5" s="191"/>
      <c r="AE5" s="31"/>
      <c r="AF5" s="351"/>
      <c r="AG5" s="351"/>
      <c r="AH5" s="352"/>
      <c r="AI5" s="357"/>
      <c r="AJ5" s="29"/>
      <c r="AK5" s="29"/>
      <c r="AL5" s="29"/>
      <c r="AM5" s="29"/>
      <c r="AN5" s="29"/>
    </row>
    <row r="6" spans="1:40" s="5" customFormat="1" ht="41.4">
      <c r="A6" s="3">
        <f>A5+1</f>
        <v>1</v>
      </c>
      <c r="B6" s="706">
        <f>'תקציב אגף ת.ב.ל 2020 '!B51</f>
        <v>2095</v>
      </c>
      <c r="C6" s="87" t="str">
        <f>'תקציב אגף ת.ב.ל 2020 '!C51</f>
        <v>ספירת מלאי וסימון הרכוש העירוני</v>
      </c>
      <c r="D6" s="4">
        <f>'תקציב אגף ת.ב.ל 2020 '!D51</f>
        <v>160000</v>
      </c>
      <c r="E6" s="4">
        <f>'תקציב אגף ת.ב.ל 2020 '!E51</f>
        <v>160000</v>
      </c>
      <c r="F6" s="4">
        <f>'תקציב אגף ת.ב.ל 2020 '!F51</f>
        <v>0</v>
      </c>
      <c r="G6" s="4">
        <f>'תקציב אגף ת.ב.ל 2020 '!G51</f>
        <v>160000</v>
      </c>
      <c r="H6" s="4">
        <f>'תקציב אגף ת.ב.ל 2020 '!H51</f>
        <v>0</v>
      </c>
      <c r="I6" s="4">
        <f>'תקציב אגף ת.ב.ל 2020 '!I51</f>
        <v>0</v>
      </c>
      <c r="J6" s="4">
        <f>'תקציב אגף ת.ב.ל 2020 '!J51</f>
        <v>0</v>
      </c>
      <c r="K6" s="4">
        <f>'תקציב אגף ת.ב.ל 2020 '!K51</f>
        <v>0</v>
      </c>
      <c r="L6" s="4">
        <f>'תקציב אגף ת.ב.ל 2020 '!L51</f>
        <v>0</v>
      </c>
      <c r="M6" s="4">
        <f>'תקציב אגף ת.ב.ל 2020 '!M51</f>
        <v>160000</v>
      </c>
      <c r="N6" s="4">
        <f>'תקציב אגף ת.ב.ל 2020 '!N51</f>
        <v>0</v>
      </c>
      <c r="O6" s="4">
        <f>'תקציב אגף ת.ב.ל 2020 '!O51</f>
        <v>0</v>
      </c>
      <c r="P6" s="4">
        <f>'תקציב אגף ת.ב.ל 2020 '!P51</f>
        <v>160000</v>
      </c>
      <c r="Q6" s="4">
        <f>'תקציב אגף ת.ב.ל 2020 '!Q51</f>
        <v>0</v>
      </c>
      <c r="R6" s="4">
        <f>'תקציב אגף ת.ב.ל 2020 '!R51</f>
        <v>0</v>
      </c>
      <c r="S6" s="4">
        <f>'תקציב אגף ת.ב.ל 2020 '!S51</f>
        <v>0</v>
      </c>
      <c r="T6" s="4">
        <f>'תקציב אגף ת.ב.ל 2020 '!T51</f>
        <v>0</v>
      </c>
      <c r="U6" s="4">
        <f>'תקציב אגף ת.ב.ל 2020 '!U51</f>
        <v>0</v>
      </c>
      <c r="V6" s="4">
        <f>'תקציב אגף ת.ב.ל 2020 '!V51</f>
        <v>0</v>
      </c>
      <c r="W6" s="4">
        <f>'תקציב אגף ת.ב.ל 2020 '!W51</f>
        <v>0</v>
      </c>
      <c r="X6" s="4">
        <f>'תקציב אגף ת.ב.ל 2020 '!X51</f>
        <v>0</v>
      </c>
      <c r="Y6" s="4">
        <f>'תקציב אגף ת.ב.ל 2020 '!Y51</f>
        <v>0</v>
      </c>
      <c r="Z6" s="4">
        <f>'תקציב אגף ת.ב.ל 2020 '!Z51</f>
        <v>0</v>
      </c>
      <c r="AA6" s="87" t="str">
        <f>'תקציב אגף ת.ב.ל 2020 '!AA51</f>
        <v>ספירת רכוש במוסדות חינוך ויחידות עירוניות וסימון הרכוש העירוני.</v>
      </c>
      <c r="AB6" s="706">
        <f>'תקציב אגף ת.ב.ל 2020 '!AB51</f>
        <v>610000</v>
      </c>
      <c r="AC6" s="191"/>
      <c r="AD6" s="191"/>
      <c r="AE6" s="31"/>
      <c r="AF6" s="351"/>
      <c r="AG6" s="351"/>
      <c r="AH6" s="352"/>
      <c r="AI6" s="357"/>
      <c r="AJ6" s="29"/>
      <c r="AK6" s="29"/>
      <c r="AL6" s="29"/>
      <c r="AM6" s="29"/>
      <c r="AN6" s="28"/>
    </row>
    <row r="7" spans="1:40" s="84" customFormat="1">
      <c r="A7" s="41"/>
      <c r="B7" s="725"/>
      <c r="C7" s="705" t="s">
        <v>697</v>
      </c>
      <c r="D7" s="88">
        <f>SUM(D6)</f>
        <v>160000</v>
      </c>
      <c r="E7" s="88">
        <f t="shared" ref="E7:Z7" si="0">SUM(E6)</f>
        <v>160000</v>
      </c>
      <c r="F7" s="88">
        <f t="shared" si="0"/>
        <v>0</v>
      </c>
      <c r="G7" s="88">
        <f t="shared" si="0"/>
        <v>160000</v>
      </c>
      <c r="H7" s="88">
        <f t="shared" si="0"/>
        <v>0</v>
      </c>
      <c r="I7" s="88">
        <f t="shared" si="0"/>
        <v>0</v>
      </c>
      <c r="J7" s="88">
        <f t="shared" si="0"/>
        <v>0</v>
      </c>
      <c r="K7" s="88">
        <f t="shared" si="0"/>
        <v>0</v>
      </c>
      <c r="L7" s="88">
        <f t="shared" si="0"/>
        <v>0</v>
      </c>
      <c r="M7" s="88">
        <f t="shared" si="0"/>
        <v>160000</v>
      </c>
      <c r="N7" s="88">
        <f t="shared" si="0"/>
        <v>0</v>
      </c>
      <c r="O7" s="88">
        <f t="shared" si="0"/>
        <v>0</v>
      </c>
      <c r="P7" s="88">
        <f t="shared" si="0"/>
        <v>160000</v>
      </c>
      <c r="Q7" s="88">
        <f t="shared" si="0"/>
        <v>0</v>
      </c>
      <c r="R7" s="88">
        <f t="shared" si="0"/>
        <v>0</v>
      </c>
      <c r="S7" s="88">
        <f t="shared" si="0"/>
        <v>0</v>
      </c>
      <c r="T7" s="88">
        <f t="shared" si="0"/>
        <v>0</v>
      </c>
      <c r="U7" s="88">
        <f t="shared" si="0"/>
        <v>0</v>
      </c>
      <c r="V7" s="88">
        <f t="shared" si="0"/>
        <v>0</v>
      </c>
      <c r="W7" s="88">
        <f t="shared" si="0"/>
        <v>0</v>
      </c>
      <c r="X7" s="88">
        <f t="shared" si="0"/>
        <v>0</v>
      </c>
      <c r="Y7" s="88">
        <f t="shared" si="0"/>
        <v>0</v>
      </c>
      <c r="Z7" s="88">
        <f t="shared" si="0"/>
        <v>0</v>
      </c>
      <c r="AA7" s="410"/>
      <c r="AB7" s="725"/>
      <c r="AC7" s="428"/>
      <c r="AD7" s="428"/>
      <c r="AE7" s="434"/>
      <c r="AF7" s="435"/>
      <c r="AG7" s="435"/>
      <c r="AH7" s="436"/>
      <c r="AI7" s="309"/>
      <c r="AJ7" s="309"/>
      <c r="AK7" s="309"/>
      <c r="AL7" s="309"/>
      <c r="AM7" s="309"/>
      <c r="AN7" s="308"/>
    </row>
    <row r="8" spans="1:40" s="5" customFormat="1" ht="27.6">
      <c r="A8" s="3">
        <f>A6+1</f>
        <v>2</v>
      </c>
      <c r="B8" s="706">
        <f>'תקציב אגף ת.ב.ל 2020 '!B53</f>
        <v>2128</v>
      </c>
      <c r="C8" s="87" t="str">
        <f>'תקציב אגף ת.ב.ל 2020 '!C53</f>
        <v>תוכנית לניהול בטיחות</v>
      </c>
      <c r="D8" s="4">
        <f>'תקציב אגף ת.ב.ל 2020 '!D53</f>
        <v>450000</v>
      </c>
      <c r="E8" s="4">
        <f>'תקציב אגף ת.ב.ל 2020 '!E53</f>
        <v>450000</v>
      </c>
      <c r="F8" s="4">
        <f>'תקציב אגף ת.ב.ל 2020 '!F53</f>
        <v>0</v>
      </c>
      <c r="G8" s="4">
        <f>'תקציב אגף ת.ב.ל 2020 '!G53</f>
        <v>450000</v>
      </c>
      <c r="H8" s="4">
        <f>'תקציב אגף ת.ב.ל 2020 '!H53</f>
        <v>0</v>
      </c>
      <c r="I8" s="4">
        <f>'תקציב אגף ת.ב.ל 2020 '!I53</f>
        <v>0</v>
      </c>
      <c r="J8" s="4">
        <f>'תקציב אגף ת.ב.ל 2020 '!J53</f>
        <v>129870</v>
      </c>
      <c r="K8" s="4">
        <f>'תקציב אגף ת.ב.ל 2020 '!K53</f>
        <v>129870</v>
      </c>
      <c r="L8" s="4">
        <f>'תקציב אגף ת.ב.ל 2020 '!L53</f>
        <v>129870</v>
      </c>
      <c r="M8" s="4">
        <f>'תקציב אגף ת.ב.ל 2020 '!M53</f>
        <v>320130</v>
      </c>
      <c r="N8" s="4">
        <f>'תקציב אגף ת.ב.ל 2020 '!N53</f>
        <v>0</v>
      </c>
      <c r="O8" s="4">
        <f>'תקציב אגף ת.ב.ל 2020 '!O53</f>
        <v>0</v>
      </c>
      <c r="P8" s="4">
        <f>'תקציב אגף ת.ב.ל 2020 '!P53</f>
        <v>320130</v>
      </c>
      <c r="Q8" s="4">
        <f>'תקציב אגף ת.ב.ל 2020 '!Q53</f>
        <v>0</v>
      </c>
      <c r="R8" s="4">
        <f>'תקציב אגף ת.ב.ל 2020 '!R53</f>
        <v>0</v>
      </c>
      <c r="S8" s="4">
        <f>'תקציב אגף ת.ב.ל 2020 '!S53</f>
        <v>0</v>
      </c>
      <c r="T8" s="4">
        <f>'תקציב אגף ת.ב.ל 2020 '!T53</f>
        <v>0</v>
      </c>
      <c r="U8" s="4">
        <f>'תקציב אגף ת.ב.ל 2020 '!U53</f>
        <v>0</v>
      </c>
      <c r="V8" s="4">
        <f>'תקציב אגף ת.ב.ל 2020 '!V53</f>
        <v>0</v>
      </c>
      <c r="W8" s="4">
        <f>'תקציב אגף ת.ב.ל 2020 '!W53</f>
        <v>0</v>
      </c>
      <c r="X8" s="4">
        <f>'תקציב אגף ת.ב.ל 2020 '!X53</f>
        <v>0</v>
      </c>
      <c r="Y8" s="4">
        <f>'תקציב אגף ת.ב.ל 2020 '!Y53</f>
        <v>0</v>
      </c>
      <c r="Z8" s="4">
        <f>'תקציב אגף ת.ב.ל 2020 '!Z53</f>
        <v>0</v>
      </c>
      <c r="AA8" s="87" t="str">
        <f>'תקציב אגף ת.ב.ל 2020 '!AA53</f>
        <v>הכנת תוכנית לניהול הבטיחות בעיריה עפ"י דרישות החוק.</v>
      </c>
      <c r="AB8" s="706">
        <f>'תקציב אגף ת.ב.ל 2020 '!AB53</f>
        <v>720000</v>
      </c>
      <c r="AC8" s="191"/>
      <c r="AD8" s="191"/>
      <c r="AE8" s="31"/>
      <c r="AF8" s="28"/>
      <c r="AG8" s="358"/>
      <c r="AH8" s="359"/>
      <c r="AI8" s="28"/>
      <c r="AJ8" s="29"/>
      <c r="AK8" s="29"/>
      <c r="AL8" s="29"/>
      <c r="AM8" s="29"/>
      <c r="AN8" s="28"/>
    </row>
    <row r="9" spans="1:40" s="5" customFormat="1" ht="41.4">
      <c r="A9" s="3">
        <f>A8+1</f>
        <v>3</v>
      </c>
      <c r="B9" s="706">
        <f>'תקציב אגף ת.ב.ל 2020 '!B62</f>
        <v>2156</v>
      </c>
      <c r="C9" s="87" t="str">
        <f>'תקציב אגף ת.ב.ל 2020 '!C62</f>
        <v>הקמת יחידת חילוץ הצטיידות</v>
      </c>
      <c r="D9" s="4">
        <f>'תקציב אגף ת.ב.ל 2020 '!D62</f>
        <v>1600000</v>
      </c>
      <c r="E9" s="4">
        <f>'תקציב אגף ת.ב.ל 2020 '!E62</f>
        <v>0</v>
      </c>
      <c r="F9" s="4">
        <f>'תקציב אגף ת.ב.ל 2020 '!F62</f>
        <v>1600000</v>
      </c>
      <c r="G9" s="4">
        <f>'תקציב אגף ת.ב.ל 2020 '!G62</f>
        <v>0</v>
      </c>
      <c r="H9" s="4">
        <f>'תקציב אגף ת.ב.ל 2020 '!H62</f>
        <v>0</v>
      </c>
      <c r="I9" s="4">
        <f>'תקציב אגף ת.ב.ל 2020 '!I62</f>
        <v>0</v>
      </c>
      <c r="J9" s="4">
        <f>'תקציב אגף ת.ב.ל 2020 '!J62</f>
        <v>0</v>
      </c>
      <c r="K9" s="4">
        <f>'תקציב אגף ת.ב.ל 2020 '!K62</f>
        <v>0</v>
      </c>
      <c r="L9" s="4">
        <f>'תקציב אגף ת.ב.ל 2020 '!L62</f>
        <v>0</v>
      </c>
      <c r="M9" s="4">
        <f>'תקציב אגף ת.ב.ל 2020 '!M62</f>
        <v>0</v>
      </c>
      <c r="N9" s="4">
        <f>'תקציב אגף ת.ב.ל 2020 '!N62</f>
        <v>800000</v>
      </c>
      <c r="O9" s="4">
        <f>'תקציב אגף ת.ב.ל 2020 '!O62</f>
        <v>800000</v>
      </c>
      <c r="P9" s="4">
        <f>'תקציב אגף ת.ב.ל 2020 '!P62</f>
        <v>0</v>
      </c>
      <c r="Q9" s="4">
        <f>'תקציב אגף ת.ב.ל 2020 '!Q62</f>
        <v>0</v>
      </c>
      <c r="R9" s="4">
        <f>'תקציב אגף ת.ב.ל 2020 '!R62</f>
        <v>0</v>
      </c>
      <c r="S9" s="4">
        <f>'תקציב אגף ת.ב.ל 2020 '!S62</f>
        <v>0</v>
      </c>
      <c r="T9" s="4">
        <f>'תקציב אגף ת.ב.ל 2020 '!T62</f>
        <v>0</v>
      </c>
      <c r="U9" s="4">
        <f>'תקציב אגף ת.ב.ל 2020 '!U62</f>
        <v>800000</v>
      </c>
      <c r="V9" s="4">
        <f>'תקציב אגף ת.ב.ל 2020 '!V62</f>
        <v>0</v>
      </c>
      <c r="W9" s="4">
        <f>'תקציב אגף ת.ב.ל 2020 '!W62</f>
        <v>800000</v>
      </c>
      <c r="X9" s="4">
        <f>'תקציב אגף ת.ב.ל 2020 '!X62</f>
        <v>0</v>
      </c>
      <c r="Y9" s="4">
        <f>'תקציב אגף ת.ב.ל 2020 '!Y62</f>
        <v>0</v>
      </c>
      <c r="Z9" s="4">
        <f>'תקציב אגף ת.ב.ל 2020 '!Z62</f>
        <v>0</v>
      </c>
      <c r="AA9" s="87" t="str">
        <f>'תקציב אגף ת.ב.ל 2020 '!AA62</f>
        <v>הצטיידות  של יחידת חילוץ מתנדבים שעברו הכשרה בפיקוד העורף לתפקוד במצבי חרום .</v>
      </c>
      <c r="AB9" s="706">
        <f>'תקציב אגף ת.ב.ל 2020 '!AB62</f>
        <v>720000</v>
      </c>
      <c r="AC9" s="6"/>
      <c r="AD9" s="6"/>
    </row>
    <row r="10" spans="1:40" s="5" customFormat="1" ht="41.4">
      <c r="A10" s="3">
        <f>A9+1</f>
        <v>4</v>
      </c>
      <c r="B10" s="706">
        <f>'תקציב אגף ת.ב.ל 2020 '!B33</f>
        <v>1942</v>
      </c>
      <c r="C10" s="87" t="str">
        <f>'תקציב אגף ת.ב.ל 2020 '!C33</f>
        <v>התקנת מע. גילוי אש א.ס. היובל</v>
      </c>
      <c r="D10" s="4">
        <f>'תקציב אגף ת.ב.ל 2020 '!D33</f>
        <v>972000</v>
      </c>
      <c r="E10" s="4">
        <f>'תקציב אגף ת.ב.ל 2020 '!E33</f>
        <v>972000</v>
      </c>
      <c r="F10" s="4">
        <f>'תקציב אגף ת.ב.ל 2020 '!F33</f>
        <v>0</v>
      </c>
      <c r="G10" s="4">
        <f>'תקציב אגף ת.ב.ל 2020 '!G33</f>
        <v>972000</v>
      </c>
      <c r="H10" s="4">
        <f>'תקציב אגף ת.ב.ל 2020 '!H33</f>
        <v>498681.01</v>
      </c>
      <c r="I10" s="4">
        <f>'תקציב אגף ת.ב.ל 2020 '!I33</f>
        <v>0</v>
      </c>
      <c r="J10" s="4">
        <f>'תקציב אגף ת.ב.ל 2020 '!J33</f>
        <v>0</v>
      </c>
      <c r="K10" s="4">
        <f>'תקציב אגף ת.ב.ל 2020 '!K33</f>
        <v>0</v>
      </c>
      <c r="L10" s="4">
        <f>'תקציב אגף ת.ב.ל 2020 '!L33</f>
        <v>498681.01</v>
      </c>
      <c r="M10" s="4">
        <f>'תקציב אגף ת.ב.ל 2020 '!M33</f>
        <v>473318.99</v>
      </c>
      <c r="N10" s="4">
        <f>'תקציב אגף ת.ב.ל 2020 '!N33</f>
        <v>0</v>
      </c>
      <c r="O10" s="4">
        <f>'תקציב אגף ת.ב.ל 2020 '!O33</f>
        <v>0</v>
      </c>
      <c r="P10" s="4">
        <f>'תקציב אגף ת.ב.ל 2020 '!P33</f>
        <v>473318.99</v>
      </c>
      <c r="Q10" s="4">
        <f>'תקציב אגף ת.ב.ל 2020 '!Q33</f>
        <v>0</v>
      </c>
      <c r="R10" s="4">
        <f>'תקציב אגף ת.ב.ל 2020 '!R33</f>
        <v>0</v>
      </c>
      <c r="S10" s="4">
        <f>'תקציב אגף ת.ב.ל 2020 '!S33</f>
        <v>0</v>
      </c>
      <c r="T10" s="4">
        <f>'תקציב אגף ת.ב.ל 2020 '!T33</f>
        <v>0</v>
      </c>
      <c r="U10" s="4">
        <f>'תקציב אגף ת.ב.ל 2020 '!U33</f>
        <v>0</v>
      </c>
      <c r="V10" s="4">
        <f>'תקציב אגף ת.ב.ל 2020 '!V33</f>
        <v>0</v>
      </c>
      <c r="W10" s="4">
        <f>'תקציב אגף ת.ב.ל 2020 '!W33</f>
        <v>0</v>
      </c>
      <c r="X10" s="4">
        <f>'תקציב אגף ת.ב.ל 2020 '!X33</f>
        <v>0</v>
      </c>
      <c r="Y10" s="4">
        <f>'תקציב אגף ת.ב.ל 2020 '!Y33</f>
        <v>0</v>
      </c>
      <c r="Z10" s="4">
        <f>'תקציב אגף ת.ב.ל 2020 '!Z33</f>
        <v>0</v>
      </c>
      <c r="AA10" s="87" t="str">
        <f>'תקציב אגף ת.ב.ל 2020 '!AA33</f>
        <v>המשך עבודות שדרוג לוחות חשמל והוספת מפסקי חירום עפ"י הצורך.</v>
      </c>
      <c r="AB10" s="706">
        <f>'תקציב אגף ת.ב.ל 2020 '!AB33</f>
        <v>724000</v>
      </c>
      <c r="AC10" s="191"/>
      <c r="AD10" s="191"/>
      <c r="AE10" s="31"/>
      <c r="AF10" s="28"/>
      <c r="AG10" s="358"/>
      <c r="AH10" s="359"/>
      <c r="AI10" s="360"/>
      <c r="AJ10" s="29"/>
      <c r="AK10" s="29"/>
      <c r="AL10" s="29"/>
      <c r="AM10" s="29"/>
      <c r="AN10" s="28"/>
    </row>
    <row r="11" spans="1:40" s="84" customFormat="1">
      <c r="A11" s="41"/>
      <c r="B11" s="725"/>
      <c r="C11" s="705" t="s">
        <v>698</v>
      </c>
      <c r="D11" s="88">
        <f>SUM(D8:D10)</f>
        <v>3022000</v>
      </c>
      <c r="E11" s="88">
        <f t="shared" ref="E11:Z11" si="1">SUM(E8:E10)</f>
        <v>1422000</v>
      </c>
      <c r="F11" s="88">
        <f t="shared" si="1"/>
        <v>1600000</v>
      </c>
      <c r="G11" s="88">
        <f t="shared" si="1"/>
        <v>1422000</v>
      </c>
      <c r="H11" s="88">
        <f t="shared" si="1"/>
        <v>498681.01</v>
      </c>
      <c r="I11" s="88">
        <f t="shared" si="1"/>
        <v>0</v>
      </c>
      <c r="J11" s="88">
        <f t="shared" si="1"/>
        <v>129870</v>
      </c>
      <c r="K11" s="88">
        <f t="shared" si="1"/>
        <v>129870</v>
      </c>
      <c r="L11" s="88">
        <f t="shared" si="1"/>
        <v>628551.01</v>
      </c>
      <c r="M11" s="88">
        <f t="shared" si="1"/>
        <v>793448.99</v>
      </c>
      <c r="N11" s="88">
        <f t="shared" si="1"/>
        <v>800000</v>
      </c>
      <c r="O11" s="88">
        <f t="shared" si="1"/>
        <v>800000</v>
      </c>
      <c r="P11" s="88">
        <f t="shared" si="1"/>
        <v>793448.99</v>
      </c>
      <c r="Q11" s="88">
        <f t="shared" si="1"/>
        <v>0</v>
      </c>
      <c r="R11" s="88">
        <f t="shared" si="1"/>
        <v>0</v>
      </c>
      <c r="S11" s="88">
        <f t="shared" si="1"/>
        <v>0</v>
      </c>
      <c r="T11" s="88">
        <f t="shared" si="1"/>
        <v>0</v>
      </c>
      <c r="U11" s="88">
        <f t="shared" si="1"/>
        <v>800000</v>
      </c>
      <c r="V11" s="88">
        <f t="shared" si="1"/>
        <v>0</v>
      </c>
      <c r="W11" s="88">
        <f t="shared" si="1"/>
        <v>800000</v>
      </c>
      <c r="X11" s="88">
        <f t="shared" si="1"/>
        <v>0</v>
      </c>
      <c r="Y11" s="88">
        <f t="shared" si="1"/>
        <v>0</v>
      </c>
      <c r="Z11" s="88">
        <f t="shared" si="1"/>
        <v>0</v>
      </c>
      <c r="AA11" s="410"/>
      <c r="AB11" s="725"/>
      <c r="AC11" s="428"/>
      <c r="AD11" s="428"/>
      <c r="AE11" s="434"/>
      <c r="AF11" s="308"/>
      <c r="AG11" s="437"/>
      <c r="AH11" s="438"/>
      <c r="AI11" s="308"/>
      <c r="AJ11" s="309"/>
      <c r="AK11" s="309"/>
      <c r="AL11" s="309"/>
      <c r="AM11" s="309"/>
      <c r="AN11" s="308"/>
    </row>
    <row r="12" spans="1:40" s="5" customFormat="1">
      <c r="A12" s="3">
        <f>A10+1</f>
        <v>5</v>
      </c>
      <c r="B12" s="706">
        <f>'תקציב אגף ת.ב.ל 2020 '!B6</f>
        <v>1247</v>
      </c>
      <c r="C12" s="87" t="str">
        <f>'תקציב אגף ת.ב.ל 2020 '!C6</f>
        <v>תכנון ייעוץ הנדסי "סל"</v>
      </c>
      <c r="D12" s="4">
        <f>'תקציב אגף ת.ב.ל 2020 '!D6</f>
        <v>9500000</v>
      </c>
      <c r="E12" s="4">
        <f>'תקציב אגף ת.ב.ל 2020 '!E6</f>
        <v>9500000</v>
      </c>
      <c r="F12" s="4">
        <f>'תקציב אגף ת.ב.ל 2020 '!F6</f>
        <v>0</v>
      </c>
      <c r="G12" s="4">
        <f>'תקציב אגף ת.ב.ל 2020 '!G6</f>
        <v>8850000</v>
      </c>
      <c r="H12" s="4">
        <f>'תקציב אגף ת.ב.ל 2020 '!H6</f>
        <v>8326221.0999999996</v>
      </c>
      <c r="I12" s="4">
        <f>'תקציב אגף ת.ב.ל 2020 '!I6</f>
        <v>0.68</v>
      </c>
      <c r="J12" s="4">
        <f>'תקציב אגף ת.ב.ל 2020 '!J6</f>
        <v>167329.9</v>
      </c>
      <c r="K12" s="4">
        <f>'תקציב אגף ת.ב.ל 2020 '!K6</f>
        <v>167330.57999999999</v>
      </c>
      <c r="L12" s="4">
        <f>'תקציב אגף ת.ב.ל 2020 '!L6</f>
        <v>8493551.6799999997</v>
      </c>
      <c r="M12" s="4">
        <f>'תקציב אגף ת.ב.ל 2020 '!M6</f>
        <v>356448.3200000003</v>
      </c>
      <c r="N12" s="4">
        <f>'תקציב אגף ת.ב.ל 2020 '!N6</f>
        <v>200000</v>
      </c>
      <c r="O12" s="4">
        <f>'תקציב אגף ת.ב.ל 2020 '!O6</f>
        <v>450000</v>
      </c>
      <c r="P12" s="4">
        <f>'תקציב אגף ת.ב.ל 2020 '!P6</f>
        <v>356448.3200000003</v>
      </c>
      <c r="Q12" s="4">
        <f>'תקציב אגף ת.ב.ל 2020 '!Q6</f>
        <v>0</v>
      </c>
      <c r="R12" s="4">
        <f>'תקציב אגף ת.ב.ל 2020 '!R6</f>
        <v>0</v>
      </c>
      <c r="S12" s="4">
        <f>'תקציב אגף ת.ב.ל 2020 '!S6</f>
        <v>0</v>
      </c>
      <c r="T12" s="4">
        <f>'תקציב אגף ת.ב.ל 2020 '!T6</f>
        <v>0</v>
      </c>
      <c r="U12" s="4">
        <f>'תקציב אגף ת.ב.ל 2020 '!U6</f>
        <v>200000</v>
      </c>
      <c r="V12" s="4">
        <f>'תקציב אגף ת.ב.ל 2020 '!V6</f>
        <v>0</v>
      </c>
      <c r="W12" s="4">
        <f>'תקציב אגף ת.ב.ל 2020 '!W6</f>
        <v>200000</v>
      </c>
      <c r="X12" s="4">
        <f>'תקציב אגף ת.ב.ל 2020 '!X6</f>
        <v>0</v>
      </c>
      <c r="Y12" s="4">
        <f>'תקציב אגף ת.ב.ל 2020 '!Y6</f>
        <v>0</v>
      </c>
      <c r="Z12" s="4">
        <f>'תקציב אגף ת.ב.ל 2020 '!Z6</f>
        <v>0</v>
      </c>
      <c r="AA12" s="87" t="str">
        <f>'תקציב אגף ת.ב.ל 2020 '!AA6</f>
        <v>סל לייעוץ ותכנון הנדסי.</v>
      </c>
      <c r="AB12" s="706">
        <f>'תקציב אגף ת.ב.ל 2020 '!AB6</f>
        <v>732000</v>
      </c>
      <c r="AC12" s="191"/>
      <c r="AD12" s="191"/>
      <c r="AE12" s="31"/>
      <c r="AF12" s="28"/>
      <c r="AG12" s="358"/>
      <c r="AH12" s="359"/>
      <c r="AI12" s="360"/>
      <c r="AJ12" s="29"/>
      <c r="AK12" s="29"/>
      <c r="AL12" s="29"/>
      <c r="AM12" s="29"/>
      <c r="AN12" s="28"/>
    </row>
    <row r="13" spans="1:40" s="84" customFormat="1">
      <c r="A13" s="41"/>
      <c r="B13" s="725"/>
      <c r="C13" s="705" t="s">
        <v>690</v>
      </c>
      <c r="D13" s="88">
        <f>SUM(D12)</f>
        <v>9500000</v>
      </c>
      <c r="E13" s="88">
        <f t="shared" ref="E13:Z13" si="2">SUM(E12)</f>
        <v>9500000</v>
      </c>
      <c r="F13" s="88">
        <f t="shared" si="2"/>
        <v>0</v>
      </c>
      <c r="G13" s="88">
        <f t="shared" si="2"/>
        <v>8850000</v>
      </c>
      <c r="H13" s="88">
        <f t="shared" si="2"/>
        <v>8326221.0999999996</v>
      </c>
      <c r="I13" s="88">
        <f t="shared" si="2"/>
        <v>0.68</v>
      </c>
      <c r="J13" s="88">
        <f t="shared" si="2"/>
        <v>167329.9</v>
      </c>
      <c r="K13" s="88">
        <f t="shared" si="2"/>
        <v>167330.57999999999</v>
      </c>
      <c r="L13" s="88">
        <f t="shared" si="2"/>
        <v>8493551.6799999997</v>
      </c>
      <c r="M13" s="88">
        <f t="shared" si="2"/>
        <v>356448.3200000003</v>
      </c>
      <c r="N13" s="88">
        <f t="shared" si="2"/>
        <v>200000</v>
      </c>
      <c r="O13" s="88">
        <f t="shared" si="2"/>
        <v>450000</v>
      </c>
      <c r="P13" s="88">
        <f t="shared" si="2"/>
        <v>356448.3200000003</v>
      </c>
      <c r="Q13" s="88">
        <f t="shared" si="2"/>
        <v>0</v>
      </c>
      <c r="R13" s="88">
        <f t="shared" si="2"/>
        <v>0</v>
      </c>
      <c r="S13" s="88">
        <f t="shared" si="2"/>
        <v>0</v>
      </c>
      <c r="T13" s="88">
        <f t="shared" si="2"/>
        <v>0</v>
      </c>
      <c r="U13" s="88">
        <f t="shared" si="2"/>
        <v>200000</v>
      </c>
      <c r="V13" s="88">
        <f t="shared" si="2"/>
        <v>0</v>
      </c>
      <c r="W13" s="88">
        <f t="shared" si="2"/>
        <v>200000</v>
      </c>
      <c r="X13" s="88">
        <f t="shared" si="2"/>
        <v>0</v>
      </c>
      <c r="Y13" s="88">
        <f t="shared" si="2"/>
        <v>0</v>
      </c>
      <c r="Z13" s="88">
        <f t="shared" si="2"/>
        <v>0</v>
      </c>
      <c r="AA13" s="410"/>
      <c r="AB13" s="725"/>
      <c r="AC13" s="428"/>
      <c r="AD13" s="428"/>
      <c r="AE13" s="434"/>
      <c r="AF13" s="308"/>
      <c r="AG13" s="437"/>
      <c r="AH13" s="438"/>
      <c r="AI13" s="308"/>
      <c r="AJ13" s="309"/>
      <c r="AK13" s="309"/>
      <c r="AL13" s="309"/>
      <c r="AM13" s="309"/>
      <c r="AN13" s="308"/>
    </row>
    <row r="14" spans="1:40" s="5" customFormat="1" ht="55.2">
      <c r="A14" s="3">
        <f>A12+1</f>
        <v>6</v>
      </c>
      <c r="B14" s="706">
        <f>'תקציב אגף ת.ב.ל 2020 '!B14</f>
        <v>1489</v>
      </c>
      <c r="C14" s="87" t="str">
        <f>'תקציב אגף ת.ב.ל 2020 '!C14</f>
        <v>שדרוג כבישים מדרכות תשתיות</v>
      </c>
      <c r="D14" s="4">
        <f>'תקציב אגף ת.ב.ל 2020 '!D14</f>
        <v>48500000</v>
      </c>
      <c r="E14" s="4">
        <f>'תקציב אגף ת.ב.ל 2020 '!E14</f>
        <v>46200000</v>
      </c>
      <c r="F14" s="4">
        <f>'תקציב אגף ת.ב.ל 2020 '!F14</f>
        <v>2300000</v>
      </c>
      <c r="G14" s="4">
        <f>'תקציב אגף ת.ב.ל 2020 '!G14</f>
        <v>43900000</v>
      </c>
      <c r="H14" s="4">
        <f>'תקציב אגף ת.ב.ל 2020 '!H14</f>
        <v>37910141.090000004</v>
      </c>
      <c r="I14" s="4">
        <f>'תקציב אגף ת.ב.ל 2020 '!I14</f>
        <v>0</v>
      </c>
      <c r="J14" s="4">
        <f>'תקציב אגף ת.ב.ל 2020 '!J14</f>
        <v>3298194.95</v>
      </c>
      <c r="K14" s="4">
        <f>'תקציב אגף ת.ב.ל 2020 '!K14</f>
        <v>3298194.95</v>
      </c>
      <c r="L14" s="4">
        <f>'תקציב אגף ת.ב.ל 2020 '!L14</f>
        <v>41208336.040000007</v>
      </c>
      <c r="M14" s="4">
        <f>'תקציב אגף ת.ב.ל 2020 '!M14</f>
        <v>3291663.9599999934</v>
      </c>
      <c r="N14" s="4">
        <f>'תקציב אגף ת.ב.ל 2020 '!N14</f>
        <v>3500000</v>
      </c>
      <c r="O14" s="4">
        <f>'תקציב אגף ת.ב.ל 2020 '!O14</f>
        <v>500000</v>
      </c>
      <c r="P14" s="4">
        <f>'תקציב אגף ת.ב.ל 2020 '!P14</f>
        <v>2691663.9599999934</v>
      </c>
      <c r="Q14" s="4">
        <f>'תקציב אגף ת.ב.ל 2020 '!Q14</f>
        <v>600000</v>
      </c>
      <c r="R14" s="4">
        <f>'תקציב אגף ת.ב.ל 2020 '!R14</f>
        <v>0</v>
      </c>
      <c r="S14" s="4">
        <f>'תקציב אגף ת.ב.ל 2020 '!S14</f>
        <v>600000</v>
      </c>
      <c r="T14" s="4">
        <f>'תקציב אגף ת.ב.ל 2020 '!T14</f>
        <v>0</v>
      </c>
      <c r="U14" s="4">
        <f>'תקציב אגף ת.ב.ל 2020 '!U14</f>
        <v>3500000</v>
      </c>
      <c r="V14" s="4">
        <f>'תקציב אגף ת.ב.ל 2020 '!V14</f>
        <v>0</v>
      </c>
      <c r="W14" s="4">
        <f>'תקציב אגף ת.ב.ל 2020 '!W14</f>
        <v>3500000</v>
      </c>
      <c r="X14" s="4">
        <f>'תקציב אגף ת.ב.ל 2020 '!X14</f>
        <v>0</v>
      </c>
      <c r="Y14" s="4">
        <f>'תקציב אגף ת.ב.ל 2020 '!Y14</f>
        <v>0</v>
      </c>
      <c r="Z14" s="4">
        <f>'תקציב אגף ת.ב.ל 2020 '!Z14</f>
        <v>0</v>
      </c>
      <c r="AA14" s="87" t="str">
        <f>'תקציב אגף ת.ב.ל 2020 '!AA14</f>
        <v>סל לשדרוג כבישים במקביל לעבודת תאגיד המים ומדרכות ברחבי העיר עפ"י תוכנית עבודה שתאושר ע"י הנהלת העיר.</v>
      </c>
      <c r="AB14" s="706">
        <f>'תקציב אגף ת.ב.ל 2020 '!AB14</f>
        <v>742000</v>
      </c>
      <c r="AC14" s="191"/>
      <c r="AD14" s="191"/>
      <c r="AE14" s="31"/>
      <c r="AF14" s="28"/>
      <c r="AG14" s="358"/>
      <c r="AH14" s="359"/>
      <c r="AI14" s="360"/>
      <c r="AJ14" s="29"/>
      <c r="AK14" s="29"/>
      <c r="AL14" s="29"/>
      <c r="AM14" s="29"/>
      <c r="AN14" s="28"/>
    </row>
    <row r="15" spans="1:40" s="5" customFormat="1">
      <c r="A15" s="3">
        <f t="shared" ref="A15:A22" si="3">A14+1</f>
        <v>7</v>
      </c>
      <c r="B15" s="706">
        <f>'תקציב אגף ת.ב.ל 2020 '!B22</f>
        <v>1804</v>
      </c>
      <c r="C15" s="87" t="str">
        <f>'תקציב אגף ת.ב.ל 2020 '!C22</f>
        <v>פית' מדרגות קיר תומך פנחס רוזן</v>
      </c>
      <c r="D15" s="4">
        <f>'תקציב אגף ת.ב.ל 2020 '!D22</f>
        <v>200000</v>
      </c>
      <c r="E15" s="4">
        <f>'תקציב אגף ת.ב.ל 2020 '!E22</f>
        <v>200000</v>
      </c>
      <c r="F15" s="4">
        <f>'תקציב אגף ת.ב.ל 2020 '!F22</f>
        <v>0</v>
      </c>
      <c r="G15" s="4">
        <f>'תקציב אגף ת.ב.ל 2020 '!G22</f>
        <v>200000</v>
      </c>
      <c r="H15" s="4">
        <f>'תקציב אגף ת.ב.ל 2020 '!H22</f>
        <v>18830.330000000002</v>
      </c>
      <c r="I15" s="4">
        <f>'תקציב אגף ת.ב.ל 2020 '!I22</f>
        <v>0</v>
      </c>
      <c r="J15" s="4">
        <f>'תקציב אגף ת.ב.ל 2020 '!J22</f>
        <v>28242.87</v>
      </c>
      <c r="K15" s="4">
        <f>'תקציב אגף ת.ב.ל 2020 '!K22</f>
        <v>28242.87</v>
      </c>
      <c r="L15" s="4">
        <f>'תקציב אגף ת.ב.ל 2020 '!L22</f>
        <v>47073.2</v>
      </c>
      <c r="M15" s="4">
        <f>'תקציב אגף ת.ב.ל 2020 '!M22</f>
        <v>152926.79999999999</v>
      </c>
      <c r="N15" s="4">
        <f>'תקציב אגף ת.ב.ל 2020 '!N22</f>
        <v>0</v>
      </c>
      <c r="O15" s="4">
        <f>'תקציב אגף ת.ב.ל 2020 '!O22</f>
        <v>0</v>
      </c>
      <c r="P15" s="4">
        <f>'תקציב אגף ת.ב.ל 2020 '!P22</f>
        <v>152926.79999999999</v>
      </c>
      <c r="Q15" s="4">
        <f>'תקציב אגף ת.ב.ל 2020 '!Q22</f>
        <v>0</v>
      </c>
      <c r="R15" s="4">
        <f>'תקציב אגף ת.ב.ל 2020 '!R22</f>
        <v>0</v>
      </c>
      <c r="S15" s="4">
        <f>'תקציב אגף ת.ב.ל 2020 '!S22</f>
        <v>0</v>
      </c>
      <c r="T15" s="4">
        <f>'תקציב אגף ת.ב.ל 2020 '!T22</f>
        <v>0</v>
      </c>
      <c r="U15" s="4">
        <f>'תקציב אגף ת.ב.ל 2020 '!U22</f>
        <v>0</v>
      </c>
      <c r="V15" s="4">
        <f>'תקציב אגף ת.ב.ל 2020 '!V22</f>
        <v>0</v>
      </c>
      <c r="W15" s="4">
        <f>'תקציב אגף ת.ב.ל 2020 '!W22</f>
        <v>0</v>
      </c>
      <c r="X15" s="4">
        <f>'תקציב אגף ת.ב.ל 2020 '!X22</f>
        <v>0</v>
      </c>
      <c r="Y15" s="4">
        <f>'תקציב אגף ת.ב.ל 2020 '!Y22</f>
        <v>0</v>
      </c>
      <c r="Z15" s="4">
        <f>'תקציב אגף ת.ב.ל 2020 '!Z22</f>
        <v>0</v>
      </c>
      <c r="AA15" s="87" t="str">
        <f>'תקציב אגף ת.ב.ל 2020 '!AA22</f>
        <v>עבר מהנדסה.</v>
      </c>
      <c r="AB15" s="706">
        <f>'תקציב אגף ת.ב.ל 2020 '!AB22</f>
        <v>742000</v>
      </c>
      <c r="AC15" s="619"/>
      <c r="AD15" s="52"/>
    </row>
    <row r="16" spans="1:40" s="5" customFormat="1" ht="41.4">
      <c r="A16" s="3">
        <f t="shared" si="3"/>
        <v>8</v>
      </c>
      <c r="B16" s="706">
        <f>'תקציב אגף ת.ב.ל 2020 '!B23</f>
        <v>1848</v>
      </c>
      <c r="C16" s="87" t="str">
        <f>'תקציב אגף ת.ב.ל 2020 '!C23</f>
        <v>פרויקטים קטנים רזרבה אגפית</v>
      </c>
      <c r="D16" s="4">
        <f>'תקציב אגף ת.ב.ל 2020 '!D23</f>
        <v>1200000</v>
      </c>
      <c r="E16" s="4">
        <f>'תקציב אגף ת.ב.ל 2020 '!E23</f>
        <v>700000</v>
      </c>
      <c r="F16" s="4">
        <f>'תקציב אגף ת.ב.ל 2020 '!F23</f>
        <v>500000</v>
      </c>
      <c r="G16" s="4">
        <f>'תקציב אגף ת.ב.ל 2020 '!G23</f>
        <v>700000</v>
      </c>
      <c r="H16" s="4">
        <f>'תקציב אגף ת.ב.ל 2020 '!H23</f>
        <v>510383.99</v>
      </c>
      <c r="I16" s="4">
        <f>'תקציב אגף ת.ב.ל 2020 '!I23</f>
        <v>0</v>
      </c>
      <c r="J16" s="4">
        <f>'תקציב אגף ת.ב.ל 2020 '!J23</f>
        <v>145636.89000000001</v>
      </c>
      <c r="K16" s="4">
        <f>'תקציב אגף ת.ב.ל 2020 '!K23</f>
        <v>145636.89000000001</v>
      </c>
      <c r="L16" s="4">
        <f>'תקציב אגף ת.ב.ל 2020 '!L23</f>
        <v>656020.88</v>
      </c>
      <c r="M16" s="4">
        <f>'תקציב אגף ת.ב.ל 2020 '!M23</f>
        <v>43979.119999999995</v>
      </c>
      <c r="N16" s="4">
        <f>'תקציב אגף ת.ב.ל 2020 '!N23</f>
        <v>500000</v>
      </c>
      <c r="O16" s="4">
        <f>'תקציב אגף ת.ב.ל 2020 '!O23</f>
        <v>0</v>
      </c>
      <c r="P16" s="4">
        <f>'תקציב אגף ת.ב.ל 2020 '!P23</f>
        <v>43979.119999999995</v>
      </c>
      <c r="Q16" s="4">
        <f>'תקציב אגף ת.ב.ל 2020 '!Q23</f>
        <v>0</v>
      </c>
      <c r="R16" s="4">
        <f>'תקציב אגף ת.ב.ל 2020 '!R23</f>
        <v>0</v>
      </c>
      <c r="S16" s="4">
        <f>'תקציב אגף ת.ב.ל 2020 '!S23</f>
        <v>0</v>
      </c>
      <c r="T16" s="4">
        <f>'תקציב אגף ת.ב.ל 2020 '!T23</f>
        <v>0</v>
      </c>
      <c r="U16" s="4">
        <f>'תקציב אגף ת.ב.ל 2020 '!U23</f>
        <v>500000</v>
      </c>
      <c r="V16" s="4">
        <f>'תקציב אגף ת.ב.ל 2020 '!V23</f>
        <v>0</v>
      </c>
      <c r="W16" s="4">
        <f>'תקציב אגף ת.ב.ל 2020 '!W23</f>
        <v>500000</v>
      </c>
      <c r="X16" s="4">
        <f>'תקציב אגף ת.ב.ל 2020 '!X23</f>
        <v>0</v>
      </c>
      <c r="Y16" s="4">
        <f>'תקציב אגף ת.ב.ל 2020 '!Y23</f>
        <v>0</v>
      </c>
      <c r="Z16" s="4">
        <f>'תקציב אגף ת.ב.ל 2020 '!Z23</f>
        <v>0</v>
      </c>
      <c r="AA16" s="87" t="str">
        <f>'תקציב אגף ת.ב.ל 2020 '!AA23</f>
        <v>סל לביצוע עבודות פרויקטים קטנים הנדרשים ע"י האגף מעת לעת.</v>
      </c>
      <c r="AB16" s="706">
        <f>'תקציב אגף ת.ב.ל 2020 '!AB23</f>
        <v>742000</v>
      </c>
      <c r="AC16" s="191"/>
      <c r="AD16" s="191"/>
      <c r="AE16" s="31"/>
      <c r="AF16" s="28"/>
      <c r="AG16" s="358"/>
      <c r="AH16" s="359"/>
      <c r="AI16" s="360"/>
      <c r="AJ16" s="29"/>
      <c r="AK16" s="29"/>
      <c r="AL16" s="29"/>
      <c r="AM16" s="29"/>
      <c r="AN16" s="28"/>
    </row>
    <row r="17" spans="1:40" s="5" customFormat="1" ht="27.6">
      <c r="A17" s="3">
        <f t="shared" si="3"/>
        <v>9</v>
      </c>
      <c r="B17" s="706">
        <f>'תקציב אגף ת.ב.ל 2020 '!B24</f>
        <v>1849</v>
      </c>
      <c r="C17" s="87" t="str">
        <f>'תקציב אגף ת.ב.ל 2020 '!C24</f>
        <v xml:space="preserve"> התקנת גופי תאורה בטכנולוגיה מתקדמת במגרשי הספורט</v>
      </c>
      <c r="D17" s="4">
        <f>'תקציב אגף ת.ב.ל 2020 '!D24</f>
        <v>1400000</v>
      </c>
      <c r="E17" s="4">
        <f>'תקציב אגף ת.ב.ל 2020 '!E24</f>
        <v>1400000</v>
      </c>
      <c r="F17" s="4">
        <f>'תקציב אגף ת.ב.ל 2020 '!F24</f>
        <v>0</v>
      </c>
      <c r="G17" s="4">
        <f>'תקציב אגף ת.ב.ל 2020 '!G24</f>
        <v>1400000</v>
      </c>
      <c r="H17" s="4">
        <f>'תקציב אגף ת.ב.ל 2020 '!H24</f>
        <v>459810.04</v>
      </c>
      <c r="I17" s="4">
        <f>'תקציב אגף ת.ב.ל 2020 '!I24</f>
        <v>0</v>
      </c>
      <c r="J17" s="4">
        <f>'תקציב אגף ת.ב.ל 2020 '!J24</f>
        <v>636855</v>
      </c>
      <c r="K17" s="4">
        <f>'תקציב אגף ת.ב.ל 2020 '!K24</f>
        <v>636855</v>
      </c>
      <c r="L17" s="4">
        <f>'תקציב אגף ת.ב.ל 2020 '!L24</f>
        <v>1096665.04</v>
      </c>
      <c r="M17" s="4">
        <f>'תקציב אגף ת.ב.ל 2020 '!M24</f>
        <v>303334.95999999996</v>
      </c>
      <c r="N17" s="4">
        <f>'תקציב אגף ת.ב.ל 2020 '!N24</f>
        <v>0</v>
      </c>
      <c r="O17" s="4">
        <f>'תקציב אגף ת.ב.ל 2020 '!O24</f>
        <v>0</v>
      </c>
      <c r="P17" s="4">
        <f>'תקציב אגף ת.ב.ל 2020 '!P24</f>
        <v>303334.95999999996</v>
      </c>
      <c r="Q17" s="4">
        <f>'תקציב אגף ת.ב.ל 2020 '!Q24</f>
        <v>0</v>
      </c>
      <c r="R17" s="4">
        <f>'תקציב אגף ת.ב.ל 2020 '!R24</f>
        <v>0</v>
      </c>
      <c r="S17" s="4">
        <f>'תקציב אגף ת.ב.ל 2020 '!S24</f>
        <v>0</v>
      </c>
      <c r="T17" s="4">
        <f>'תקציב אגף ת.ב.ל 2020 '!T24</f>
        <v>0</v>
      </c>
      <c r="U17" s="4">
        <f>'תקציב אגף ת.ב.ל 2020 '!U24</f>
        <v>0</v>
      </c>
      <c r="V17" s="4">
        <f>'תקציב אגף ת.ב.ל 2020 '!V24</f>
        <v>0</v>
      </c>
      <c r="W17" s="4">
        <f>'תקציב אגף ת.ב.ל 2020 '!W24</f>
        <v>0</v>
      </c>
      <c r="X17" s="4">
        <f>'תקציב אגף ת.ב.ל 2020 '!X24</f>
        <v>0</v>
      </c>
      <c r="Y17" s="4">
        <f>'תקציב אגף ת.ב.ל 2020 '!Y24</f>
        <v>0</v>
      </c>
      <c r="Z17" s="4">
        <f>'תקציב אגף ת.ב.ל 2020 '!Z24</f>
        <v>0</v>
      </c>
      <c r="AA17" s="87" t="str">
        <f>'תקציב אגף ת.ב.ל 2020 '!AA24</f>
        <v>התקנת גופי תאורה בטכנולוגיה מתקדמת במגרשי ספורט.</v>
      </c>
      <c r="AB17" s="706">
        <f>'תקציב אגף ת.ב.ל 2020 '!AB24</f>
        <v>743000</v>
      </c>
      <c r="AC17" s="191"/>
      <c r="AD17" s="191"/>
      <c r="AE17" s="31"/>
      <c r="AF17" s="28"/>
      <c r="AG17" s="358"/>
      <c r="AH17" s="359"/>
      <c r="AI17" s="360"/>
      <c r="AJ17" s="29"/>
      <c r="AK17" s="29"/>
      <c r="AL17" s="28"/>
      <c r="AM17" s="28"/>
      <c r="AN17" s="28"/>
    </row>
    <row r="18" spans="1:40" s="5" customFormat="1" ht="55.2">
      <c r="A18" s="3">
        <f t="shared" si="3"/>
        <v>10</v>
      </c>
      <c r="B18" s="706">
        <f>'תקציב אגף ת.ב.ל 2020 '!B30</f>
        <v>1917</v>
      </c>
      <c r="C18" s="87" t="str">
        <f>'תקציב אגף ת.ב.ל 2020 '!C30</f>
        <v>מע. תאורה LED ברחבי העיר</v>
      </c>
      <c r="D18" s="4">
        <f>'תקציב אגף ת.ב.ל 2020 '!D30</f>
        <v>76800000</v>
      </c>
      <c r="E18" s="4">
        <f>'תקציב אגף ת.ב.ל 2020 '!E30</f>
        <v>76800000</v>
      </c>
      <c r="F18" s="4">
        <f>'תקציב אגף ת.ב.ל 2020 '!F30</f>
        <v>0</v>
      </c>
      <c r="G18" s="4">
        <f>'תקציב אגף ת.ב.ל 2020 '!G30</f>
        <v>33501000</v>
      </c>
      <c r="H18" s="4">
        <f>'תקציב אגף ת.ב.ל 2020 '!H30</f>
        <v>14941312.73</v>
      </c>
      <c r="I18" s="4">
        <f>'תקציב אגף ת.ב.ל 2020 '!I30</f>
        <v>0</v>
      </c>
      <c r="J18" s="4">
        <f>'תקציב אגף ת.ב.ל 2020 '!J30</f>
        <v>14067361.029999999</v>
      </c>
      <c r="K18" s="4">
        <f>'תקציב אגף ת.ב.ל 2020 '!K30</f>
        <v>14067361.029999999</v>
      </c>
      <c r="L18" s="4">
        <f>'תקציב אגף ת.ב.ל 2020 '!L30</f>
        <v>29008673.759999998</v>
      </c>
      <c r="M18" s="4">
        <f>'תקציב אגף ת.ב.ל 2020 '!M30</f>
        <v>4492326.2400000021</v>
      </c>
      <c r="N18" s="4">
        <f>'תקציב אגף ת.ב.ל 2020 '!N30</f>
        <v>1000000</v>
      </c>
      <c r="O18" s="4">
        <f>'תקציב אגף ת.ב.ל 2020 '!O30</f>
        <v>42299000</v>
      </c>
      <c r="P18" s="4">
        <f>'תקציב אגף ת.ב.ל 2020 '!P30</f>
        <v>4492326.2400000021</v>
      </c>
      <c r="Q18" s="4">
        <f>'תקציב אגף ת.ב.ל 2020 '!Q30</f>
        <v>0</v>
      </c>
      <c r="R18" s="4">
        <f>'תקציב אגף ת.ב.ל 2020 '!R30</f>
        <v>0</v>
      </c>
      <c r="S18" s="4">
        <f>'תקציב אגף ת.ב.ל 2020 '!S30</f>
        <v>0</v>
      </c>
      <c r="T18" s="4">
        <f>'תקציב אגף ת.ב.ל 2020 '!T30</f>
        <v>0</v>
      </c>
      <c r="U18" s="4">
        <f>'תקציב אגף ת.ב.ל 2020 '!U30</f>
        <v>1000000</v>
      </c>
      <c r="V18" s="4">
        <f>'תקציב אגף ת.ב.ל 2020 '!V30</f>
        <v>1000000</v>
      </c>
      <c r="W18" s="4">
        <f>'תקציב אגף ת.ב.ל 2020 '!W30</f>
        <v>0</v>
      </c>
      <c r="X18" s="4">
        <f>'תקציב אגף ת.ב.ל 2020 '!X30</f>
        <v>0</v>
      </c>
      <c r="Y18" s="4">
        <f>'תקציב אגף ת.ב.ל 2020 '!Y30</f>
        <v>0</v>
      </c>
      <c r="Z18" s="4">
        <f>'תקציב אגף ת.ב.ל 2020 '!Z30</f>
        <v>0</v>
      </c>
      <c r="AA18" s="87" t="str">
        <f>'תקציב אגף ת.ב.ל 2020 '!AA30</f>
        <v>סל להקמת ושדרוג תשתיות כולל עמודי תאורה והתקנת גופי תאורה בטכנולוגיה מתקדמת עפ"י תוכנית רב שנתית.</v>
      </c>
      <c r="AB18" s="706">
        <f>'תקציב אגף ת.ב.ל 2020 '!AB30</f>
        <v>743000</v>
      </c>
      <c r="AC18" s="191"/>
      <c r="AD18" s="191"/>
      <c r="AE18" s="31"/>
      <c r="AF18" s="28"/>
      <c r="AG18" s="358"/>
      <c r="AH18" s="359"/>
      <c r="AI18" s="360"/>
      <c r="AJ18" s="29"/>
      <c r="AK18" s="29"/>
      <c r="AL18" s="28"/>
      <c r="AM18" s="28"/>
      <c r="AN18" s="28"/>
    </row>
    <row r="19" spans="1:40" s="5" customFormat="1" ht="41.4">
      <c r="A19" s="3">
        <f t="shared" si="3"/>
        <v>11</v>
      </c>
      <c r="B19" s="706">
        <f>'תקציב אגף ת.ב.ל 2020 '!B15</f>
        <v>1560</v>
      </c>
      <c r="C19" s="87" t="str">
        <f>'תקציב אגף ת.ב.ל 2020 '!C15</f>
        <v>עבודות שונות בפארק הרצליה</v>
      </c>
      <c r="D19" s="4">
        <f>'תקציב אגף ת.ב.ל 2020 '!D15</f>
        <v>5510000</v>
      </c>
      <c r="E19" s="4">
        <f>'תקציב אגף ת.ב.ל 2020 '!E15</f>
        <v>4610000</v>
      </c>
      <c r="F19" s="4">
        <f>'תקציב אגף ת.ב.ל 2020 '!F15</f>
        <v>900000</v>
      </c>
      <c r="G19" s="4">
        <f>'תקציב אגף ת.ב.ל 2020 '!G15</f>
        <v>4610000</v>
      </c>
      <c r="H19" s="4">
        <f>'תקציב אגף ת.ב.ל 2020 '!H15</f>
        <v>3045356.19</v>
      </c>
      <c r="I19" s="4">
        <f>'תקציב אגף ת.ב.ל 2020 '!I15</f>
        <v>0</v>
      </c>
      <c r="J19" s="4">
        <f>'תקציב אגף ת.ב.ל 2020 '!J15</f>
        <v>627349.77</v>
      </c>
      <c r="K19" s="4">
        <f>'תקציב אגף ת.ב.ל 2020 '!K15</f>
        <v>627349.77</v>
      </c>
      <c r="L19" s="4">
        <f>'תקציב אגף ת.ב.ל 2020 '!L15</f>
        <v>3672705.96</v>
      </c>
      <c r="M19" s="4">
        <f>'תקציב אגף ת.ב.ל 2020 '!M15</f>
        <v>937294.04</v>
      </c>
      <c r="N19" s="4">
        <f>'תקציב אגף ת.ב.ל 2020 '!N15</f>
        <v>900000</v>
      </c>
      <c r="O19" s="4">
        <f>'תקציב אגף ת.ב.ל 2020 '!O15</f>
        <v>0</v>
      </c>
      <c r="P19" s="4">
        <f>'תקציב אגף ת.ב.ל 2020 '!P15</f>
        <v>937294.04</v>
      </c>
      <c r="Q19" s="4">
        <f>'תקציב אגף ת.ב.ל 2020 '!Q15</f>
        <v>0</v>
      </c>
      <c r="R19" s="4">
        <f>'תקציב אגף ת.ב.ל 2020 '!R15</f>
        <v>0</v>
      </c>
      <c r="S19" s="4">
        <f>'תקציב אגף ת.ב.ל 2020 '!S15</f>
        <v>0</v>
      </c>
      <c r="T19" s="4">
        <f>'תקציב אגף ת.ב.ל 2020 '!T15</f>
        <v>0</v>
      </c>
      <c r="U19" s="4">
        <f>'תקציב אגף ת.ב.ל 2020 '!U15</f>
        <v>900000</v>
      </c>
      <c r="V19" s="4">
        <f>'תקציב אגף ת.ב.ל 2020 '!V15</f>
        <v>0</v>
      </c>
      <c r="W19" s="4">
        <f>'תקציב אגף ת.ב.ל 2020 '!W15</f>
        <v>900000</v>
      </c>
      <c r="X19" s="4">
        <f>'תקציב אגף ת.ב.ל 2020 '!X15</f>
        <v>0</v>
      </c>
      <c r="Y19" s="4">
        <f>'תקציב אגף ת.ב.ל 2020 '!Y15</f>
        <v>0</v>
      </c>
      <c r="Z19" s="4">
        <f>'תקציב אגף ת.ב.ל 2020 '!Z15</f>
        <v>0</v>
      </c>
      <c r="AA19" s="87" t="str">
        <f>'תקציב אגף ת.ב.ל 2020 '!AA15</f>
        <v>עבודות שונות בפארק כולל שביל גישה ליער מאכל, חידוש מסלול שלב ב' צפוני.</v>
      </c>
      <c r="AB19" s="706">
        <f>'תקציב אגף ת.ב.ל 2020 '!AB15</f>
        <v>746000</v>
      </c>
      <c r="AC19" s="191"/>
      <c r="AD19" s="191"/>
      <c r="AE19" s="31"/>
      <c r="AF19" s="28"/>
      <c r="AG19" s="358"/>
      <c r="AH19" s="359"/>
      <c r="AI19" s="360"/>
      <c r="AJ19" s="29"/>
      <c r="AK19" s="29"/>
      <c r="AL19" s="29"/>
      <c r="AM19" s="29"/>
      <c r="AN19" s="28"/>
    </row>
    <row r="20" spans="1:40" s="5" customFormat="1" ht="27.6">
      <c r="A20" s="3">
        <f t="shared" si="3"/>
        <v>12</v>
      </c>
      <c r="B20" s="706">
        <f>'תקציב אגף ת.ב.ל 2020 '!B20</f>
        <v>1773</v>
      </c>
      <c r="C20" s="87" t="str">
        <f>'תקציב אגף ת.ב.ל 2020 '!C20</f>
        <v>שיקום האגם בפארק</v>
      </c>
      <c r="D20" s="4">
        <f>'תקציב אגף ת.ב.ל 2020 '!D20</f>
        <v>1500000</v>
      </c>
      <c r="E20" s="4">
        <f>'תקציב אגף ת.ב.ל 2020 '!E20</f>
        <v>1500000</v>
      </c>
      <c r="F20" s="4">
        <f>'תקציב אגף ת.ב.ל 2020 '!F20</f>
        <v>0</v>
      </c>
      <c r="G20" s="4">
        <f>'תקציב אגף ת.ב.ל 2020 '!G20</f>
        <v>1500000</v>
      </c>
      <c r="H20" s="4">
        <f>'תקציב אגף ת.ב.ל 2020 '!H20</f>
        <v>119925</v>
      </c>
      <c r="I20" s="4">
        <f>'תקציב אגף ת.ב.ל 2020 '!I20</f>
        <v>58000</v>
      </c>
      <c r="J20" s="4">
        <f>'תקציב אגף ת.ב.ל 2020 '!J20</f>
        <v>0</v>
      </c>
      <c r="K20" s="4">
        <f>'תקציב אגף ת.ב.ל 2020 '!K20</f>
        <v>58000</v>
      </c>
      <c r="L20" s="4">
        <f>'תקציב אגף ת.ב.ל 2020 '!L20</f>
        <v>177925</v>
      </c>
      <c r="M20" s="4">
        <f>'תקציב אגף ת.ב.ל 2020 '!M20</f>
        <v>522075</v>
      </c>
      <c r="N20" s="4">
        <f>'תקציב אגף ת.ב.ל 2020 '!N20</f>
        <v>800000</v>
      </c>
      <c r="O20" s="4">
        <f>'תקציב אגף ת.ב.ל 2020 '!O20</f>
        <v>0</v>
      </c>
      <c r="P20" s="4">
        <f>'תקציב אגף ת.ב.ל 2020 '!P20</f>
        <v>1322075</v>
      </c>
      <c r="Q20" s="4">
        <f>'תקציב אגף ת.ב.ל 2020 '!Q20</f>
        <v>0</v>
      </c>
      <c r="R20" s="4">
        <f>'תקציב אגף ת.ב.ל 2020 '!R20</f>
        <v>0</v>
      </c>
      <c r="S20" s="4">
        <f>'תקציב אגף ת.ב.ל 2020 '!S20</f>
        <v>0</v>
      </c>
      <c r="T20" s="4">
        <f>'תקציב אגף ת.ב.ל 2020 '!T20</f>
        <v>800000</v>
      </c>
      <c r="U20" s="4">
        <f>'תקציב אגף ת.ב.ל 2020 '!U20</f>
        <v>0</v>
      </c>
      <c r="V20" s="4">
        <f>'תקציב אגף ת.ב.ל 2020 '!V20</f>
        <v>0</v>
      </c>
      <c r="W20" s="4">
        <f>'תקציב אגף ת.ב.ל 2020 '!W20</f>
        <v>0</v>
      </c>
      <c r="X20" s="4">
        <f>'תקציב אגף ת.ב.ל 2020 '!X20</f>
        <v>0</v>
      </c>
      <c r="Y20" s="4">
        <f>'תקציב אגף ת.ב.ל 2020 '!Y20</f>
        <v>0</v>
      </c>
      <c r="Z20" s="4">
        <f>'תקציב אגף ת.ב.ל 2020 '!Z20</f>
        <v>0</v>
      </c>
      <c r="AA20" s="87" t="str">
        <f>'תקציב אגף ת.ב.ל 2020 '!AA20</f>
        <v>עבודות שיקום לשיפור איכות ומראה המים באגם.</v>
      </c>
      <c r="AB20" s="706">
        <f>'תקציב אגף ת.ב.ל 2020 '!AB20</f>
        <v>746000</v>
      </c>
      <c r="AC20" s="191"/>
      <c r="AD20" s="191"/>
      <c r="AE20" s="31"/>
      <c r="AF20" s="28"/>
      <c r="AG20" s="358"/>
      <c r="AH20" s="359"/>
      <c r="AI20" s="28"/>
      <c r="AJ20" s="29"/>
      <c r="AK20" s="29"/>
      <c r="AL20" s="29"/>
      <c r="AM20" s="29"/>
      <c r="AN20" s="28"/>
    </row>
    <row r="21" spans="1:40" s="5" customFormat="1" ht="41.4">
      <c r="A21" s="3">
        <f t="shared" si="3"/>
        <v>13</v>
      </c>
      <c r="B21" s="706">
        <f>'תקציב אגף ת.ב.ל 2020 '!B61</f>
        <v>2155</v>
      </c>
      <c r="C21" s="87" t="str">
        <f>'תקציב אגף ת.ב.ל 2020 '!C61</f>
        <v>גידור מרחב האירועים בפארק</v>
      </c>
      <c r="D21" s="4">
        <f>'תקציב אגף ת.ב.ל 2020 '!D61</f>
        <v>700000</v>
      </c>
      <c r="E21" s="4">
        <f>'תקציב אגף ת.ב.ל 2020 '!E61</f>
        <v>0</v>
      </c>
      <c r="F21" s="4">
        <f>'תקציב אגף ת.ב.ל 2020 '!F61</f>
        <v>700000</v>
      </c>
      <c r="G21" s="4">
        <f>'תקציב אגף ת.ב.ל 2020 '!G61</f>
        <v>0</v>
      </c>
      <c r="H21" s="4">
        <f>'תקציב אגף ת.ב.ל 2020 '!H61</f>
        <v>0</v>
      </c>
      <c r="I21" s="4">
        <f>'תקציב אגף ת.ב.ל 2020 '!I61</f>
        <v>0</v>
      </c>
      <c r="J21" s="4">
        <f>'תקציב אגף ת.ב.ל 2020 '!J61</f>
        <v>0</v>
      </c>
      <c r="K21" s="4">
        <f>'תקציב אגף ת.ב.ל 2020 '!K61</f>
        <v>0</v>
      </c>
      <c r="L21" s="4">
        <f>'תקציב אגף ת.ב.ל 2020 '!L61</f>
        <v>0</v>
      </c>
      <c r="M21" s="4">
        <f>'תקציב אגף ת.ב.ל 2020 '!M61</f>
        <v>0</v>
      </c>
      <c r="N21" s="4">
        <f>'תקציב אגף ת.ב.ל 2020 '!N61</f>
        <v>700000</v>
      </c>
      <c r="O21" s="4">
        <f>'תקציב אגף ת.ב.ל 2020 '!O61</f>
        <v>0</v>
      </c>
      <c r="P21" s="4">
        <f>'תקציב אגף ת.ב.ל 2020 '!P61</f>
        <v>0</v>
      </c>
      <c r="Q21" s="4">
        <f>'תקציב אגף ת.ב.ל 2020 '!Q61</f>
        <v>0</v>
      </c>
      <c r="R21" s="4">
        <f>'תקציב אגף ת.ב.ל 2020 '!R61</f>
        <v>0</v>
      </c>
      <c r="S21" s="4">
        <f>'תקציב אגף ת.ב.ל 2020 '!S61</f>
        <v>0</v>
      </c>
      <c r="T21" s="4">
        <f>'תקציב אגף ת.ב.ל 2020 '!T61</f>
        <v>0</v>
      </c>
      <c r="U21" s="4">
        <f>'תקציב אגף ת.ב.ל 2020 '!U61</f>
        <v>700000</v>
      </c>
      <c r="V21" s="4">
        <f>'תקציב אגף ת.ב.ל 2020 '!V61</f>
        <v>0</v>
      </c>
      <c r="W21" s="4">
        <f>'תקציב אגף ת.ב.ל 2020 '!W61</f>
        <v>700000</v>
      </c>
      <c r="X21" s="4">
        <f>'תקציב אגף ת.ב.ל 2020 '!X61</f>
        <v>0</v>
      </c>
      <c r="Y21" s="4">
        <f>'תקציב אגף ת.ב.ל 2020 '!Y61</f>
        <v>0</v>
      </c>
      <c r="Z21" s="4">
        <f>'תקציב אגף ת.ב.ל 2020 '!Z61</f>
        <v>0</v>
      </c>
      <c r="AA21" s="87" t="str">
        <f>'תקציב אגף ת.ב.ל 2020 '!AA61</f>
        <v>עבודות גידור קבוע, תאורה תשתיות ושערים במרחב האירועים בפארק.</v>
      </c>
      <c r="AB21" s="706">
        <f>'תקציב אגף ת.ב.ל 2020 '!AB61</f>
        <v>746000</v>
      </c>
      <c r="AC21" s="6"/>
      <c r="AD21" s="6"/>
    </row>
    <row r="22" spans="1:40" s="5" customFormat="1" ht="41.4">
      <c r="A22" s="3">
        <f t="shared" si="3"/>
        <v>14</v>
      </c>
      <c r="B22" s="706">
        <f>'תקציב אגף ת.ב.ל 2020 '!B7</f>
        <v>1250</v>
      </c>
      <c r="C22" s="87" t="str">
        <f>'תקציב אגף ת.ב.ל 2020 '!C7</f>
        <v>החלפת גגות אסבסט</v>
      </c>
      <c r="D22" s="4">
        <f>'תקציב אגף ת.ב.ל 2020 '!D7</f>
        <v>1800000</v>
      </c>
      <c r="E22" s="4">
        <f>'תקציב אגף ת.ב.ל 2020 '!E7</f>
        <v>1450000</v>
      </c>
      <c r="F22" s="4">
        <f>'תקציב אגף ת.ב.ל 2020 '!F7</f>
        <v>350000</v>
      </c>
      <c r="G22" s="4">
        <f>'תקציב אגף ת.ב.ל 2020 '!G7</f>
        <v>1400000</v>
      </c>
      <c r="H22" s="4">
        <f>'תקציב אגף ת.ב.ל 2020 '!H7</f>
        <v>1178456.43</v>
      </c>
      <c r="I22" s="4">
        <f>'תקציב אגף ת.ב.ל 2020 '!I7</f>
        <v>0</v>
      </c>
      <c r="J22" s="4">
        <f>'תקציב אגף ת.ב.ל 2020 '!J7</f>
        <v>6276.7</v>
      </c>
      <c r="K22" s="4">
        <f>'תקציב אגף ת.ב.ל 2020 '!K7</f>
        <v>6276.7</v>
      </c>
      <c r="L22" s="4">
        <f>'תקציב אגף ת.ב.ל 2020 '!L7</f>
        <v>1184733.1299999999</v>
      </c>
      <c r="M22" s="4">
        <f>'תקציב אגף ת.ב.ל 2020 '!M7</f>
        <v>215266.87000000011</v>
      </c>
      <c r="N22" s="4">
        <f>'תקציב אגף ת.ב.ל 2020 '!N7</f>
        <v>400000</v>
      </c>
      <c r="O22" s="4">
        <f>'תקציב אגף ת.ב.ל 2020 '!O7</f>
        <v>0</v>
      </c>
      <c r="P22" s="4">
        <f>'תקציב אגף ת.ב.ל 2020 '!P7</f>
        <v>215266.87000000011</v>
      </c>
      <c r="Q22" s="4">
        <f>'תקציב אגף ת.ב.ל 2020 '!Q7</f>
        <v>0</v>
      </c>
      <c r="R22" s="4">
        <f>'תקציב אגף ת.ב.ל 2020 '!R7</f>
        <v>0</v>
      </c>
      <c r="S22" s="4">
        <f>'תקציב אגף ת.ב.ל 2020 '!S7</f>
        <v>0</v>
      </c>
      <c r="T22" s="4">
        <f>'תקציב אגף ת.ב.ל 2020 '!T7</f>
        <v>0</v>
      </c>
      <c r="U22" s="4">
        <f>'תקציב אגף ת.ב.ל 2020 '!U7</f>
        <v>400000</v>
      </c>
      <c r="V22" s="4">
        <f>'תקציב אגף ת.ב.ל 2020 '!V7</f>
        <v>0</v>
      </c>
      <c r="W22" s="4">
        <f>'תקציב אגף ת.ב.ל 2020 '!W7</f>
        <v>400000</v>
      </c>
      <c r="X22" s="4">
        <f>'תקציב אגף ת.ב.ל 2020 '!X7</f>
        <v>0</v>
      </c>
      <c r="Y22" s="4">
        <f>'תקציב אגף ת.ב.ל 2020 '!Y7</f>
        <v>0</v>
      </c>
      <c r="Z22" s="4">
        <f>'תקציב אגף ת.ב.ל 2020 '!Z7</f>
        <v>0</v>
      </c>
      <c r="AA22" s="87" t="str">
        <f>'תקציב אגף ת.ב.ל 2020 '!AA7</f>
        <v>החלפת גגות אסבסט במוסדות ציבור עפ"י רשימה  ובעקבות החוק הקשור במבני אסבסט.</v>
      </c>
      <c r="AB22" s="706">
        <f>'תקציב אגף ת.ב.ל 2020 '!AB7</f>
        <v>749000</v>
      </c>
      <c r="AC22" s="191"/>
      <c r="AD22" s="191"/>
      <c r="AE22" s="31"/>
      <c r="AF22" s="28"/>
      <c r="AG22" s="358"/>
      <c r="AH22" s="359"/>
      <c r="AI22" s="360"/>
      <c r="AJ22" s="29"/>
      <c r="AK22" s="29"/>
      <c r="AL22" s="29"/>
      <c r="AM22" s="29"/>
      <c r="AN22" s="28"/>
    </row>
    <row r="23" spans="1:40" s="84" customFormat="1">
      <c r="A23" s="41"/>
      <c r="B23" s="725"/>
      <c r="C23" s="705" t="s">
        <v>691</v>
      </c>
      <c r="D23" s="88">
        <f>SUM(D14:D22)</f>
        <v>137610000</v>
      </c>
      <c r="E23" s="88">
        <f t="shared" ref="E23:Z23" si="4">SUM(E14:E22)</f>
        <v>132860000</v>
      </c>
      <c r="F23" s="88">
        <f t="shared" si="4"/>
        <v>4750000</v>
      </c>
      <c r="G23" s="88">
        <f t="shared" si="4"/>
        <v>87211000</v>
      </c>
      <c r="H23" s="88">
        <f t="shared" si="4"/>
        <v>58184215.800000004</v>
      </c>
      <c r="I23" s="88">
        <f t="shared" si="4"/>
        <v>58000</v>
      </c>
      <c r="J23" s="88">
        <f t="shared" si="4"/>
        <v>18809917.209999997</v>
      </c>
      <c r="K23" s="88">
        <f t="shared" si="4"/>
        <v>18867917.209999997</v>
      </c>
      <c r="L23" s="88">
        <f t="shared" si="4"/>
        <v>77052133.010000005</v>
      </c>
      <c r="M23" s="88">
        <f t="shared" si="4"/>
        <v>9958866.9899999946</v>
      </c>
      <c r="N23" s="88">
        <f t="shared" si="4"/>
        <v>7800000</v>
      </c>
      <c r="O23" s="88">
        <f t="shared" si="4"/>
        <v>42799000</v>
      </c>
      <c r="P23" s="88">
        <f t="shared" si="4"/>
        <v>10158866.989999995</v>
      </c>
      <c r="Q23" s="88">
        <f t="shared" si="4"/>
        <v>600000</v>
      </c>
      <c r="R23" s="88">
        <f t="shared" si="4"/>
        <v>0</v>
      </c>
      <c r="S23" s="88">
        <f t="shared" si="4"/>
        <v>600000</v>
      </c>
      <c r="T23" s="88">
        <f t="shared" si="4"/>
        <v>800000</v>
      </c>
      <c r="U23" s="88">
        <f t="shared" si="4"/>
        <v>7000000</v>
      </c>
      <c r="V23" s="88">
        <f t="shared" si="4"/>
        <v>1000000</v>
      </c>
      <c r="W23" s="88">
        <f t="shared" si="4"/>
        <v>6000000</v>
      </c>
      <c r="X23" s="88">
        <f t="shared" si="4"/>
        <v>0</v>
      </c>
      <c r="Y23" s="88">
        <f t="shared" si="4"/>
        <v>0</v>
      </c>
      <c r="Z23" s="88">
        <f t="shared" si="4"/>
        <v>0</v>
      </c>
      <c r="AA23" s="410"/>
      <c r="AB23" s="725"/>
      <c r="AC23" s="428"/>
      <c r="AD23" s="428"/>
      <c r="AE23" s="434"/>
      <c r="AF23" s="308"/>
      <c r="AG23" s="437"/>
      <c r="AH23" s="438"/>
      <c r="AI23" s="308"/>
      <c r="AJ23" s="309"/>
      <c r="AK23" s="309"/>
      <c r="AL23" s="309"/>
      <c r="AM23" s="309"/>
      <c r="AN23" s="308"/>
    </row>
    <row r="24" spans="1:40" s="5" customFormat="1" ht="27.6">
      <c r="A24" s="3">
        <f>A22+1</f>
        <v>15</v>
      </c>
      <c r="B24" s="706">
        <f>'תקציב אגף ת.ב.ל 2020 '!B11</f>
        <v>1472</v>
      </c>
      <c r="C24" s="87" t="str">
        <f>'תקציב אגף ת.ב.ל 2020 '!C11</f>
        <v>מיזוג אוויר במוס"ח</v>
      </c>
      <c r="D24" s="4">
        <f>'תקציב אגף ת.ב.ל 2020 '!D11</f>
        <v>11350000</v>
      </c>
      <c r="E24" s="4">
        <f>'תקציב אגף ת.ב.ל 2020 '!E11</f>
        <v>11350000</v>
      </c>
      <c r="F24" s="4">
        <f>'תקציב אגף ת.ב.ל 2020 '!F11</f>
        <v>0</v>
      </c>
      <c r="G24" s="4">
        <f>'תקציב אגף ת.ב.ל 2020 '!G11</f>
        <v>11206096</v>
      </c>
      <c r="H24" s="4">
        <f>'תקציב אגף ת.ב.ל 2020 '!H11</f>
        <v>11148927.23</v>
      </c>
      <c r="I24" s="4">
        <f>'תקציב אגף ת.ב.ל 2020 '!I11</f>
        <v>0</v>
      </c>
      <c r="J24" s="4">
        <f>'תקציב אגף ת.ב.ל 2020 '!J11</f>
        <v>26953.040000000001</v>
      </c>
      <c r="K24" s="4">
        <f>'תקציב אגף ת.ב.ל 2020 '!K11</f>
        <v>26953.040000000001</v>
      </c>
      <c r="L24" s="4">
        <f>'תקציב אגף ת.ב.ל 2020 '!L11</f>
        <v>11175880.27</v>
      </c>
      <c r="M24" s="4">
        <f>'תקציב אגף ת.ב.ל 2020 '!M11</f>
        <v>30215.730000000447</v>
      </c>
      <c r="N24" s="4">
        <f>'תקציב אגף ת.ב.ל 2020 '!N11</f>
        <v>100000</v>
      </c>
      <c r="O24" s="4">
        <f>'תקציב אגף ת.ב.ל 2020 '!O11</f>
        <v>43904</v>
      </c>
      <c r="P24" s="4">
        <f>'תקציב אגף ת.ב.ל 2020 '!P11</f>
        <v>30215.730000000447</v>
      </c>
      <c r="Q24" s="4">
        <f>'תקציב אגף ת.ב.ל 2020 '!Q11</f>
        <v>0</v>
      </c>
      <c r="R24" s="4">
        <f>'תקציב אגף ת.ב.ל 2020 '!R11</f>
        <v>0</v>
      </c>
      <c r="S24" s="4">
        <f>'תקציב אגף ת.ב.ל 2020 '!S11</f>
        <v>0</v>
      </c>
      <c r="T24" s="4">
        <f>'תקציב אגף ת.ב.ל 2020 '!T11</f>
        <v>0</v>
      </c>
      <c r="U24" s="4">
        <f>'תקציב אגף ת.ב.ל 2020 '!U11</f>
        <v>100000</v>
      </c>
      <c r="V24" s="4">
        <f>'תקציב אגף ת.ב.ל 2020 '!V11</f>
        <v>0</v>
      </c>
      <c r="W24" s="4">
        <f>'תקציב אגף ת.ב.ל 2020 '!W11</f>
        <v>100000</v>
      </c>
      <c r="X24" s="4">
        <f>'תקציב אגף ת.ב.ל 2020 '!X11</f>
        <v>0</v>
      </c>
      <c r="Y24" s="4">
        <f>'תקציב אגף ת.ב.ל 2020 '!Y11</f>
        <v>0</v>
      </c>
      <c r="Z24" s="4">
        <f>'תקציב אגף ת.ב.ל 2020 '!Z11</f>
        <v>0</v>
      </c>
      <c r="AA24" s="87" t="str">
        <f>'תקציב אגף ת.ב.ל 2020 '!AA11</f>
        <v>סל להחלפה ושדרוג מזגנים במוסדות חינוך.</v>
      </c>
      <c r="AB24" s="706">
        <f>'תקציב אגף ת.ב.ל 2020 '!AB11</f>
        <v>810000</v>
      </c>
      <c r="AC24" s="191"/>
      <c r="AD24" s="191"/>
      <c r="AE24" s="31"/>
      <c r="AF24" s="28"/>
      <c r="AG24" s="358"/>
      <c r="AH24" s="359"/>
      <c r="AI24" s="360"/>
      <c r="AJ24" s="29"/>
      <c r="AK24" s="29"/>
      <c r="AL24" s="29"/>
      <c r="AM24" s="29"/>
      <c r="AN24" s="28"/>
    </row>
    <row r="25" spans="1:40" s="5" customFormat="1" ht="27.6">
      <c r="A25" s="3">
        <f t="shared" ref="A25:A47" si="5">A24+1</f>
        <v>16</v>
      </c>
      <c r="B25" s="706">
        <f>'תקציב אגף ת.ב.ל 2020 '!B12</f>
        <v>1477</v>
      </c>
      <c r="C25" s="87" t="str">
        <f>'תקציב אגף ת.ב.ל 2020 '!C12</f>
        <v xml:space="preserve">הצללות בי"ס וגנ"י  ומתנס"ים </v>
      </c>
      <c r="D25" s="4">
        <f>'תקציב אגף ת.ב.ל 2020 '!D12</f>
        <v>9350000</v>
      </c>
      <c r="E25" s="4">
        <f>'תקציב אגף ת.ב.ל 2020 '!E12</f>
        <v>9350000</v>
      </c>
      <c r="F25" s="4">
        <f>'תקציב אגף ת.ב.ל 2020 '!F12</f>
        <v>0</v>
      </c>
      <c r="G25" s="4">
        <f>'תקציב אגף ת.ב.ל 2020 '!G12</f>
        <v>3850000</v>
      </c>
      <c r="H25" s="4">
        <f>'תקציב אגף ת.ב.ל 2020 '!H12</f>
        <v>2167201.5699999998</v>
      </c>
      <c r="I25" s="4">
        <f>'תקציב אגף ת.ב.ל 2020 '!I12</f>
        <v>1334615.49</v>
      </c>
      <c r="J25" s="4">
        <f>'תקציב אגף ת.ב.ל 2020 '!J12</f>
        <v>29250</v>
      </c>
      <c r="K25" s="4">
        <f>'תקציב אגף ת.ב.ל 2020 '!K12</f>
        <v>1363865.49</v>
      </c>
      <c r="L25" s="4">
        <f>'תקציב אגף ת.ב.ל 2020 '!L12</f>
        <v>3531067.0599999996</v>
      </c>
      <c r="M25" s="4">
        <f>'תקציב אגף ת.ב.ל 2020 '!M12</f>
        <v>318932.94000000041</v>
      </c>
      <c r="N25" s="4">
        <f>'תקציב אגף ת.ב.ל 2020 '!N12</f>
        <v>600000</v>
      </c>
      <c r="O25" s="4">
        <f>'תקציב אגף ת.ב.ל 2020 '!O12</f>
        <v>4900000</v>
      </c>
      <c r="P25" s="4">
        <f>'תקציב אגף ת.ב.ל 2020 '!P12</f>
        <v>318932.94000000041</v>
      </c>
      <c r="Q25" s="4">
        <f>'תקציב אגף ת.ב.ל 2020 '!Q12</f>
        <v>0</v>
      </c>
      <c r="R25" s="4">
        <f>'תקציב אגף ת.ב.ל 2020 '!R12</f>
        <v>0</v>
      </c>
      <c r="S25" s="4">
        <f>'תקציב אגף ת.ב.ל 2020 '!S12</f>
        <v>0</v>
      </c>
      <c r="T25" s="4">
        <f>'תקציב אגף ת.ב.ל 2020 '!T12</f>
        <v>0</v>
      </c>
      <c r="U25" s="4">
        <f>'תקציב אגף ת.ב.ל 2020 '!U12</f>
        <v>600000</v>
      </c>
      <c r="V25" s="4">
        <f>'תקציב אגף ת.ב.ל 2020 '!V12</f>
        <v>0</v>
      </c>
      <c r="W25" s="4">
        <f>'תקציב אגף ת.ב.ל 2020 '!W12</f>
        <v>600000</v>
      </c>
      <c r="X25" s="4">
        <f>'תקציב אגף ת.ב.ל 2020 '!X12</f>
        <v>0</v>
      </c>
      <c r="Y25" s="4">
        <f>'תקציב אגף ת.ב.ל 2020 '!Y12</f>
        <v>0</v>
      </c>
      <c r="Z25" s="4">
        <f>'תקציב אגף ת.ב.ל 2020 '!Z12</f>
        <v>0</v>
      </c>
      <c r="AA25" s="87" t="str">
        <f>'תקציב אגף ת.ב.ל 2020 '!AA12</f>
        <v xml:space="preserve">הצללות קבועות מעל מגרשי ספורט  עפ"י תוכנית רב שנתית. </v>
      </c>
      <c r="AB25" s="706">
        <f>'תקציב אגף ת.ב.ל 2020 '!AB12</f>
        <v>810000</v>
      </c>
      <c r="AC25" s="191"/>
      <c r="AD25" s="191"/>
      <c r="AE25" s="31"/>
      <c r="AF25" s="28"/>
      <c r="AG25" s="358"/>
      <c r="AH25" s="359"/>
      <c r="AI25" s="360"/>
      <c r="AJ25" s="29"/>
      <c r="AK25" s="29"/>
      <c r="AL25" s="29"/>
      <c r="AM25" s="29"/>
      <c r="AN25" s="28"/>
    </row>
    <row r="26" spans="1:40" s="5" customFormat="1">
      <c r="A26" s="3">
        <f t="shared" si="5"/>
        <v>17</v>
      </c>
      <c r="B26" s="706">
        <f>'תקציב אגף ת.ב.ל 2020 '!B17</f>
        <v>1677</v>
      </c>
      <c r="C26" s="87" t="str">
        <f>'תקציב אגף ת.ב.ל 2020 '!C17</f>
        <v>שיפוצים מוס"ח 2014</v>
      </c>
      <c r="D26" s="4">
        <f>'תקציב אגף ת.ב.ל 2020 '!D17</f>
        <v>18500000</v>
      </c>
      <c r="E26" s="4">
        <f>'תקציב אגף ת.ב.ל 2020 '!E17</f>
        <v>18500000</v>
      </c>
      <c r="F26" s="4">
        <f>'תקציב אגף ת.ב.ל 2020 '!F17</f>
        <v>0</v>
      </c>
      <c r="G26" s="4">
        <f>'תקציב אגף ת.ב.ל 2020 '!G17</f>
        <v>18500000</v>
      </c>
      <c r="H26" s="4">
        <f>'תקציב אגף ת.ב.ל 2020 '!H17</f>
        <v>18167039.149999999</v>
      </c>
      <c r="I26" s="4">
        <f>'תקציב אגף ת.ב.ל 2020 '!I17</f>
        <v>302080</v>
      </c>
      <c r="J26" s="4">
        <f>'תקציב אגף ת.ב.ל 2020 '!J17</f>
        <v>0</v>
      </c>
      <c r="K26" s="4">
        <f>'תקציב אגף ת.ב.ל 2020 '!K17</f>
        <v>302080</v>
      </c>
      <c r="L26" s="4">
        <f>'תקציב אגף ת.ב.ל 2020 '!L17</f>
        <v>18469119.149999999</v>
      </c>
      <c r="M26" s="4">
        <f>'תקציב אגף ת.ב.ל 2020 '!M17</f>
        <v>30880.85000000149</v>
      </c>
      <c r="N26" s="4">
        <f>'תקציב אגף ת.ב.ל 2020 '!N17</f>
        <v>0</v>
      </c>
      <c r="O26" s="4">
        <f>'תקציב אגף ת.ב.ל 2020 '!O17</f>
        <v>0</v>
      </c>
      <c r="P26" s="4">
        <f>'תקציב אגף ת.ב.ל 2020 '!P17</f>
        <v>30880.85000000149</v>
      </c>
      <c r="Q26" s="4">
        <f>'תקציב אגף ת.ב.ל 2020 '!Q17</f>
        <v>0</v>
      </c>
      <c r="R26" s="4">
        <f>'תקציב אגף ת.ב.ל 2020 '!R17</f>
        <v>0</v>
      </c>
      <c r="S26" s="4">
        <f>'תקציב אגף ת.ב.ל 2020 '!S17</f>
        <v>0</v>
      </c>
      <c r="T26" s="4">
        <f>'תקציב אגף ת.ב.ל 2020 '!T17</f>
        <v>0</v>
      </c>
      <c r="U26" s="4">
        <f>'תקציב אגף ת.ב.ל 2020 '!U17</f>
        <v>0</v>
      </c>
      <c r="V26" s="4">
        <f>'תקציב אגף ת.ב.ל 2020 '!V17</f>
        <v>0</v>
      </c>
      <c r="W26" s="4">
        <f>'תקציב אגף ת.ב.ל 2020 '!W17</f>
        <v>0</v>
      </c>
      <c r="X26" s="4">
        <f>'תקציב אגף ת.ב.ל 2020 '!X17</f>
        <v>0</v>
      </c>
      <c r="Y26" s="4">
        <f>'תקציב אגף ת.ב.ל 2020 '!Y17</f>
        <v>0</v>
      </c>
      <c r="Z26" s="4">
        <f>'תקציב אגף ת.ב.ל 2020 '!Z17</f>
        <v>0</v>
      </c>
      <c r="AA26" s="87">
        <f>'תקציב אגף ת.ב.ל 2020 '!AA17</f>
        <v>0</v>
      </c>
      <c r="AB26" s="706">
        <f>'תקציב אגף ת.ב.ל 2020 '!AB17</f>
        <v>810000</v>
      </c>
      <c r="AC26" s="191"/>
      <c r="AD26" s="191"/>
      <c r="AE26" s="31"/>
      <c r="AF26" s="28"/>
      <c r="AG26" s="358"/>
      <c r="AH26" s="359"/>
      <c r="AI26" s="360"/>
      <c r="AJ26" s="29"/>
      <c r="AK26" s="29"/>
      <c r="AL26" s="29"/>
      <c r="AM26" s="29"/>
      <c r="AN26" s="28"/>
    </row>
    <row r="27" spans="1:40" s="5" customFormat="1" ht="27.6">
      <c r="A27" s="3">
        <f t="shared" si="5"/>
        <v>18</v>
      </c>
      <c r="B27" s="706">
        <f>'תקציב אגף ת.ב.ל 2020 '!B18</f>
        <v>1691</v>
      </c>
      <c r="C27" s="87" t="str">
        <f>'תקציב אגף ת.ב.ל 2020 '!C18</f>
        <v>נגישות ליקויי שמיעה (מ.החינוך)</v>
      </c>
      <c r="D27" s="4">
        <f>'תקציב אגף ת.ב.ל 2020 '!D18</f>
        <v>210000</v>
      </c>
      <c r="E27" s="4">
        <f>'תקציב אגף ת.ב.ל 2020 '!E18</f>
        <v>210000</v>
      </c>
      <c r="F27" s="4">
        <f>'תקציב אגף ת.ב.ל 2020 '!F18</f>
        <v>0</v>
      </c>
      <c r="G27" s="4">
        <f>'תקציב אגף ת.ב.ל 2020 '!G18</f>
        <v>210000</v>
      </c>
      <c r="H27" s="4">
        <f>'תקציב אגף ת.ב.ל 2020 '!H18</f>
        <v>184253.53</v>
      </c>
      <c r="I27" s="4">
        <f>'תקציב אגף ת.ב.ל 2020 '!I18</f>
        <v>0</v>
      </c>
      <c r="J27" s="4">
        <f>'תקציב אגף ת.ב.ל 2020 '!J18</f>
        <v>0</v>
      </c>
      <c r="K27" s="4">
        <f>'תקציב אגף ת.ב.ל 2020 '!K18</f>
        <v>0</v>
      </c>
      <c r="L27" s="4">
        <f>'תקציב אגף ת.ב.ל 2020 '!L18</f>
        <v>184253.53</v>
      </c>
      <c r="M27" s="4">
        <f>'תקציב אגף ת.ב.ל 2020 '!M18</f>
        <v>25746.47</v>
      </c>
      <c r="N27" s="4">
        <f>'תקציב אגף ת.ב.ל 2020 '!N18</f>
        <v>0</v>
      </c>
      <c r="O27" s="4">
        <f>'תקציב אגף ת.ב.ל 2020 '!O18</f>
        <v>0</v>
      </c>
      <c r="P27" s="4">
        <f>'תקציב אגף ת.ב.ל 2020 '!P18</f>
        <v>25746.47</v>
      </c>
      <c r="Q27" s="4">
        <f>'תקציב אגף ת.ב.ל 2020 '!Q18</f>
        <v>0</v>
      </c>
      <c r="R27" s="4">
        <f>'תקציב אגף ת.ב.ל 2020 '!R18</f>
        <v>0</v>
      </c>
      <c r="S27" s="4">
        <f>'תקציב אגף ת.ב.ל 2020 '!S18</f>
        <v>0</v>
      </c>
      <c r="T27" s="4">
        <f>'תקציב אגף ת.ב.ל 2020 '!T18</f>
        <v>0</v>
      </c>
      <c r="U27" s="4">
        <f>'תקציב אגף ת.ב.ל 2020 '!U18</f>
        <v>0</v>
      </c>
      <c r="V27" s="4">
        <f>'תקציב אגף ת.ב.ל 2020 '!V18</f>
        <v>0</v>
      </c>
      <c r="W27" s="4">
        <f>'תקציב אגף ת.ב.ל 2020 '!W18</f>
        <v>0</v>
      </c>
      <c r="X27" s="4">
        <f>'תקציב אגף ת.ב.ל 2020 '!X18</f>
        <v>0</v>
      </c>
      <c r="Y27" s="4">
        <f>'תקציב אגף ת.ב.ל 2020 '!Y18</f>
        <v>0</v>
      </c>
      <c r="Z27" s="4">
        <f>'תקציב אגף ת.ב.ל 2020 '!Z18</f>
        <v>0</v>
      </c>
      <c r="AA27" s="87" t="str">
        <f>'תקציב אגף ת.ב.ל 2020 '!AA18</f>
        <v>מימון מ. החינוך. ממתין לתקבול סופי.</v>
      </c>
      <c r="AB27" s="706">
        <f>'תקציב אגף ת.ב.ל 2020 '!AB18</f>
        <v>810000</v>
      </c>
      <c r="AC27" s="191"/>
      <c r="AD27" s="191"/>
      <c r="AE27" s="31"/>
      <c r="AF27" s="28"/>
      <c r="AG27" s="358"/>
      <c r="AH27" s="359"/>
      <c r="AI27" s="360"/>
      <c r="AJ27" s="29"/>
      <c r="AK27" s="29"/>
      <c r="AL27" s="29"/>
      <c r="AM27" s="29"/>
      <c r="AN27" s="28"/>
    </row>
    <row r="28" spans="1:40" s="5" customFormat="1" ht="27.6">
      <c r="A28" s="3">
        <f t="shared" si="5"/>
        <v>19</v>
      </c>
      <c r="B28" s="706">
        <f>'תקציב אגף ת.ב.ל 2020 '!B19</f>
        <v>1770</v>
      </c>
      <c r="C28" s="87" t="str">
        <f>'תקציב אגף ת.ב.ל 2020 '!C19</f>
        <v>שיפוצי מוסדות חינוך שונים  (לב טוב ,גורדון)</v>
      </c>
      <c r="D28" s="4">
        <f>'תקציב אגף ת.ב.ל 2020 '!D19</f>
        <v>29752105</v>
      </c>
      <c r="E28" s="4">
        <f>'תקציב אגף ת.ב.ל 2020 '!E19</f>
        <v>29752105</v>
      </c>
      <c r="F28" s="4">
        <f>'תקציב אגף ת.ב.ל 2020 '!F19</f>
        <v>0</v>
      </c>
      <c r="G28" s="4">
        <f>'תקציב אגף ת.ב.ל 2020 '!G19</f>
        <v>29752105</v>
      </c>
      <c r="H28" s="4">
        <f>'תקציב אגף ת.ב.ל 2020 '!H19</f>
        <v>28089675.219999999</v>
      </c>
      <c r="I28" s="4">
        <f>'תקציב אגף ת.ב.ל 2020 '!I19</f>
        <v>0</v>
      </c>
      <c r="J28" s="4">
        <f>'תקציב אגף ת.ב.ל 2020 '!J19</f>
        <v>1289309.68</v>
      </c>
      <c r="K28" s="4">
        <f>'תקציב אגף ת.ב.ל 2020 '!K19</f>
        <v>1289309.68</v>
      </c>
      <c r="L28" s="4">
        <f>'תקציב אגף ת.ב.ל 2020 '!L19</f>
        <v>29378984.899999999</v>
      </c>
      <c r="M28" s="4">
        <f>'תקציב אגף ת.ב.ל 2020 '!M19</f>
        <v>373120.10000000149</v>
      </c>
      <c r="N28" s="4">
        <f>'תקציב אגף ת.ב.ל 2020 '!N19</f>
        <v>0</v>
      </c>
      <c r="O28" s="4">
        <f>'תקציב אגף ת.ב.ל 2020 '!O19</f>
        <v>0</v>
      </c>
      <c r="P28" s="4">
        <f>'תקציב אגף ת.ב.ל 2020 '!P19</f>
        <v>373120.10000000149</v>
      </c>
      <c r="Q28" s="4">
        <f>'תקציב אגף ת.ב.ל 2020 '!Q19</f>
        <v>0</v>
      </c>
      <c r="R28" s="4">
        <f>'תקציב אגף ת.ב.ל 2020 '!R19</f>
        <v>0</v>
      </c>
      <c r="S28" s="4">
        <f>'תקציב אגף ת.ב.ל 2020 '!S19</f>
        <v>0</v>
      </c>
      <c r="T28" s="4">
        <f>'תקציב אגף ת.ב.ל 2020 '!T19</f>
        <v>0</v>
      </c>
      <c r="U28" s="4">
        <f>'תקציב אגף ת.ב.ל 2020 '!U19</f>
        <v>0</v>
      </c>
      <c r="V28" s="4">
        <f>'תקציב אגף ת.ב.ל 2020 '!V19</f>
        <v>0</v>
      </c>
      <c r="W28" s="4">
        <f>'תקציב אגף ת.ב.ל 2020 '!W19</f>
        <v>0</v>
      </c>
      <c r="X28" s="4">
        <f>'תקציב אגף ת.ב.ל 2020 '!X19</f>
        <v>0</v>
      </c>
      <c r="Y28" s="4">
        <f>'תקציב אגף ת.ב.ל 2020 '!Y19</f>
        <v>0</v>
      </c>
      <c r="Z28" s="4">
        <f>'תקציב אגף ת.ב.ל 2020 '!Z19</f>
        <v>0</v>
      </c>
      <c r="AA28" s="87" t="str">
        <f>'תקציב אגף ת.ב.ל 2020 '!AA19</f>
        <v>מימון מ. החינוך. ממתין לתקבול סופי.</v>
      </c>
      <c r="AB28" s="706">
        <f>'תקציב אגף ת.ב.ל 2020 '!AB19</f>
        <v>810000</v>
      </c>
      <c r="AC28" s="191"/>
      <c r="AD28" s="191"/>
      <c r="AE28" s="31"/>
      <c r="AF28" s="28"/>
      <c r="AG28" s="358"/>
      <c r="AH28" s="359"/>
      <c r="AI28" s="360"/>
      <c r="AJ28" s="29"/>
      <c r="AK28" s="29"/>
      <c r="AL28" s="29"/>
      <c r="AM28" s="29"/>
      <c r="AN28" s="28"/>
    </row>
    <row r="29" spans="1:40" s="5" customFormat="1" ht="41.4">
      <c r="A29" s="3">
        <f t="shared" si="5"/>
        <v>20</v>
      </c>
      <c r="B29" s="706">
        <f>'תקציב אגף ת.ב.ל 2020 '!B25</f>
        <v>1850</v>
      </c>
      <c r="C29" s="87" t="str">
        <f>'תקציב אגף ת.ב.ל 2020 '!C25</f>
        <v>תיקון ליקויים סקר כיבוי אש מוס"ח  ועיריה</v>
      </c>
      <c r="D29" s="4">
        <f>'תקציב אגף ת.ב.ל 2020 '!D25</f>
        <v>14600000</v>
      </c>
      <c r="E29" s="4">
        <f>'תקציב אגף ת.ב.ל 2020 '!E25</f>
        <v>14600000</v>
      </c>
      <c r="F29" s="4">
        <f>'תקציב אגף ת.ב.ל 2020 '!F25</f>
        <v>0</v>
      </c>
      <c r="G29" s="4">
        <f>'תקציב אגף ת.ב.ל 2020 '!G25</f>
        <v>3780000</v>
      </c>
      <c r="H29" s="4">
        <f>'תקציב אגף ת.ב.ל 2020 '!H25</f>
        <v>2584412.12</v>
      </c>
      <c r="I29" s="4">
        <f>'תקציב אגף ת.ב.ל 2020 '!I25</f>
        <v>0</v>
      </c>
      <c r="J29" s="4">
        <f>'תקציב אגף ת.ב.ל 2020 '!J25</f>
        <v>1017036.53</v>
      </c>
      <c r="K29" s="4">
        <f>'תקציב אגף ת.ב.ל 2020 '!K25</f>
        <v>1017036.53</v>
      </c>
      <c r="L29" s="4">
        <f>'תקציב אגף ת.ב.ל 2020 '!L25</f>
        <v>3601448.6500000004</v>
      </c>
      <c r="M29" s="4">
        <f>'תקציב אגף ת.ב.ל 2020 '!M25</f>
        <v>528551.34999999963</v>
      </c>
      <c r="N29" s="4">
        <f>'תקציב אגף ת.ב.ל 2020 '!N25</f>
        <v>500000</v>
      </c>
      <c r="O29" s="4">
        <f>'תקציב אגף ת.ב.ל 2020 '!O25</f>
        <v>9970000</v>
      </c>
      <c r="P29" s="4">
        <f>'תקציב אגף ת.ב.ל 2020 '!P25</f>
        <v>178551.34999999963</v>
      </c>
      <c r="Q29" s="4">
        <f>'תקציב אגף ת.ב.ל 2020 '!Q25</f>
        <v>350000</v>
      </c>
      <c r="R29" s="4">
        <f>'תקציב אגף ת.ב.ל 2020 '!R25</f>
        <v>0</v>
      </c>
      <c r="S29" s="4">
        <f>'תקציב אגף ת.ב.ל 2020 '!S25</f>
        <v>350000</v>
      </c>
      <c r="T29" s="4">
        <f>'תקציב אגף ת.ב.ל 2020 '!T25</f>
        <v>0</v>
      </c>
      <c r="U29" s="4">
        <f>'תקציב אגף ת.ב.ל 2020 '!U25</f>
        <v>500000</v>
      </c>
      <c r="V29" s="4">
        <f>'תקציב אגף ת.ב.ל 2020 '!V25</f>
        <v>0</v>
      </c>
      <c r="W29" s="4">
        <f>'תקציב אגף ת.ב.ל 2020 '!W25</f>
        <v>500000</v>
      </c>
      <c r="X29" s="4">
        <f>'תקציב אגף ת.ב.ל 2020 '!X25</f>
        <v>0</v>
      </c>
      <c r="Y29" s="4">
        <f>'תקציב אגף ת.ב.ל 2020 '!Y25</f>
        <v>0</v>
      </c>
      <c r="Z29" s="4">
        <f>'תקציב אגף ת.ב.ל 2020 '!Z25</f>
        <v>0</v>
      </c>
      <c r="AA29" s="87" t="str">
        <f>'תקציב אגף ת.ב.ל 2020 '!AA25</f>
        <v>סל לעבודות הסדרת ליקויים כיבוי אש במוס"ח ובמוסדות עיריה  לפי סקר.</v>
      </c>
      <c r="AB29" s="706">
        <f>'תקציב אגף ת.ב.ל 2020 '!AB25</f>
        <v>810000</v>
      </c>
      <c r="AC29" s="191"/>
      <c r="AD29" s="191"/>
      <c r="AE29" s="31"/>
      <c r="AF29" s="28"/>
      <c r="AG29" s="358"/>
      <c r="AH29" s="359"/>
      <c r="AI29" s="360"/>
      <c r="AJ29" s="29"/>
      <c r="AK29" s="29"/>
      <c r="AL29" s="28"/>
      <c r="AM29" s="28"/>
      <c r="AN29" s="28"/>
    </row>
    <row r="30" spans="1:40" s="5" customFormat="1">
      <c r="A30" s="3">
        <f t="shared" si="5"/>
        <v>21</v>
      </c>
      <c r="B30" s="706">
        <f>'תקציב אגף ת.ב.ל 2020 '!B27</f>
        <v>1883</v>
      </c>
      <c r="C30" s="87" t="str">
        <f>'תקציב אגף ת.ב.ל 2020 '!C27</f>
        <v>שיפוץ ותוספת בניה בי"ס בר אילן</v>
      </c>
      <c r="D30" s="4">
        <f>'תקציב אגף ת.ב.ל 2020 '!D27</f>
        <v>26215000</v>
      </c>
      <c r="E30" s="4">
        <f>'תקציב אגף ת.ב.ל 2020 '!E27</f>
        <v>26215000</v>
      </c>
      <c r="F30" s="4">
        <f>'תקציב אגף ת.ב.ל 2020 '!F27</f>
        <v>0</v>
      </c>
      <c r="G30" s="4">
        <f>'תקציב אגף ת.ב.ל 2020 '!G27</f>
        <v>26215000</v>
      </c>
      <c r="H30" s="4">
        <f>'תקציב אגף ת.ב.ל 2020 '!H27</f>
        <v>25106039.760000002</v>
      </c>
      <c r="I30" s="4">
        <f>'תקציב אגף ת.ב.ל 2020 '!I27</f>
        <v>927814.76</v>
      </c>
      <c r="J30" s="4">
        <f>'תקציב אגף ת.ב.ל 2020 '!J27</f>
        <v>114302</v>
      </c>
      <c r="K30" s="4">
        <f>'תקציב אגף ת.ב.ל 2020 '!K27</f>
        <v>1042116.76</v>
      </c>
      <c r="L30" s="4">
        <f>'תקציב אגף ת.ב.ל 2020 '!L27</f>
        <v>26148156.520000003</v>
      </c>
      <c r="M30" s="4">
        <f>'תקציב אגף ת.ב.ל 2020 '!M27</f>
        <v>66843.479999996722</v>
      </c>
      <c r="N30" s="4">
        <f>'תקציב אגף ת.ב.ל 2020 '!N27</f>
        <v>0</v>
      </c>
      <c r="O30" s="4">
        <f>'תקציב אגף ת.ב.ל 2020 '!O27</f>
        <v>0</v>
      </c>
      <c r="P30" s="4">
        <f>'תקציב אגף ת.ב.ל 2020 '!P27</f>
        <v>66843.479999996722</v>
      </c>
      <c r="Q30" s="4">
        <f>'תקציב אגף ת.ב.ל 2020 '!Q27</f>
        <v>0</v>
      </c>
      <c r="R30" s="4">
        <f>'תקציב אגף ת.ב.ל 2020 '!R27</f>
        <v>0</v>
      </c>
      <c r="S30" s="4">
        <f>'תקציב אגף ת.ב.ל 2020 '!S27</f>
        <v>0</v>
      </c>
      <c r="T30" s="4">
        <f>'תקציב אגף ת.ב.ל 2020 '!T27</f>
        <v>0</v>
      </c>
      <c r="U30" s="4">
        <f>'תקציב אגף ת.ב.ל 2020 '!U27</f>
        <v>0</v>
      </c>
      <c r="V30" s="4">
        <f>'תקציב אגף ת.ב.ל 2020 '!V27</f>
        <v>0</v>
      </c>
      <c r="W30" s="4">
        <f>'תקציב אגף ת.ב.ל 2020 '!W27</f>
        <v>0</v>
      </c>
      <c r="X30" s="4">
        <f>'תקציב אגף ת.ב.ל 2020 '!X27</f>
        <v>0</v>
      </c>
      <c r="Y30" s="4">
        <f>'תקציב אגף ת.ב.ל 2020 '!Y27</f>
        <v>0</v>
      </c>
      <c r="Z30" s="4">
        <f>'תקציב אגף ת.ב.ל 2020 '!Z27</f>
        <v>0</v>
      </c>
      <c r="AA30" s="87">
        <f>'תקציב אגף ת.ב.ל 2020 '!AA27</f>
        <v>0</v>
      </c>
      <c r="AB30" s="706">
        <f>'תקציב אגף ת.ב.ל 2020 '!AB27</f>
        <v>810000</v>
      </c>
      <c r="AC30" s="191"/>
      <c r="AD30" s="191"/>
      <c r="AE30" s="31"/>
      <c r="AF30" s="28"/>
      <c r="AG30" s="358"/>
      <c r="AH30" s="359"/>
      <c r="AI30" s="360"/>
      <c r="AJ30" s="29"/>
      <c r="AK30" s="29"/>
      <c r="AL30" s="28"/>
      <c r="AM30" s="28"/>
      <c r="AN30" s="28"/>
    </row>
    <row r="31" spans="1:40" s="5" customFormat="1" ht="41.4">
      <c r="A31" s="3">
        <f t="shared" si="5"/>
        <v>22</v>
      </c>
      <c r="B31" s="706">
        <f>'תקציב אגף ת.ב.ל 2020 '!B28</f>
        <v>1887</v>
      </c>
      <c r="C31" s="87" t="str">
        <f>'תקציב אגף ת.ב.ל 2020 '!C28</f>
        <v>שיפוץ בי"ס מפתן ארז</v>
      </c>
      <c r="D31" s="4">
        <f>'תקציב אגף ת.ב.ל 2020 '!D28</f>
        <v>5200000</v>
      </c>
      <c r="E31" s="4">
        <f>'תקציב אגף ת.ב.ל 2020 '!E28</f>
        <v>5200000</v>
      </c>
      <c r="F31" s="4">
        <f>'תקציב אגף ת.ב.ל 2020 '!F28</f>
        <v>0</v>
      </c>
      <c r="G31" s="4">
        <f>'תקציב אגף ת.ב.ל 2020 '!G28</f>
        <v>4200000</v>
      </c>
      <c r="H31" s="4">
        <f>'תקציב אגף ת.ב.ל 2020 '!H28</f>
        <v>1117190.22</v>
      </c>
      <c r="I31" s="4">
        <f>'תקציב אגף ת.ב.ל 2020 '!I28</f>
        <v>32262.75</v>
      </c>
      <c r="J31" s="4">
        <f>'תקציב אגף ת.ב.ל 2020 '!J28</f>
        <v>166759.23000000001</v>
      </c>
      <c r="K31" s="4">
        <f>'תקציב אגף ת.ב.ל 2020 '!K28</f>
        <v>199021.98</v>
      </c>
      <c r="L31" s="4">
        <f>'תקציב אגף ת.ב.ל 2020 '!L28</f>
        <v>1316212.2</v>
      </c>
      <c r="M31" s="4">
        <f>'תקציב אגף ת.ב.ל 2020 '!M28</f>
        <v>383787.79999999981</v>
      </c>
      <c r="N31" s="4">
        <f>'תקציב אגף ת.ב.ל 2020 '!N28</f>
        <v>0</v>
      </c>
      <c r="O31" s="4">
        <f>'תקציב אגף ת.ב.ל 2020 '!O28</f>
        <v>3500000</v>
      </c>
      <c r="P31" s="4">
        <f>'תקציב אגף ת.ב.ל 2020 '!P28</f>
        <v>2883787.8</v>
      </c>
      <c r="Q31" s="4">
        <f>'תקציב אגף ת.ב.ל 2020 '!Q28</f>
        <v>0</v>
      </c>
      <c r="R31" s="4">
        <f>'תקציב אגף ת.ב.ל 2020 '!R28</f>
        <v>0</v>
      </c>
      <c r="S31" s="4">
        <f>'תקציב אגף ת.ב.ל 2020 '!S28</f>
        <v>0</v>
      </c>
      <c r="T31" s="4">
        <f>'תקציב אגף ת.ב.ל 2020 '!T28</f>
        <v>2500000</v>
      </c>
      <c r="U31" s="4">
        <f>'תקציב אגף ת.ב.ל 2020 '!U28</f>
        <v>-2500000</v>
      </c>
      <c r="V31" s="4">
        <f>'תקציב אגף ת.ב.ל 2020 '!V28</f>
        <v>-1600000</v>
      </c>
      <c r="W31" s="4">
        <f>'תקציב אגף ת.ב.ל 2020 '!W28</f>
        <v>-900000</v>
      </c>
      <c r="X31" s="4">
        <f>'תקציב אגף ת.ב.ל 2020 '!X28</f>
        <v>0</v>
      </c>
      <c r="Y31" s="4">
        <f>'תקציב אגף ת.ב.ל 2020 '!Y28</f>
        <v>0</v>
      </c>
      <c r="Z31" s="4">
        <f>'תקציב אגף ת.ב.ל 2020 '!Z28</f>
        <v>0</v>
      </c>
      <c r="AA31" s="87" t="str">
        <f>'תקציב אגף ת.ב.ל 2020 '!AA28</f>
        <v>שלב ב' של עבודות שיפוצים יסודיים הרחבות בקומת הקרקע, מטבח, חזיתות. ממתין להיתר.</v>
      </c>
      <c r="AB31" s="706">
        <f>'תקציב אגף ת.ב.ל 2020 '!AB28</f>
        <v>810000</v>
      </c>
      <c r="AC31" s="191"/>
      <c r="AD31" s="191"/>
      <c r="AE31" s="31"/>
      <c r="AF31" s="28"/>
      <c r="AG31" s="358"/>
      <c r="AH31" s="359"/>
      <c r="AI31" s="28"/>
      <c r="AJ31" s="29"/>
      <c r="AK31" s="29"/>
      <c r="AL31" s="28"/>
      <c r="AM31" s="28"/>
      <c r="AN31" s="28"/>
    </row>
    <row r="32" spans="1:40" s="5" customFormat="1">
      <c r="A32" s="3">
        <f t="shared" si="5"/>
        <v>23</v>
      </c>
      <c r="B32" s="706">
        <f>'תקציב אגף ת.ב.ל 2020 '!B29</f>
        <v>1900</v>
      </c>
      <c r="C32" s="87" t="str">
        <f>'תקציב אגף ת.ב.ל 2020 '!C29</f>
        <v>התקנת מעלית בי"ס שז"ר</v>
      </c>
      <c r="D32" s="4">
        <f>'תקציב אגף ת.ב.ל 2020 '!D29</f>
        <v>700000</v>
      </c>
      <c r="E32" s="4">
        <f>'תקציב אגף ת.ב.ל 2020 '!E29</f>
        <v>700000</v>
      </c>
      <c r="F32" s="4">
        <f>'תקציב אגף ת.ב.ל 2020 '!F29</f>
        <v>0</v>
      </c>
      <c r="G32" s="4">
        <f>'תקציב אגף ת.ב.ל 2020 '!G29</f>
        <v>700000</v>
      </c>
      <c r="H32" s="4">
        <f>'תקציב אגף ת.ב.ל 2020 '!H29</f>
        <v>369198.41</v>
      </c>
      <c r="I32" s="4">
        <f>'תקציב אגף ת.ב.ל 2020 '!I29</f>
        <v>153212.19</v>
      </c>
      <c r="J32" s="4">
        <f>'תקציב אגף ת.ב.ל 2020 '!J29</f>
        <v>0</v>
      </c>
      <c r="K32" s="4">
        <f>'תקציב אגף ת.ב.ל 2020 '!K29</f>
        <v>153212.19</v>
      </c>
      <c r="L32" s="4">
        <f>'תקציב אגף ת.ב.ל 2020 '!L29</f>
        <v>522410.6</v>
      </c>
      <c r="M32" s="4">
        <f>'תקציב אגף ת.ב.ל 2020 '!M29</f>
        <v>177589.40000000002</v>
      </c>
      <c r="N32" s="4">
        <f>'תקציב אגף ת.ב.ל 2020 '!N29</f>
        <v>0</v>
      </c>
      <c r="O32" s="4">
        <f>'תקציב אגף ת.ב.ל 2020 '!O29</f>
        <v>0</v>
      </c>
      <c r="P32" s="4">
        <f>'תקציב אגף ת.ב.ל 2020 '!P29</f>
        <v>177589.40000000002</v>
      </c>
      <c r="Q32" s="4">
        <f>'תקציב אגף ת.ב.ל 2020 '!Q29</f>
        <v>0</v>
      </c>
      <c r="R32" s="4">
        <f>'תקציב אגף ת.ב.ל 2020 '!R29</f>
        <v>0</v>
      </c>
      <c r="S32" s="4">
        <f>'תקציב אגף ת.ב.ל 2020 '!S29</f>
        <v>0</v>
      </c>
      <c r="T32" s="4">
        <f>'תקציב אגף ת.ב.ל 2020 '!T29</f>
        <v>0</v>
      </c>
      <c r="U32" s="4">
        <f>'תקציב אגף ת.ב.ל 2020 '!U29</f>
        <v>0</v>
      </c>
      <c r="V32" s="4">
        <f>'תקציב אגף ת.ב.ל 2020 '!V29</f>
        <v>0</v>
      </c>
      <c r="W32" s="4">
        <f>'תקציב אגף ת.ב.ל 2020 '!W29</f>
        <v>0</v>
      </c>
      <c r="X32" s="4">
        <f>'תקציב אגף ת.ב.ל 2020 '!X29</f>
        <v>0</v>
      </c>
      <c r="Y32" s="4">
        <f>'תקציב אגף ת.ב.ל 2020 '!Y29</f>
        <v>0</v>
      </c>
      <c r="Z32" s="4">
        <f>'תקציב אגף ת.ב.ל 2020 '!Z29</f>
        <v>0</v>
      </c>
      <c r="AA32" s="87">
        <f>'תקציב אגף ת.ב.ל 2020 '!AA29</f>
        <v>0</v>
      </c>
      <c r="AB32" s="706">
        <f>'תקציב אגף ת.ב.ל 2020 '!AB29</f>
        <v>810000</v>
      </c>
      <c r="AC32" s="191"/>
      <c r="AD32" s="191"/>
      <c r="AE32" s="31"/>
      <c r="AF32" s="28"/>
      <c r="AG32" s="358"/>
      <c r="AH32" s="359"/>
      <c r="AI32" s="360"/>
      <c r="AJ32" s="29"/>
      <c r="AK32" s="29"/>
      <c r="AL32" s="29"/>
      <c r="AM32" s="29"/>
      <c r="AN32" s="28"/>
    </row>
    <row r="33" spans="1:40" s="5" customFormat="1">
      <c r="A33" s="3">
        <f t="shared" si="5"/>
        <v>24</v>
      </c>
      <c r="B33" s="706">
        <f>'תקציב אגף ת.ב.ל 2020 '!B34</f>
        <v>1946</v>
      </c>
      <c r="C33" s="87" t="str">
        <f>'תקציב אגף ת.ב.ל 2020 '!C34</f>
        <v xml:space="preserve">הצבת קרוואנים ופיתוח </v>
      </c>
      <c r="D33" s="4">
        <f>'תקציב אגף ת.ב.ל 2020 '!D34</f>
        <v>890000</v>
      </c>
      <c r="E33" s="4">
        <f>'תקציב אגף ת.ב.ל 2020 '!E34</f>
        <v>890000</v>
      </c>
      <c r="F33" s="4">
        <f>'תקציב אגף ת.ב.ל 2020 '!F34</f>
        <v>0</v>
      </c>
      <c r="G33" s="4">
        <f>'תקציב אגף ת.ב.ל 2020 '!G34</f>
        <v>890000</v>
      </c>
      <c r="H33" s="4">
        <f>'תקציב אגף ת.ב.ל 2020 '!H34</f>
        <v>668799.36</v>
      </c>
      <c r="I33" s="4">
        <f>'תקציב אגף ת.ב.ל 2020 '!I34</f>
        <v>0</v>
      </c>
      <c r="J33" s="4">
        <f>'תקציב אגף ת.ב.ל 2020 '!J34</f>
        <v>10000</v>
      </c>
      <c r="K33" s="4">
        <f>'תקציב אגף ת.ב.ל 2020 '!K34</f>
        <v>10000</v>
      </c>
      <c r="L33" s="4">
        <f>'תקציב אגף ת.ב.ל 2020 '!L34</f>
        <v>678799.35999999999</v>
      </c>
      <c r="M33" s="4">
        <f>'תקציב אגף ת.ב.ל 2020 '!M34</f>
        <v>211200.64000000001</v>
      </c>
      <c r="N33" s="4">
        <f>'תקציב אגף ת.ב.ל 2020 '!N34</f>
        <v>0</v>
      </c>
      <c r="O33" s="4">
        <f>'תקציב אגף ת.ב.ל 2020 '!O34</f>
        <v>0</v>
      </c>
      <c r="P33" s="4">
        <f>'תקציב אגף ת.ב.ל 2020 '!P34</f>
        <v>211200.64000000001</v>
      </c>
      <c r="Q33" s="4">
        <f>'תקציב אגף ת.ב.ל 2020 '!Q34</f>
        <v>0</v>
      </c>
      <c r="R33" s="4">
        <f>'תקציב אגף ת.ב.ל 2020 '!R34</f>
        <v>0</v>
      </c>
      <c r="S33" s="4">
        <f>'תקציב אגף ת.ב.ל 2020 '!S34</f>
        <v>0</v>
      </c>
      <c r="T33" s="4">
        <f>'תקציב אגף ת.ב.ל 2020 '!T34</f>
        <v>0</v>
      </c>
      <c r="U33" s="4">
        <f>'תקציב אגף ת.ב.ל 2020 '!U34</f>
        <v>0</v>
      </c>
      <c r="V33" s="4">
        <f>'תקציב אגף ת.ב.ל 2020 '!V34</f>
        <v>0</v>
      </c>
      <c r="W33" s="4">
        <f>'תקציב אגף ת.ב.ל 2020 '!W34</f>
        <v>0</v>
      </c>
      <c r="X33" s="4">
        <f>'תקציב אגף ת.ב.ל 2020 '!X34</f>
        <v>0</v>
      </c>
      <c r="Y33" s="4">
        <f>'תקציב אגף ת.ב.ל 2020 '!Y34</f>
        <v>0</v>
      </c>
      <c r="Z33" s="4">
        <f>'תקציב אגף ת.ב.ל 2020 '!Z34</f>
        <v>0</v>
      </c>
      <c r="AA33" s="87">
        <f>'תקציב אגף ת.ב.ל 2020 '!AA34</f>
        <v>0</v>
      </c>
      <c r="AB33" s="706">
        <f>'תקציב אגף ת.ב.ל 2020 '!AB34</f>
        <v>810000</v>
      </c>
      <c r="AC33" s="191"/>
      <c r="AD33" s="191"/>
      <c r="AE33" s="31"/>
      <c r="AF33" s="28"/>
      <c r="AG33" s="358"/>
      <c r="AH33" s="359"/>
      <c r="AI33" s="360"/>
      <c r="AJ33" s="29"/>
      <c r="AK33" s="29"/>
      <c r="AL33" s="29"/>
      <c r="AM33" s="29"/>
      <c r="AN33" s="28"/>
    </row>
    <row r="34" spans="1:40" s="5" customFormat="1" ht="41.4">
      <c r="A34" s="3">
        <f t="shared" si="5"/>
        <v>25</v>
      </c>
      <c r="B34" s="706">
        <f>'תקציב אגף ת.ב.ל 2020 '!B37</f>
        <v>1967</v>
      </c>
      <c r="C34" s="87" t="str">
        <f>'תקציב אגף ת.ב.ל 2020 '!C37</f>
        <v>התאמות נגישות מוסדות חינוך</v>
      </c>
      <c r="D34" s="4">
        <f>'תקציב אגף ת.ב.ל 2020 '!D37</f>
        <v>12929000</v>
      </c>
      <c r="E34" s="4">
        <f>'תקציב אגף ת.ב.ל 2020 '!E37</f>
        <v>12929000</v>
      </c>
      <c r="F34" s="4">
        <f>'תקציב אגף ת.ב.ל 2020 '!F37</f>
        <v>0</v>
      </c>
      <c r="G34" s="4">
        <f>'תקציב אגף ת.ב.ל 2020 '!G37</f>
        <v>4929000</v>
      </c>
      <c r="H34" s="4">
        <f>'תקציב אגף ת.ב.ל 2020 '!H37</f>
        <v>2039172.46</v>
      </c>
      <c r="I34" s="4">
        <f>'תקציב אגף ת.ב.ל 2020 '!I37</f>
        <v>388411.46</v>
      </c>
      <c r="J34" s="4">
        <f>'תקציב אגף ת.ב.ל 2020 '!J37</f>
        <v>65859.34</v>
      </c>
      <c r="K34" s="4">
        <f>'תקציב אגף ת.ב.ל 2020 '!K37</f>
        <v>454270.80000000005</v>
      </c>
      <c r="L34" s="4">
        <f>'תקציב אגף ת.ב.ל 2020 '!L37</f>
        <v>2493443.2599999998</v>
      </c>
      <c r="M34" s="4">
        <f>'תקציב אגף ת.ב.ל 2020 '!M37</f>
        <v>3205556.74</v>
      </c>
      <c r="N34" s="4">
        <f>'תקציב אגף ת.ב.ל 2020 '!N37</f>
        <v>5230000</v>
      </c>
      <c r="O34" s="4">
        <f>'תקציב אגף ת.ב.ל 2020 '!O37</f>
        <v>2000000</v>
      </c>
      <c r="P34" s="4">
        <f>'תקציב אגף ת.ב.ל 2020 '!P37</f>
        <v>2435556.7400000002</v>
      </c>
      <c r="Q34" s="4">
        <f>'תקציב אגף ת.ב.ל 2020 '!Q37</f>
        <v>770000</v>
      </c>
      <c r="R34" s="4">
        <f>'תקציב אגף ת.ב.ל 2020 '!R37</f>
        <v>0</v>
      </c>
      <c r="S34" s="4">
        <f>'תקציב אגף ת.ב.ל 2020 '!S37</f>
        <v>770000</v>
      </c>
      <c r="T34" s="4">
        <f>'תקציב אגף ת.ב.ל 2020 '!T37</f>
        <v>0</v>
      </c>
      <c r="U34" s="4">
        <f>'תקציב אגף ת.ב.ל 2020 '!U37</f>
        <v>5230000</v>
      </c>
      <c r="V34" s="4">
        <f>'תקציב אגף ת.ב.ל 2020 '!V37</f>
        <v>2500000</v>
      </c>
      <c r="W34" s="4">
        <f>'תקציב אגף ת.ב.ל 2020 '!W37</f>
        <v>2620000</v>
      </c>
      <c r="X34" s="4">
        <f>'תקציב אגף ת.ב.ל 2020 '!X37</f>
        <v>0</v>
      </c>
      <c r="Y34" s="4">
        <f>'תקציב אגף ת.ב.ל 2020 '!Y37</f>
        <v>0</v>
      </c>
      <c r="Z34" s="4">
        <f>'תקציב אגף ת.ב.ל 2020 '!Z37</f>
        <v>110000</v>
      </c>
      <c r="AA34" s="87" t="str">
        <f>'תקציב אגף ת.ב.ל 2020 '!AA37</f>
        <v>התקנת מעליות, שרותים ,רמפות בבי"ס עפ"י תוכנית רב שנתית. מימון מ. החינוך בי"ס רמב"ם.</v>
      </c>
      <c r="AB34" s="706">
        <f>'תקציב אגף ת.ב.ל 2020 '!AB37</f>
        <v>810000</v>
      </c>
      <c r="AC34" s="191"/>
      <c r="AD34" s="191"/>
      <c r="AE34" s="31"/>
      <c r="AF34" s="28"/>
      <c r="AG34" s="358"/>
      <c r="AH34" s="359"/>
      <c r="AI34" s="28"/>
      <c r="AJ34" s="29"/>
      <c r="AK34" s="29"/>
      <c r="AL34" s="29"/>
      <c r="AM34" s="29"/>
      <c r="AN34" s="28"/>
    </row>
    <row r="35" spans="1:40" s="5" customFormat="1" ht="55.2">
      <c r="A35" s="3">
        <f t="shared" si="5"/>
        <v>26</v>
      </c>
      <c r="B35" s="706">
        <f>'תקציב אגף ת.ב.ל 2020 '!B39</f>
        <v>1970</v>
      </c>
      <c r="C35" s="87" t="str">
        <f>'תקציב אגף ת.ב.ל 2020 '!C39</f>
        <v xml:space="preserve">שיפוצים שונים מוס"ח </v>
      </c>
      <c r="D35" s="4">
        <f>'תקציב אגף ת.ב.ל 2020 '!D39</f>
        <v>36519000</v>
      </c>
      <c r="E35" s="4">
        <f>'תקציב אגף ת.ב.ל 2020 '!E39</f>
        <v>21500000</v>
      </c>
      <c r="F35" s="4">
        <f>'תקציב אגף ת.ב.ל 2020 '!F39</f>
        <v>15019000</v>
      </c>
      <c r="G35" s="4">
        <f>'תקציב אגף ת.ב.ל 2020 '!G39</f>
        <v>21519000</v>
      </c>
      <c r="H35" s="4">
        <f>'תקציב אגף ת.ב.ל 2020 '!H39</f>
        <v>12855863.859999999</v>
      </c>
      <c r="I35" s="4">
        <f>'תקציב אגף ת.ב.ל 2020 '!I39</f>
        <v>0</v>
      </c>
      <c r="J35" s="4">
        <f>'תקציב אגף ת.ב.ל 2020 '!J39</f>
        <v>8022659.0599999996</v>
      </c>
      <c r="K35" s="4">
        <f>'תקציב אגף ת.ב.ל 2020 '!K39</f>
        <v>8022659.0599999996</v>
      </c>
      <c r="L35" s="4">
        <f>'תקציב אגף ת.ב.ל 2020 '!L39</f>
        <v>20878522.919999998</v>
      </c>
      <c r="M35" s="4">
        <f>'תקציב אגף ת.ב.ל 2020 '!M39</f>
        <v>2140477.0800000019</v>
      </c>
      <c r="N35" s="4">
        <f>'תקציב אגף ת.ב.ל 2020 '!N39</f>
        <v>5000000</v>
      </c>
      <c r="O35" s="4">
        <f>'תקציב אגף ת.ב.ל 2020 '!O39</f>
        <v>8500000</v>
      </c>
      <c r="P35" s="4">
        <f>'תקציב אגף ת.ב.ל 2020 '!P39</f>
        <v>640477.08000000194</v>
      </c>
      <c r="Q35" s="4">
        <f>'תקציב אגף ת.ב.ל 2020 '!Q39</f>
        <v>0</v>
      </c>
      <c r="R35" s="4">
        <f>'תקציב אגף ת.ב.ל 2020 '!R39</f>
        <v>1500000</v>
      </c>
      <c r="S35" s="4">
        <f>'תקציב אגף ת.ב.ל 2020 '!S39</f>
        <v>1500000</v>
      </c>
      <c r="T35" s="4">
        <f>'תקציב אגף ת.ב.ל 2020 '!T39</f>
        <v>0</v>
      </c>
      <c r="U35" s="4">
        <f>'תקציב אגף ת.ב.ל 2020 '!U39</f>
        <v>5000000</v>
      </c>
      <c r="V35" s="4">
        <f>'תקציב אגף ת.ב.ל 2020 '!V39</f>
        <v>0</v>
      </c>
      <c r="W35" s="4">
        <f>'תקציב אגף ת.ב.ל 2020 '!W39</f>
        <v>5000000</v>
      </c>
      <c r="X35" s="4">
        <f>'תקציב אגף ת.ב.ל 2020 '!X39</f>
        <v>0</v>
      </c>
      <c r="Y35" s="4">
        <f>'תקציב אגף ת.ב.ל 2020 '!Y39</f>
        <v>0</v>
      </c>
      <c r="Z35" s="4">
        <f>'תקציב אגף ת.ב.ל 2020 '!Z39</f>
        <v>0</v>
      </c>
      <c r="AA35" s="87" t="str">
        <f>'תקציב אגף ת.ב.ל 2020 '!AA39</f>
        <v>סל עבודות שיפוצים שונות במוס"ח לרבות שיפוצים יסודיים והתאמת מבנים גנ"י  על פי רשימה שתאושר ע"י הנהלת העיר.</v>
      </c>
      <c r="AB35" s="706">
        <f>'תקציב אגף ת.ב.ל 2020 '!AB39</f>
        <v>810000</v>
      </c>
      <c r="AC35" s="191"/>
      <c r="AD35" s="191"/>
      <c r="AE35" s="31"/>
      <c r="AF35" s="28"/>
      <c r="AG35" s="358"/>
      <c r="AH35" s="359"/>
      <c r="AI35" s="360"/>
      <c r="AJ35" s="29"/>
      <c r="AK35" s="29"/>
      <c r="AL35" s="29"/>
      <c r="AM35" s="29"/>
      <c r="AN35" s="28"/>
    </row>
    <row r="36" spans="1:40" s="5" customFormat="1" ht="55.2">
      <c r="A36" s="3">
        <f t="shared" si="5"/>
        <v>27</v>
      </c>
      <c r="B36" s="706">
        <f>'תקציב אגף ת.ב.ל 2020 '!B40</f>
        <v>2001</v>
      </c>
      <c r="C36" s="87" t="str">
        <f>'תקציב אגף ת.ב.ל 2020 '!C40</f>
        <v>בניית בי"ס ברחוב משה (ירוק)</v>
      </c>
      <c r="D36" s="4">
        <f>'תקציב אגף ת.ב.ל 2020 '!D40</f>
        <v>18500000</v>
      </c>
      <c r="E36" s="4">
        <f>'תקציב אגף ת.ב.ל 2020 '!E40</f>
        <v>18500000</v>
      </c>
      <c r="F36" s="4">
        <f>'תקציב אגף ת.ב.ל 2020 '!F40</f>
        <v>0</v>
      </c>
      <c r="G36" s="4">
        <f>'תקציב אגף ת.ב.ל 2020 '!G40</f>
        <v>998700</v>
      </c>
      <c r="H36" s="4">
        <f>'תקציב אגף ת.ב.ל 2020 '!H40</f>
        <v>198537</v>
      </c>
      <c r="I36" s="4">
        <f>'תקציב אגף ת.ב.ל 2020 '!I40</f>
        <v>626186.59</v>
      </c>
      <c r="J36" s="4">
        <f>'תקציב אגף ת.ב.ל 2020 '!J40</f>
        <v>4866.1499999999996</v>
      </c>
      <c r="K36" s="4">
        <f>'תקציב אגף ת.ב.ל 2020 '!K40</f>
        <v>631052.74</v>
      </c>
      <c r="L36" s="4">
        <f>'תקציב אגף ת.ב.ל 2020 '!L40</f>
        <v>829589.74</v>
      </c>
      <c r="M36" s="4">
        <f>'תקציב אגף ת.ב.ל 2020 '!M40</f>
        <v>169110.26</v>
      </c>
      <c r="N36" s="4">
        <f>'תקציב אגף ת.ב.ל 2020 '!N40</f>
        <v>17501300</v>
      </c>
      <c r="O36" s="4">
        <f>'תקציב אגף ת.ב.ל 2020 '!O40</f>
        <v>0</v>
      </c>
      <c r="P36" s="4">
        <f>'תקציב אגף ת.ב.ל 2020 '!P40</f>
        <v>169110.26</v>
      </c>
      <c r="Q36" s="4">
        <f>'תקציב אגף ת.ב.ל 2020 '!Q40</f>
        <v>0</v>
      </c>
      <c r="R36" s="4">
        <f>'תקציב אגף ת.ב.ל 2020 '!R40</f>
        <v>0</v>
      </c>
      <c r="S36" s="4">
        <f>'תקציב אגף ת.ב.ל 2020 '!S40</f>
        <v>0</v>
      </c>
      <c r="T36" s="4">
        <f>'תקציב אגף ת.ב.ל 2020 '!T40</f>
        <v>0</v>
      </c>
      <c r="U36" s="4">
        <f>'תקציב אגף ת.ב.ל 2020 '!U40</f>
        <v>17501300</v>
      </c>
      <c r="V36" s="4">
        <f>'תקציב אגף ת.ב.ל 2020 '!V40</f>
        <v>8500000</v>
      </c>
      <c r="W36" s="4">
        <f>'תקציב אגף ת.ב.ל 2020 '!W40</f>
        <v>0</v>
      </c>
      <c r="X36" s="4">
        <f>'תקציב אגף ת.ב.ל 2020 '!X40</f>
        <v>0</v>
      </c>
      <c r="Y36" s="4">
        <f>'תקציב אגף ת.ב.ל 2020 '!Y40</f>
        <v>0</v>
      </c>
      <c r="Z36" s="4">
        <f>'תקציב אגף ת.ב.ל 2020 '!Z40</f>
        <v>9001300</v>
      </c>
      <c r="AA36" s="87" t="str">
        <f>'תקציב אגף ת.ב.ל 2020 '!AA40</f>
        <v>בניית בית ספר ברח' משה-12 כתות. מימון מ. החינוך. היתר בשלב סופי. ממתין להרשאה מ. החינוך.</v>
      </c>
      <c r="AB36" s="706">
        <f>'תקציב אגף ת.ב.ל 2020 '!AB40</f>
        <v>810000</v>
      </c>
      <c r="AC36" s="191"/>
      <c r="AD36" s="191"/>
      <c r="AE36" s="31"/>
      <c r="AF36" s="28"/>
      <c r="AG36" s="358"/>
      <c r="AH36" s="359"/>
      <c r="AI36" s="28"/>
      <c r="AJ36" s="29"/>
      <c r="AK36" s="29"/>
      <c r="AL36" s="29"/>
      <c r="AM36" s="29"/>
      <c r="AN36" s="28"/>
    </row>
    <row r="37" spans="1:40" s="5" customFormat="1" ht="27.6">
      <c r="A37" s="3">
        <f t="shared" si="5"/>
        <v>28</v>
      </c>
      <c r="B37" s="706">
        <f>'תקציב אגף ת.ב.ל 2020 '!B41</f>
        <v>2027</v>
      </c>
      <c r="C37" s="87" t="str">
        <f>'תקציב אגף ת.ב.ל 2020 '!C41</f>
        <v>שיפוץ יסודי מעון בן סרוק כולל הצטיידות</v>
      </c>
      <c r="D37" s="4">
        <f>'תקציב אגף ת.ב.ל 2020 '!D41</f>
        <v>1930000</v>
      </c>
      <c r="E37" s="4">
        <f>'תקציב אגף ת.ב.ל 2020 '!E41</f>
        <v>1930000</v>
      </c>
      <c r="F37" s="4">
        <f>'תקציב אגף ת.ב.ל 2020 '!F41</f>
        <v>0</v>
      </c>
      <c r="G37" s="4">
        <f>'תקציב אגף ת.ב.ל 2020 '!G41</f>
        <v>1930000</v>
      </c>
      <c r="H37" s="4">
        <f>'תקציב אגף ת.ב.ל 2020 '!H41</f>
        <v>1798656.39</v>
      </c>
      <c r="I37" s="4">
        <f>'תקציב אגף ת.ב.ל 2020 '!I41</f>
        <v>0</v>
      </c>
      <c r="J37" s="4">
        <f>'תקציב אגף ת.ב.ל 2020 '!J41</f>
        <v>102241.56</v>
      </c>
      <c r="K37" s="4">
        <f>'תקציב אגף ת.ב.ל 2020 '!K41</f>
        <v>102241.56</v>
      </c>
      <c r="L37" s="4">
        <f>'תקציב אגף ת.ב.ל 2020 '!L41</f>
        <v>1900897.95</v>
      </c>
      <c r="M37" s="4">
        <f>'תקציב אגף ת.ב.ל 2020 '!M41</f>
        <v>29102.050000000047</v>
      </c>
      <c r="N37" s="4">
        <f>'תקציב אגף ת.ב.ל 2020 '!N41</f>
        <v>0</v>
      </c>
      <c r="O37" s="4">
        <f>'תקציב אגף ת.ב.ל 2020 '!O41</f>
        <v>0</v>
      </c>
      <c r="P37" s="4">
        <f>'תקציב אגף ת.ב.ל 2020 '!P41</f>
        <v>29102.050000000047</v>
      </c>
      <c r="Q37" s="4">
        <f>'תקציב אגף ת.ב.ל 2020 '!Q41</f>
        <v>0</v>
      </c>
      <c r="R37" s="4">
        <f>'תקציב אגף ת.ב.ל 2020 '!R41</f>
        <v>0</v>
      </c>
      <c r="S37" s="4">
        <f>'תקציב אגף ת.ב.ל 2020 '!S41</f>
        <v>0</v>
      </c>
      <c r="T37" s="4">
        <f>'תקציב אגף ת.ב.ל 2020 '!T41</f>
        <v>0</v>
      </c>
      <c r="U37" s="4">
        <f>'תקציב אגף ת.ב.ל 2020 '!U41</f>
        <v>0</v>
      </c>
      <c r="V37" s="4">
        <f>'תקציב אגף ת.ב.ל 2020 '!V41</f>
        <v>0</v>
      </c>
      <c r="W37" s="4">
        <f>'תקציב אגף ת.ב.ל 2020 '!W41</f>
        <v>0</v>
      </c>
      <c r="X37" s="4">
        <f>'תקציב אגף ת.ב.ל 2020 '!X41</f>
        <v>0</v>
      </c>
      <c r="Y37" s="4">
        <f>'תקציב אגף ת.ב.ל 2020 '!Y41</f>
        <v>0</v>
      </c>
      <c r="Z37" s="4">
        <f>'תקציב אגף ת.ב.ל 2020 '!Z41</f>
        <v>0</v>
      </c>
      <c r="AA37" s="87">
        <f>'תקציב אגף ת.ב.ל 2020 '!AA41</f>
        <v>0</v>
      </c>
      <c r="AB37" s="706">
        <f>'תקציב אגף ת.ב.ל 2020 '!AB41</f>
        <v>810000</v>
      </c>
      <c r="AC37" s="191"/>
      <c r="AD37" s="191"/>
      <c r="AE37" s="31"/>
      <c r="AF37" s="28"/>
      <c r="AG37" s="358"/>
      <c r="AH37" s="359"/>
      <c r="AI37" s="360"/>
      <c r="AJ37" s="29"/>
      <c r="AK37" s="29"/>
      <c r="AL37" s="29"/>
      <c r="AM37" s="29"/>
      <c r="AN37" s="28"/>
    </row>
    <row r="38" spans="1:40" s="5" customFormat="1" ht="27.6">
      <c r="A38" s="3">
        <f t="shared" si="5"/>
        <v>29</v>
      </c>
      <c r="B38" s="706">
        <f>'תקציב אגף ת.ב.ל 2020 '!B42</f>
        <v>2028</v>
      </c>
      <c r="C38" s="87" t="str">
        <f>'תקציב אגף ת.ב.ל 2020 '!C42</f>
        <v>שיפוץ מעבדת רובוטיקה בהנדסאים</v>
      </c>
      <c r="D38" s="4">
        <f>'תקציב אגף ת.ב.ל 2020 '!D42</f>
        <v>2200000</v>
      </c>
      <c r="E38" s="4">
        <f>'תקציב אגף ת.ב.ל 2020 '!E42</f>
        <v>1800000</v>
      </c>
      <c r="F38" s="4">
        <f>'תקציב אגף ת.ב.ל 2020 '!F42</f>
        <v>400000</v>
      </c>
      <c r="G38" s="4">
        <f>'תקציב אגף ת.ב.ל 2020 '!G42</f>
        <v>1800000</v>
      </c>
      <c r="H38" s="4">
        <f>'תקציב אגף ת.ב.ל 2020 '!H42</f>
        <v>433605.55</v>
      </c>
      <c r="I38" s="4">
        <f>'תקציב אגף ת.ב.ל 2020 '!I42</f>
        <v>1320644.7</v>
      </c>
      <c r="J38" s="4">
        <f>'תקציב אגף ת.ב.ל 2020 '!J42</f>
        <v>5382</v>
      </c>
      <c r="K38" s="4">
        <f>'תקציב אגף ת.ב.ל 2020 '!K42</f>
        <v>1326026.7</v>
      </c>
      <c r="L38" s="4">
        <f>'תקציב אגף ת.ב.ל 2020 '!L42</f>
        <v>1759632.25</v>
      </c>
      <c r="M38" s="4">
        <f>'תקציב אגף ת.ב.ל 2020 '!M42</f>
        <v>40367.75</v>
      </c>
      <c r="N38" s="4">
        <f>'תקציב אגף ת.ב.ל 2020 '!N42</f>
        <v>400000</v>
      </c>
      <c r="O38" s="4">
        <f>'תקציב אגף ת.ב.ל 2020 '!O42</f>
        <v>0</v>
      </c>
      <c r="P38" s="4">
        <f>'תקציב אגף ת.ב.ל 2020 '!P42</f>
        <v>40367.75</v>
      </c>
      <c r="Q38" s="4">
        <f>'תקציב אגף ת.ב.ל 2020 '!Q42</f>
        <v>0</v>
      </c>
      <c r="R38" s="4">
        <f>'תקציב אגף ת.ב.ל 2020 '!R42</f>
        <v>0</v>
      </c>
      <c r="S38" s="4">
        <f>'תקציב אגף ת.ב.ל 2020 '!S42</f>
        <v>0</v>
      </c>
      <c r="T38" s="4">
        <f>'תקציב אגף ת.ב.ל 2020 '!T42</f>
        <v>0</v>
      </c>
      <c r="U38" s="4">
        <f>'תקציב אגף ת.ב.ל 2020 '!U42</f>
        <v>400000</v>
      </c>
      <c r="V38" s="4">
        <f>'תקציב אגף ת.ב.ל 2020 '!V42</f>
        <v>0</v>
      </c>
      <c r="W38" s="4">
        <f>'תקציב אגף ת.ב.ל 2020 '!W42</f>
        <v>400000</v>
      </c>
      <c r="X38" s="4">
        <f>'תקציב אגף ת.ב.ל 2020 '!X42</f>
        <v>0</v>
      </c>
      <c r="Y38" s="4">
        <f>'תקציב אגף ת.ב.ל 2020 '!Y42</f>
        <v>0</v>
      </c>
      <c r="Z38" s="4">
        <f>'תקציב אגף ת.ב.ל 2020 '!Z42</f>
        <v>0</v>
      </c>
      <c r="AA38" s="87" t="str">
        <f>'תקציב אגף ת.ב.ל 2020 '!AA42</f>
        <v>עבודות חיפוי חיצוני עפ"י דרישת מינהל הנדסה.</v>
      </c>
      <c r="AB38" s="706">
        <f>'תקציב אגף ת.ב.ל 2020 '!AB42</f>
        <v>810000</v>
      </c>
      <c r="AC38" s="191"/>
      <c r="AD38" s="191"/>
      <c r="AE38" s="31"/>
      <c r="AF38" s="28"/>
      <c r="AG38" s="358"/>
      <c r="AH38" s="359"/>
      <c r="AI38" s="28"/>
      <c r="AJ38" s="29"/>
      <c r="AK38" s="29"/>
      <c r="AL38" s="29"/>
      <c r="AM38" s="29"/>
      <c r="AN38" s="28"/>
    </row>
    <row r="39" spans="1:40" s="5" customFormat="1" ht="41.4">
      <c r="A39" s="3">
        <f t="shared" si="5"/>
        <v>30</v>
      </c>
      <c r="B39" s="706">
        <f>'תקציב אגף ת.ב.ל 2020 '!B44</f>
        <v>2030</v>
      </c>
      <c r="C39" s="87" t="str">
        <f>'תקציב אגף ת.ב.ל 2020 '!C44</f>
        <v>תיכון ראשונים</v>
      </c>
      <c r="D39" s="4">
        <f>'תקציב אגף ת.ב.ל 2020 '!D44</f>
        <v>31500000</v>
      </c>
      <c r="E39" s="4">
        <f>'תקציב אגף ת.ב.ל 2020 '!E44</f>
        <v>31500000</v>
      </c>
      <c r="F39" s="4">
        <f>'תקציב אגף ת.ב.ל 2020 '!F44</f>
        <v>0</v>
      </c>
      <c r="G39" s="4">
        <f>'תקציב אגף ת.ב.ל 2020 '!G44</f>
        <v>11000000</v>
      </c>
      <c r="H39" s="4">
        <f>'תקציב אגף ת.ב.ל 2020 '!H44</f>
        <v>2019372.78</v>
      </c>
      <c r="I39" s="4">
        <f>'תקציב אגף ת.ב.ל 2020 '!I44</f>
        <v>5480195.0999999996</v>
      </c>
      <c r="J39" s="4">
        <f>'תקציב אגף ת.ב.ל 2020 '!J44</f>
        <v>43146.38</v>
      </c>
      <c r="K39" s="4">
        <f>'תקציב אגף ת.ב.ל 2020 '!K44</f>
        <v>5523341.4799999995</v>
      </c>
      <c r="L39" s="4">
        <f>'תקציב אגף ת.ב.ל 2020 '!L44</f>
        <v>7542714.2599999998</v>
      </c>
      <c r="M39" s="4">
        <f>'תקציב אגף ת.ב.ל 2020 '!M44</f>
        <v>3457285.74</v>
      </c>
      <c r="N39" s="4">
        <f>'תקציב אגף ת.ב.ל 2020 '!N44</f>
        <v>8000000</v>
      </c>
      <c r="O39" s="4">
        <f>'תקציב אגף ת.ב.ל 2020 '!O44</f>
        <v>12500000</v>
      </c>
      <c r="P39" s="4">
        <f>'תקציב אגף ת.ב.ל 2020 '!P44</f>
        <v>3457285.74</v>
      </c>
      <c r="Q39" s="4">
        <f>'תקציב אגף ת.ב.ל 2020 '!Q44</f>
        <v>0</v>
      </c>
      <c r="R39" s="4">
        <f>'תקציב אגף ת.ב.ל 2020 '!R44</f>
        <v>0</v>
      </c>
      <c r="S39" s="4">
        <f>'תקציב אגף ת.ב.ל 2020 '!S44</f>
        <v>0</v>
      </c>
      <c r="T39" s="4">
        <f>'תקציב אגף ת.ב.ל 2020 '!T44</f>
        <v>0</v>
      </c>
      <c r="U39" s="4">
        <f>'תקציב אגף ת.ב.ל 2020 '!U44</f>
        <v>8000000</v>
      </c>
      <c r="V39" s="4">
        <f>'תקציב אגף ת.ב.ל 2020 '!V44</f>
        <v>8000000</v>
      </c>
      <c r="W39" s="4">
        <f>'תקציב אגף ת.ב.ל 2020 '!W44</f>
        <v>0</v>
      </c>
      <c r="X39" s="4">
        <f>'תקציב אגף ת.ב.ל 2020 '!X44</f>
        <v>0</v>
      </c>
      <c r="Y39" s="4">
        <f>'תקציב אגף ת.ב.ל 2020 '!Y44</f>
        <v>0</v>
      </c>
      <c r="Z39" s="4">
        <f>'תקציב אגף ת.ב.ל 2020 '!Z44</f>
        <v>0</v>
      </c>
      <c r="AA39" s="87" t="str">
        <f>'תקציב אגף ת.ב.ל 2020 '!AA44</f>
        <v>פרויקט  בניית אודיטוריום ,תוספת 6 כתות ו-2 ממ"דים , שיפוץ כללי.</v>
      </c>
      <c r="AB39" s="706">
        <f>'תקציב אגף ת.ב.ל 2020 '!AB44</f>
        <v>810000</v>
      </c>
      <c r="AC39" s="191"/>
      <c r="AD39" s="191"/>
      <c r="AE39" s="31"/>
      <c r="AF39" s="28"/>
      <c r="AG39" s="358"/>
      <c r="AH39" s="359"/>
      <c r="AI39" s="28"/>
      <c r="AJ39" s="29"/>
      <c r="AK39" s="29"/>
      <c r="AL39" s="28"/>
      <c r="AM39" s="28"/>
      <c r="AN39" s="28"/>
    </row>
    <row r="40" spans="1:40" s="5" customFormat="1" ht="41.4">
      <c r="A40" s="3">
        <f t="shared" si="5"/>
        <v>31</v>
      </c>
      <c r="B40" s="706">
        <f>'תקציב אגף ת.ב.ל 2020 '!B46</f>
        <v>2063</v>
      </c>
      <c r="C40" s="87" t="str">
        <f>'תקציב אגף ת.ב.ל 2020 '!C46</f>
        <v>תוספת כיתות /חדרי ספח ברנדיס</v>
      </c>
      <c r="D40" s="4">
        <f>'תקציב אגף ת.ב.ל 2020 '!D46</f>
        <v>1490000</v>
      </c>
      <c r="E40" s="4">
        <f>'תקציב אגף ת.ב.ל 2020 '!E46</f>
        <v>1490000</v>
      </c>
      <c r="F40" s="4">
        <f>'תקציב אגף ת.ב.ל 2020 '!F46</f>
        <v>0</v>
      </c>
      <c r="G40" s="4">
        <f>'תקציב אגף ת.ב.ל 2020 '!G46</f>
        <v>1490000</v>
      </c>
      <c r="H40" s="4">
        <f>'תקציב אגף ת.ב.ל 2020 '!H46</f>
        <v>60470.12</v>
      </c>
      <c r="I40" s="4">
        <f>'תקציב אגף ת.ב.ל 2020 '!I46</f>
        <v>38680.199999999997</v>
      </c>
      <c r="J40" s="4">
        <f>'תקציב אגף ת.ב.ל 2020 '!J46</f>
        <v>31297.5</v>
      </c>
      <c r="K40" s="4">
        <f>'תקציב אגף ת.ב.ל 2020 '!K46</f>
        <v>69977.7</v>
      </c>
      <c r="L40" s="4">
        <f>'תקציב אגף ת.ב.ל 2020 '!L46</f>
        <v>130447.82</v>
      </c>
      <c r="M40" s="4">
        <f>'תקציב אגף ת.ב.ל 2020 '!M46</f>
        <v>359552.17999999993</v>
      </c>
      <c r="N40" s="4">
        <f>'תקציב אגף ת.ב.ל 2020 '!N46</f>
        <v>1000000</v>
      </c>
      <c r="O40" s="4">
        <f>'תקציב אגף ת.ב.ל 2020 '!O46</f>
        <v>0</v>
      </c>
      <c r="P40" s="4">
        <f>'תקציב אגף ת.ב.ל 2020 '!P46</f>
        <v>1359552.18</v>
      </c>
      <c r="Q40" s="4">
        <f>'תקציב אגף ת.ב.ל 2020 '!Q46</f>
        <v>0</v>
      </c>
      <c r="R40" s="4">
        <f>'תקציב אגף ת.ב.ל 2020 '!R46</f>
        <v>0</v>
      </c>
      <c r="S40" s="4">
        <f>'תקציב אגף ת.ב.ל 2020 '!S46</f>
        <v>0</v>
      </c>
      <c r="T40" s="4">
        <f>'תקציב אגף ת.ב.ל 2020 '!T46</f>
        <v>1000000</v>
      </c>
      <c r="U40" s="4">
        <f>'תקציב אגף ת.ב.ל 2020 '!U46</f>
        <v>0</v>
      </c>
      <c r="V40" s="4">
        <f>'תקציב אגף ת.ב.ל 2020 '!V46</f>
        <v>0</v>
      </c>
      <c r="W40" s="4">
        <f>'תקציב אגף ת.ב.ל 2020 '!W46</f>
        <v>0</v>
      </c>
      <c r="X40" s="4">
        <f>'תקציב אגף ת.ב.ל 2020 '!X46</f>
        <v>0</v>
      </c>
      <c r="Y40" s="4">
        <f>'תקציב אגף ת.ב.ל 2020 '!Y46</f>
        <v>0</v>
      </c>
      <c r="Z40" s="4">
        <f>'תקציב אגף ת.ב.ל 2020 '!Z46</f>
        <v>0</v>
      </c>
      <c r="AA40" s="87" t="str">
        <f>'תקציב אגף ת.ב.ל 2020 '!AA46</f>
        <v>תוספת כיתות וחדרי ספח בקומת המסד בבי"ס ברנדיס. ממתין להיתר.</v>
      </c>
      <c r="AB40" s="706">
        <f>'תקציב אגף ת.ב.ל 2020 '!AB46</f>
        <v>810000</v>
      </c>
      <c r="AC40" s="191"/>
      <c r="AD40" s="191"/>
      <c r="AE40" s="31"/>
      <c r="AF40" s="28"/>
      <c r="AG40" s="358"/>
      <c r="AH40" s="359"/>
      <c r="AI40" s="28"/>
      <c r="AJ40" s="29"/>
      <c r="AK40" s="29"/>
      <c r="AL40" s="29"/>
      <c r="AM40" s="29"/>
      <c r="AN40" s="28"/>
    </row>
    <row r="41" spans="1:40" s="5" customFormat="1" ht="27.6">
      <c r="A41" s="3">
        <f t="shared" si="5"/>
        <v>32</v>
      </c>
      <c r="B41" s="706">
        <f>'תקציב אגף ת.ב.ל 2020 '!B47</f>
        <v>2065</v>
      </c>
      <c r="C41" s="87" t="str">
        <f>'תקציב אגף ת.ב.ל 2020 '!C47</f>
        <v>התאמת מבנה שיפוץ גנ"י לאה גולדברג 1</v>
      </c>
      <c r="D41" s="4">
        <f>'תקציב אגף ת.ב.ל 2020 '!D47</f>
        <v>700000</v>
      </c>
      <c r="E41" s="4">
        <f>'תקציב אגף ת.ב.ל 2020 '!E47</f>
        <v>700000</v>
      </c>
      <c r="F41" s="4">
        <f>'תקציב אגף ת.ב.ל 2020 '!F47</f>
        <v>0</v>
      </c>
      <c r="G41" s="4">
        <f>'תקציב אגף ת.ב.ל 2020 '!G47</f>
        <v>700000</v>
      </c>
      <c r="H41" s="4">
        <f>'תקציב אגף ת.ב.ל 2020 '!H47</f>
        <v>675328.1</v>
      </c>
      <c r="I41" s="4">
        <f>'תקציב אגף ת.ב.ל 2020 '!I47</f>
        <v>0</v>
      </c>
      <c r="J41" s="4">
        <f>'תקציב אגף ת.ב.ל 2020 '!J47</f>
        <v>24618.63</v>
      </c>
      <c r="K41" s="4">
        <f>'תקציב אגף ת.ב.ל 2020 '!K47</f>
        <v>24618.63</v>
      </c>
      <c r="L41" s="4">
        <f>'תקציב אגף ת.ב.ל 2020 '!L47</f>
        <v>699946.73</v>
      </c>
      <c r="M41" s="4">
        <f>'תקציב אגף ת.ב.ל 2020 '!M47</f>
        <v>53.270000000018626</v>
      </c>
      <c r="N41" s="4">
        <f>'תקציב אגף ת.ב.ל 2020 '!N47</f>
        <v>0</v>
      </c>
      <c r="O41" s="4">
        <f>'תקציב אגף ת.ב.ל 2020 '!O47</f>
        <v>0</v>
      </c>
      <c r="P41" s="4">
        <f>'תקציב אגף ת.ב.ל 2020 '!P47</f>
        <v>53.270000000018626</v>
      </c>
      <c r="Q41" s="4">
        <f>'תקציב אגף ת.ב.ל 2020 '!Q47</f>
        <v>0</v>
      </c>
      <c r="R41" s="4">
        <f>'תקציב אגף ת.ב.ל 2020 '!R47</f>
        <v>0</v>
      </c>
      <c r="S41" s="4">
        <f>'תקציב אגף ת.ב.ל 2020 '!S47</f>
        <v>0</v>
      </c>
      <c r="T41" s="4">
        <f>'תקציב אגף ת.ב.ל 2020 '!T47</f>
        <v>0</v>
      </c>
      <c r="U41" s="4">
        <f>'תקציב אגף ת.ב.ל 2020 '!U47</f>
        <v>0</v>
      </c>
      <c r="V41" s="4">
        <f>'תקציב אגף ת.ב.ל 2020 '!V47</f>
        <v>0</v>
      </c>
      <c r="W41" s="4">
        <f>'תקציב אגף ת.ב.ל 2020 '!W47</f>
        <v>0</v>
      </c>
      <c r="X41" s="4">
        <f>'תקציב אגף ת.ב.ל 2020 '!X47</f>
        <v>0</v>
      </c>
      <c r="Y41" s="4">
        <f>'תקציב אגף ת.ב.ל 2020 '!Y47</f>
        <v>0</v>
      </c>
      <c r="Z41" s="4">
        <f>'תקציב אגף ת.ב.ל 2020 '!Z47</f>
        <v>0</v>
      </c>
      <c r="AA41" s="87" t="str">
        <f>'תקציב אגף ת.ב.ל 2020 '!AA47</f>
        <v>התאמת מבנה ושיפוץ יסודי של 2 גנ"י.</v>
      </c>
      <c r="AB41" s="706">
        <f>'תקציב אגף ת.ב.ל 2020 '!AB47</f>
        <v>810000</v>
      </c>
      <c r="AC41" s="191"/>
      <c r="AD41" s="191"/>
      <c r="AE41" s="351"/>
      <c r="AF41" s="28"/>
      <c r="AG41" s="358"/>
      <c r="AH41" s="359"/>
      <c r="AI41" s="28"/>
      <c r="AJ41" s="29"/>
      <c r="AK41" s="29"/>
      <c r="AL41" s="29"/>
      <c r="AM41" s="29"/>
      <c r="AN41" s="28"/>
    </row>
    <row r="42" spans="1:40" s="5" customFormat="1" ht="27.6">
      <c r="A42" s="3">
        <f t="shared" si="5"/>
        <v>33</v>
      </c>
      <c r="B42" s="706">
        <f>'תקציב אגף ת.ב.ל 2020 '!B49</f>
        <v>2071</v>
      </c>
      <c r="C42" s="87" t="str">
        <f>'תקציב אגף ת.ב.ל 2020 '!C49</f>
        <v>נגישות אקוסטית מ.החינוך 2017</v>
      </c>
      <c r="D42" s="4">
        <f>'תקציב אגף ת.ב.ל 2020 '!D49</f>
        <v>300000</v>
      </c>
      <c r="E42" s="4">
        <f>'תקציב אגף ת.ב.ל 2020 '!E49</f>
        <v>300000</v>
      </c>
      <c r="F42" s="4">
        <f>'תקציב אגף ת.ב.ל 2020 '!F49</f>
        <v>0</v>
      </c>
      <c r="G42" s="4">
        <f>'תקציב אגף ת.ב.ל 2020 '!G49</f>
        <v>300000</v>
      </c>
      <c r="H42" s="4">
        <f>'תקציב אגף ת.ב.ל 2020 '!H49</f>
        <v>270457.13</v>
      </c>
      <c r="I42" s="4">
        <f>'תקציב אגף ת.ב.ל 2020 '!I49</f>
        <v>0</v>
      </c>
      <c r="J42" s="4">
        <f>'תקציב אגף ת.ב.ל 2020 '!J49</f>
        <v>0</v>
      </c>
      <c r="K42" s="4">
        <f>'תקציב אגף ת.ב.ל 2020 '!K49</f>
        <v>0</v>
      </c>
      <c r="L42" s="4">
        <f>'תקציב אגף ת.ב.ל 2020 '!L49</f>
        <v>270457.13</v>
      </c>
      <c r="M42" s="4">
        <f>'תקציב אגף ת.ב.ל 2020 '!M49</f>
        <v>29542.869999999995</v>
      </c>
      <c r="N42" s="4">
        <f>'תקציב אגף ת.ב.ל 2020 '!N49</f>
        <v>0</v>
      </c>
      <c r="O42" s="4">
        <f>'תקציב אגף ת.ב.ל 2020 '!O49</f>
        <v>0</v>
      </c>
      <c r="P42" s="4">
        <f>'תקציב אגף ת.ב.ל 2020 '!P49</f>
        <v>29542.869999999995</v>
      </c>
      <c r="Q42" s="4">
        <f>'תקציב אגף ת.ב.ל 2020 '!Q49</f>
        <v>0</v>
      </c>
      <c r="R42" s="4">
        <f>'תקציב אגף ת.ב.ל 2020 '!R49</f>
        <v>0</v>
      </c>
      <c r="S42" s="4">
        <f>'תקציב אגף ת.ב.ל 2020 '!S49</f>
        <v>0</v>
      </c>
      <c r="T42" s="4">
        <f>'תקציב אגף ת.ב.ל 2020 '!T49</f>
        <v>0</v>
      </c>
      <c r="U42" s="4">
        <f>'תקציב אגף ת.ב.ל 2020 '!U49</f>
        <v>0</v>
      </c>
      <c r="V42" s="4">
        <f>'תקציב אגף ת.ב.ל 2020 '!V49</f>
        <v>0</v>
      </c>
      <c r="W42" s="4">
        <f>'תקציב אגף ת.ב.ל 2020 '!W49</f>
        <v>0</v>
      </c>
      <c r="X42" s="4">
        <f>'תקציב אגף ת.ב.ל 2020 '!X49</f>
        <v>0</v>
      </c>
      <c r="Y42" s="4">
        <f>'תקציב אגף ת.ב.ל 2020 '!Y49</f>
        <v>0</v>
      </c>
      <c r="Z42" s="4">
        <f>'תקציב אגף ת.ב.ל 2020 '!Z49</f>
        <v>0</v>
      </c>
      <c r="AA42" s="87" t="str">
        <f>'תקציב אגף ת.ב.ל 2020 '!AA49</f>
        <v>מימון מ. החינוך. ממתין לתקבול סופי.</v>
      </c>
      <c r="AB42" s="706">
        <f>'תקציב אגף ת.ב.ל 2020 '!AB49</f>
        <v>810000</v>
      </c>
      <c r="AC42" s="633"/>
      <c r="AD42" s="634"/>
      <c r="AE42" s="634"/>
      <c r="AF42" s="634"/>
      <c r="AG42" s="634"/>
      <c r="AH42" s="635"/>
      <c r="AI42" s="636"/>
      <c r="AJ42" s="636"/>
      <c r="AK42" s="636"/>
      <c r="AL42" s="636"/>
      <c r="AM42" s="636"/>
      <c r="AN42" s="636"/>
    </row>
    <row r="43" spans="1:40" s="5" customFormat="1">
      <c r="A43" s="3">
        <f t="shared" si="5"/>
        <v>34</v>
      </c>
      <c r="B43" s="706">
        <f>'תקציב אגף ת.ב.ל 2020 '!B56</f>
        <v>2132</v>
      </c>
      <c r="C43" s="87" t="str">
        <f>'תקציב אגף ת.ב.ל 2020 '!C56</f>
        <v>שיפוץ ושדרוג תיכון אחיה</v>
      </c>
      <c r="D43" s="4">
        <f>'תקציב אגף ת.ב.ל 2020 '!D56</f>
        <v>700000</v>
      </c>
      <c r="E43" s="4">
        <f>'תקציב אגף ת.ב.ל 2020 '!E56</f>
        <v>700000</v>
      </c>
      <c r="F43" s="4">
        <f>'תקציב אגף ת.ב.ל 2020 '!F56</f>
        <v>0</v>
      </c>
      <c r="G43" s="4">
        <f>'תקציב אגף ת.ב.ל 2020 '!G56</f>
        <v>700000</v>
      </c>
      <c r="H43" s="4">
        <f>'תקציב אגף ת.ב.ל 2020 '!H56</f>
        <v>101790</v>
      </c>
      <c r="I43" s="4">
        <f>'תקציב אגף ת.ב.ל 2020 '!I56</f>
        <v>0</v>
      </c>
      <c r="J43" s="4">
        <f>'תקציב אגף ת.ב.ל 2020 '!J56</f>
        <v>5122.8500000000004</v>
      </c>
      <c r="K43" s="4">
        <f>'תקציב אגף ת.ב.ל 2020 '!K56</f>
        <v>5122.8500000000004</v>
      </c>
      <c r="L43" s="4">
        <f>'תקציב אגף ת.ב.ל 2020 '!L56</f>
        <v>106912.85</v>
      </c>
      <c r="M43" s="4">
        <f>'תקציב אגף ת.ב.ל 2020 '!M56</f>
        <v>593087.15</v>
      </c>
      <c r="N43" s="4">
        <f>'תקציב אגף ת.ב.ל 2020 '!N56</f>
        <v>0</v>
      </c>
      <c r="O43" s="4">
        <f>'תקציב אגף ת.ב.ל 2020 '!O56</f>
        <v>0</v>
      </c>
      <c r="P43" s="4">
        <f>'תקציב אגף ת.ב.ל 2020 '!P56</f>
        <v>593087.15</v>
      </c>
      <c r="Q43" s="4">
        <f>'תקציב אגף ת.ב.ל 2020 '!Q56</f>
        <v>0</v>
      </c>
      <c r="R43" s="4">
        <f>'תקציב אגף ת.ב.ל 2020 '!R56</f>
        <v>0</v>
      </c>
      <c r="S43" s="4">
        <f>'תקציב אגף ת.ב.ל 2020 '!S56</f>
        <v>0</v>
      </c>
      <c r="T43" s="4">
        <f>'תקציב אגף ת.ב.ל 2020 '!T56</f>
        <v>0</v>
      </c>
      <c r="U43" s="4">
        <f>'תקציב אגף ת.ב.ל 2020 '!U56</f>
        <v>0</v>
      </c>
      <c r="V43" s="4">
        <f>'תקציב אגף ת.ב.ל 2020 '!V56</f>
        <v>0</v>
      </c>
      <c r="W43" s="4">
        <f>'תקציב אגף ת.ב.ל 2020 '!W56</f>
        <v>0</v>
      </c>
      <c r="X43" s="4">
        <f>'תקציב אגף ת.ב.ל 2020 '!X56</f>
        <v>0</v>
      </c>
      <c r="Y43" s="4">
        <f>'תקציב אגף ת.ב.ל 2020 '!Y56</f>
        <v>0</v>
      </c>
      <c r="Z43" s="4">
        <f>'תקציב אגף ת.ב.ל 2020 '!Z56</f>
        <v>0</v>
      </c>
      <c r="AA43" s="87" t="str">
        <f>'תקציב אגף ת.ב.ל 2020 '!AA56</f>
        <v>עבודות שיפוץ ושדרוג ביה"ס.</v>
      </c>
      <c r="AB43" s="706">
        <f>'תקציב אגף ת.ב.ל 2020 '!AB56</f>
        <v>810000</v>
      </c>
      <c r="AC43" s="191"/>
      <c r="AD43" s="191"/>
      <c r="AE43" s="31"/>
      <c r="AF43" s="351"/>
      <c r="AG43" s="351"/>
      <c r="AH43" s="352"/>
      <c r="AI43" s="357"/>
      <c r="AJ43" s="29"/>
      <c r="AK43" s="29"/>
      <c r="AL43" s="29"/>
      <c r="AM43" s="29"/>
      <c r="AN43" s="28"/>
    </row>
    <row r="44" spans="1:40" s="5" customFormat="1" ht="27.6">
      <c r="A44" s="3">
        <f t="shared" si="5"/>
        <v>35</v>
      </c>
      <c r="B44" s="706">
        <f>'תקציב אגף ת.ב.ל 2020 '!B59</f>
        <v>2139</v>
      </c>
      <c r="C44" s="87" t="str">
        <f>'תקציב אגף ת.ב.ל 2020 '!C59</f>
        <v>גני ילדים בבניה טרומים רח' דוד השמעוני</v>
      </c>
      <c r="D44" s="4">
        <f>'תקציב אגף ת.ב.ל 2020 '!D59</f>
        <v>2948000</v>
      </c>
      <c r="E44" s="4">
        <f>'תקציב אגף ת.ב.ל 2020 '!E59</f>
        <v>2948000</v>
      </c>
      <c r="F44" s="4">
        <f>'תקציב אגף ת.ב.ל 2020 '!F59</f>
        <v>0</v>
      </c>
      <c r="G44" s="4">
        <f>'תקציב אגף ת.ב.ל 2020 '!G59</f>
        <v>0</v>
      </c>
      <c r="H44" s="4">
        <f>'תקציב אגף ת.ב.ל 2020 '!H59</f>
        <v>0</v>
      </c>
      <c r="I44" s="4">
        <f>'תקציב אגף ת.ב.ל 2020 '!I59</f>
        <v>0</v>
      </c>
      <c r="J44" s="4">
        <f>'תקציב אגף ת.ב.ל 2020 '!J59</f>
        <v>0</v>
      </c>
      <c r="K44" s="4">
        <f>'תקציב אגף ת.ב.ל 2020 '!K59</f>
        <v>0</v>
      </c>
      <c r="L44" s="4">
        <f>'תקציב אגף ת.ב.ל 2020 '!L59</f>
        <v>0</v>
      </c>
      <c r="M44" s="4">
        <f>'תקציב אגף ת.ב.ל 2020 '!M59</f>
        <v>0</v>
      </c>
      <c r="N44" s="4">
        <f>'תקציב אגף ת.ב.ל 2020 '!N59</f>
        <v>0</v>
      </c>
      <c r="O44" s="4">
        <f>'תקציב אגף ת.ב.ל 2020 '!O59</f>
        <v>2948000</v>
      </c>
      <c r="P44" s="4">
        <f>'תקציב אגף ת.ב.ל 2020 '!P59</f>
        <v>0</v>
      </c>
      <c r="Q44" s="4">
        <f>'תקציב אגף ת.ב.ל 2020 '!Q59</f>
        <v>0</v>
      </c>
      <c r="R44" s="4">
        <f>'תקציב אגף ת.ב.ל 2020 '!R59</f>
        <v>0</v>
      </c>
      <c r="S44" s="4">
        <f>'תקציב אגף ת.ב.ל 2020 '!S59</f>
        <v>0</v>
      </c>
      <c r="T44" s="4">
        <f>'תקציב אגף ת.ב.ל 2020 '!T59</f>
        <v>0</v>
      </c>
      <c r="U44" s="4">
        <f>'תקציב אגף ת.ב.ל 2020 '!U59</f>
        <v>0</v>
      </c>
      <c r="V44" s="4">
        <f>'תקציב אגף ת.ב.ל 2020 '!V59</f>
        <v>0</v>
      </c>
      <c r="W44" s="4">
        <f>'תקציב אגף ת.ב.ל 2020 '!W59</f>
        <v>0</v>
      </c>
      <c r="X44" s="4">
        <f>'תקציב אגף ת.ב.ל 2020 '!X59</f>
        <v>0</v>
      </c>
      <c r="Y44" s="4">
        <f>'תקציב אגף ת.ב.ל 2020 '!Y59</f>
        <v>0</v>
      </c>
      <c r="Z44" s="4">
        <f>'תקציב אגף ת.ב.ל 2020 '!Z59</f>
        <v>0</v>
      </c>
      <c r="AA44" s="87">
        <f>'תקציב אגף ת.ב.ל 2020 '!AA59</f>
        <v>0</v>
      </c>
      <c r="AB44" s="706">
        <f>'תקציב אגף ת.ב.ל 2020 '!AB59</f>
        <v>810000</v>
      </c>
      <c r="AC44" s="191"/>
      <c r="AD44" s="191"/>
      <c r="AE44" s="31"/>
      <c r="AF44" s="351"/>
      <c r="AG44" s="351"/>
      <c r="AH44" s="352"/>
      <c r="AI44" s="357"/>
      <c r="AJ44" s="29"/>
      <c r="AK44" s="29"/>
      <c r="AL44" s="29"/>
      <c r="AM44" s="29"/>
      <c r="AN44" s="28"/>
    </row>
    <row r="45" spans="1:40" s="5" customFormat="1" ht="41.4">
      <c r="A45" s="3">
        <f t="shared" si="5"/>
        <v>36</v>
      </c>
      <c r="B45" s="706">
        <f>'תקציב אגף ת.ב.ל 2020 '!B63</f>
        <v>2157</v>
      </c>
      <c r="C45" s="87" t="str">
        <f>'תקציב אגף ת.ב.ל 2020 '!C63</f>
        <v>התקנת חיבורים חיצוניים לגנרטורים במוס"ח וציבור</v>
      </c>
      <c r="D45" s="4">
        <f>'תקציב אגף ת.ב.ל 2020 '!D63</f>
        <v>5200000</v>
      </c>
      <c r="E45" s="4">
        <f>'תקציב אגף ת.ב.ל 2020 '!E63</f>
        <v>0</v>
      </c>
      <c r="F45" s="4">
        <f>'תקציב אגף ת.ב.ל 2020 '!F63</f>
        <v>5200000</v>
      </c>
      <c r="G45" s="4">
        <f>'תקציב אגף ת.ב.ל 2020 '!G63</f>
        <v>0</v>
      </c>
      <c r="H45" s="4">
        <f>'תקציב אגף ת.ב.ל 2020 '!H63</f>
        <v>0</v>
      </c>
      <c r="I45" s="4">
        <f>'תקציב אגף ת.ב.ל 2020 '!I63</f>
        <v>0</v>
      </c>
      <c r="J45" s="4">
        <f>'תקציב אגף ת.ב.ל 2020 '!J63</f>
        <v>0</v>
      </c>
      <c r="K45" s="4">
        <f>'תקציב אגף ת.ב.ל 2020 '!K63</f>
        <v>0</v>
      </c>
      <c r="L45" s="4">
        <f>'תקציב אגף ת.ב.ל 2020 '!L63</f>
        <v>0</v>
      </c>
      <c r="M45" s="4">
        <f>'תקציב אגף ת.ב.ל 2020 '!M63</f>
        <v>0</v>
      </c>
      <c r="N45" s="4">
        <f>'תקציב אגף ת.ב.ל 2020 '!N63</f>
        <v>500000</v>
      </c>
      <c r="O45" s="4">
        <f>'תקציב אגף ת.ב.ל 2020 '!O63</f>
        <v>4700000</v>
      </c>
      <c r="P45" s="4">
        <f>'תקציב אגף ת.ב.ל 2020 '!P63</f>
        <v>0</v>
      </c>
      <c r="Q45" s="4">
        <f>'תקציב אגף ת.ב.ל 2020 '!Q63</f>
        <v>0</v>
      </c>
      <c r="R45" s="4">
        <f>'תקציב אגף ת.ב.ל 2020 '!R63</f>
        <v>0</v>
      </c>
      <c r="S45" s="4">
        <f>'תקציב אגף ת.ב.ל 2020 '!S63</f>
        <v>0</v>
      </c>
      <c r="T45" s="4">
        <f>'תקציב אגף ת.ב.ל 2020 '!T63</f>
        <v>0</v>
      </c>
      <c r="U45" s="4">
        <f>'תקציב אגף ת.ב.ל 2020 '!U63</f>
        <v>500000</v>
      </c>
      <c r="V45" s="4">
        <f>'תקציב אגף ת.ב.ל 2020 '!V63</f>
        <v>0</v>
      </c>
      <c r="W45" s="4">
        <f>'תקציב אגף ת.ב.ל 2020 '!W63</f>
        <v>500000</v>
      </c>
      <c r="X45" s="4">
        <f>'תקציב אגף ת.ב.ל 2020 '!X63</f>
        <v>0</v>
      </c>
      <c r="Y45" s="4">
        <f>'תקציב אגף ת.ב.ל 2020 '!Y63</f>
        <v>0</v>
      </c>
      <c r="Z45" s="4">
        <f>'תקציב אגף ת.ב.ל 2020 '!Z63</f>
        <v>0</v>
      </c>
      <c r="AA45" s="87" t="str">
        <f>'תקציב אגף ת.ב.ל 2020 '!AA63</f>
        <v>התקנת חיבורים חיצוניים לגנרטורים  במבני חינוך וציבור לשימוש בעת הצורך.</v>
      </c>
      <c r="AB45" s="706">
        <f>'תקציב אגף ת.ב.ל 2020 '!AB63</f>
        <v>810000</v>
      </c>
      <c r="AC45" s="6"/>
      <c r="AD45" s="6"/>
    </row>
    <row r="46" spans="1:40" s="5" customFormat="1" ht="27.6">
      <c r="A46" s="3">
        <f t="shared" si="5"/>
        <v>37</v>
      </c>
      <c r="B46" s="706">
        <f>'תקציב אגף ת.ב.ל 2020 '!B64</f>
        <v>2140</v>
      </c>
      <c r="C46" s="87" t="str">
        <f>'תקציב אגף ת.ב.ל 2020 '!C64</f>
        <v>נגישות אקוסטית 2019 (מ.החינוך)</v>
      </c>
      <c r="D46" s="4">
        <f>'תקציב אגף ת.ב.ל 2020 '!D64</f>
        <v>360000</v>
      </c>
      <c r="E46" s="4">
        <f>'תקציב אגף ת.ב.ל 2020 '!E64</f>
        <v>0</v>
      </c>
      <c r="F46" s="4">
        <f>'תקציב אגף ת.ב.ל 2020 '!F64</f>
        <v>360000</v>
      </c>
      <c r="G46" s="4">
        <f>'תקציב אגף ת.ב.ל 2020 '!G64</f>
        <v>0</v>
      </c>
      <c r="H46" s="4">
        <f>'תקציב אגף ת.ב.ל 2020 '!H64</f>
        <v>0</v>
      </c>
      <c r="I46" s="4">
        <f>'תקציב אגף ת.ב.ל 2020 '!I64</f>
        <v>0</v>
      </c>
      <c r="J46" s="4">
        <f>'תקציב אגף ת.ב.ל 2020 '!J64</f>
        <v>0</v>
      </c>
      <c r="K46" s="4">
        <f>'תקציב אגף ת.ב.ל 2020 '!K64</f>
        <v>0</v>
      </c>
      <c r="L46" s="4">
        <f>'תקציב אגף ת.ב.ל 2020 '!L64</f>
        <v>0</v>
      </c>
      <c r="M46" s="4">
        <f>'תקציב אגף ת.ב.ל 2020 '!M64</f>
        <v>360000</v>
      </c>
      <c r="N46" s="4">
        <f>'תקציב אגף ת.ב.ל 2020 '!N64</f>
        <v>0</v>
      </c>
      <c r="O46" s="4">
        <f>'תקציב אגף ת.ב.ל 2020 '!O64</f>
        <v>0</v>
      </c>
      <c r="P46" s="4">
        <f>'תקציב אגף ת.ב.ל 2020 '!P64</f>
        <v>0</v>
      </c>
      <c r="Q46" s="4">
        <f>'תקציב אגף ת.ב.ל 2020 '!Q64</f>
        <v>0</v>
      </c>
      <c r="R46" s="4">
        <f>'תקציב אגף ת.ב.ל 2020 '!R64</f>
        <v>360000</v>
      </c>
      <c r="S46" s="4">
        <f>'תקציב אגף ת.ב.ל 2020 '!S64</f>
        <v>360000</v>
      </c>
      <c r="T46" s="4">
        <f>'תקציב אגף ת.ב.ל 2020 '!T64</f>
        <v>0</v>
      </c>
      <c r="U46" s="4">
        <f>'תקציב אגף ת.ב.ל 2020 '!U64</f>
        <v>0</v>
      </c>
      <c r="V46" s="4">
        <f>'תקציב אגף ת.ב.ל 2020 '!V64</f>
        <v>0</v>
      </c>
      <c r="W46" s="4">
        <f>'תקציב אגף ת.ב.ל 2020 '!W64</f>
        <v>0</v>
      </c>
      <c r="X46" s="4">
        <f>'תקציב אגף ת.ב.ל 2020 '!X64</f>
        <v>0</v>
      </c>
      <c r="Y46" s="4">
        <f>'תקציב אגף ת.ב.ל 2020 '!Y64</f>
        <v>0</v>
      </c>
      <c r="Z46" s="4">
        <f>'תקציב אגף ת.ב.ל 2020 '!Z64</f>
        <v>0</v>
      </c>
      <c r="AA46" s="87" t="str">
        <f>'תקציב אגף ת.ב.ל 2020 '!AA64</f>
        <v xml:space="preserve">נגישות אקוסטית בי"ס. מימון מ. החינוך. </v>
      </c>
      <c r="AB46" s="706">
        <f>'תקציב אגף ת.ב.ל 2020 '!AB64</f>
        <v>810000</v>
      </c>
      <c r="AC46" s="6"/>
      <c r="AD46" s="6"/>
    </row>
    <row r="47" spans="1:40" s="5" customFormat="1">
      <c r="A47" s="3">
        <f t="shared" si="5"/>
        <v>38</v>
      </c>
      <c r="B47" s="706">
        <f>'תקציב אגף ת.ב.ל 2020 '!B13</f>
        <v>1483</v>
      </c>
      <c r="C47" s="87" t="str">
        <f>'תקציב אגף ת.ב.ל 2020 '!C13</f>
        <v>ריהוט גנ"י</v>
      </c>
      <c r="D47" s="4">
        <f>'תקציב אגף ת.ב.ל 2020 '!D13</f>
        <v>2700000</v>
      </c>
      <c r="E47" s="4">
        <f>'תקציב אגף ת.ב.ל 2020 '!E13</f>
        <v>2700000</v>
      </c>
      <c r="F47" s="4">
        <f>'תקציב אגף ת.ב.ל 2020 '!F13</f>
        <v>0</v>
      </c>
      <c r="G47" s="4">
        <f>'תקציב אגף ת.ב.ל 2020 '!G13</f>
        <v>2100000</v>
      </c>
      <c r="H47" s="4">
        <f>'תקציב אגף ת.ב.ל 2020 '!H13</f>
        <v>1550290.95</v>
      </c>
      <c r="I47" s="4">
        <f>'תקציב אגף ת.ב.ל 2020 '!I13</f>
        <v>0</v>
      </c>
      <c r="J47" s="4">
        <f>'תקציב אגף ת.ב.ל 2020 '!J13</f>
        <v>427232.56</v>
      </c>
      <c r="K47" s="4">
        <f>'תקציב אגף ת.ב.ל 2020 '!K13</f>
        <v>427232.56</v>
      </c>
      <c r="L47" s="4">
        <f>'תקציב אגף ת.ב.ל 2020 '!L13</f>
        <v>1977523.51</v>
      </c>
      <c r="M47" s="4">
        <f>'תקציב אגף ת.ב.ל 2020 '!M13</f>
        <v>122476.48999999999</v>
      </c>
      <c r="N47" s="4">
        <f>'תקציב אגף ת.ב.ל 2020 '!N13</f>
        <v>0</v>
      </c>
      <c r="O47" s="4">
        <f>'תקציב אגף ת.ב.ל 2020 '!O13</f>
        <v>600000</v>
      </c>
      <c r="P47" s="4">
        <f>'תקציב אגף ת.ב.ל 2020 '!P13</f>
        <v>122476.48999999999</v>
      </c>
      <c r="Q47" s="4">
        <f>'תקציב אגף ת.ב.ל 2020 '!Q13</f>
        <v>0</v>
      </c>
      <c r="R47" s="4">
        <f>'תקציב אגף ת.ב.ל 2020 '!R13</f>
        <v>0</v>
      </c>
      <c r="S47" s="4">
        <f>'תקציב אגף ת.ב.ל 2020 '!S13</f>
        <v>0</v>
      </c>
      <c r="T47" s="4">
        <f>'תקציב אגף ת.ב.ל 2020 '!T13</f>
        <v>0</v>
      </c>
      <c r="U47" s="4">
        <f>'תקציב אגף ת.ב.ל 2020 '!U13</f>
        <v>0</v>
      </c>
      <c r="V47" s="4">
        <f>'תקציב אגף ת.ב.ל 2020 '!V13</f>
        <v>0</v>
      </c>
      <c r="W47" s="4">
        <f>'תקציב אגף ת.ב.ל 2020 '!W13</f>
        <v>0</v>
      </c>
      <c r="X47" s="4">
        <f>'תקציב אגף ת.ב.ל 2020 '!X13</f>
        <v>0</v>
      </c>
      <c r="Y47" s="4">
        <f>'תקציב אגף ת.ב.ל 2020 '!Y13</f>
        <v>0</v>
      </c>
      <c r="Z47" s="4">
        <f>'תקציב אגף ת.ב.ל 2020 '!Z13</f>
        <v>0</v>
      </c>
      <c r="AA47" s="87" t="str">
        <f>'תקציב אגף ת.ב.ל 2020 '!AA13</f>
        <v>סל לשדרוג ריהוט בגני ילדים.</v>
      </c>
      <c r="AB47" s="706">
        <f>'תקציב אגף ת.ב.ל 2020 '!AB13</f>
        <v>812000</v>
      </c>
      <c r="AC47" s="191"/>
      <c r="AD47" s="191"/>
      <c r="AE47" s="31"/>
      <c r="AF47" s="28"/>
      <c r="AG47" s="358"/>
      <c r="AH47" s="359"/>
      <c r="AI47" s="360"/>
      <c r="AJ47" s="29"/>
      <c r="AK47" s="29"/>
      <c r="AL47" s="29"/>
      <c r="AM47" s="29"/>
      <c r="AN47" s="28"/>
    </row>
    <row r="48" spans="1:40" s="84" customFormat="1">
      <c r="A48" s="41"/>
      <c r="B48" s="725"/>
      <c r="C48" s="705" t="s">
        <v>699</v>
      </c>
      <c r="D48" s="88">
        <f>SUM(D24:D47)</f>
        <v>234743105</v>
      </c>
      <c r="E48" s="88">
        <f t="shared" ref="E48:Z48" si="6">SUM(E24:E47)</f>
        <v>213764105</v>
      </c>
      <c r="F48" s="88">
        <f t="shared" si="6"/>
        <v>20979000</v>
      </c>
      <c r="G48" s="88">
        <f t="shared" si="6"/>
        <v>146769901</v>
      </c>
      <c r="H48" s="88">
        <f t="shared" si="6"/>
        <v>111606280.90999998</v>
      </c>
      <c r="I48" s="88">
        <f t="shared" si="6"/>
        <v>10604103.239999998</v>
      </c>
      <c r="J48" s="88">
        <f t="shared" si="6"/>
        <v>11386036.510000002</v>
      </c>
      <c r="K48" s="88">
        <f t="shared" si="6"/>
        <v>21990139.75</v>
      </c>
      <c r="L48" s="88">
        <f t="shared" si="6"/>
        <v>133596420.66</v>
      </c>
      <c r="M48" s="88">
        <f t="shared" si="6"/>
        <v>12653480.340000002</v>
      </c>
      <c r="N48" s="88">
        <f t="shared" si="6"/>
        <v>38831300</v>
      </c>
      <c r="O48" s="88">
        <f t="shared" si="6"/>
        <v>49661904</v>
      </c>
      <c r="P48" s="88">
        <f t="shared" si="6"/>
        <v>13173480.340000002</v>
      </c>
      <c r="Q48" s="88">
        <f t="shared" si="6"/>
        <v>1120000</v>
      </c>
      <c r="R48" s="88">
        <f t="shared" si="6"/>
        <v>1860000</v>
      </c>
      <c r="S48" s="88">
        <f t="shared" si="6"/>
        <v>2980000</v>
      </c>
      <c r="T48" s="88">
        <f t="shared" si="6"/>
        <v>3500000</v>
      </c>
      <c r="U48" s="88">
        <f t="shared" si="6"/>
        <v>35331300</v>
      </c>
      <c r="V48" s="88">
        <f t="shared" si="6"/>
        <v>17400000</v>
      </c>
      <c r="W48" s="88">
        <f t="shared" si="6"/>
        <v>8820000</v>
      </c>
      <c r="X48" s="88">
        <f t="shared" si="6"/>
        <v>0</v>
      </c>
      <c r="Y48" s="88">
        <f t="shared" si="6"/>
        <v>0</v>
      </c>
      <c r="Z48" s="88">
        <f t="shared" si="6"/>
        <v>9111300</v>
      </c>
      <c r="AA48" s="410"/>
      <c r="AB48" s="725"/>
      <c r="AC48" s="428"/>
      <c r="AD48" s="428"/>
      <c r="AE48" s="434"/>
      <c r="AF48" s="308"/>
      <c r="AG48" s="437"/>
      <c r="AH48" s="438"/>
      <c r="AI48" s="308"/>
      <c r="AJ48" s="309"/>
      <c r="AK48" s="309"/>
      <c r="AL48" s="309"/>
      <c r="AM48" s="309"/>
      <c r="AN48" s="308"/>
    </row>
    <row r="49" spans="1:40" s="5" customFormat="1" ht="27.6">
      <c r="A49" s="3">
        <f>A47+1</f>
        <v>39</v>
      </c>
      <c r="B49" s="706">
        <f>'תקציב אגף ת.ב.ל 2020 '!B26</f>
        <v>1853</v>
      </c>
      <c r="C49" s="87" t="str">
        <f>'תקציב אגף ת.ב.ל 2020 '!C26</f>
        <v>שיפוצים שונים מתנ"ס יד התשעה</v>
      </c>
      <c r="D49" s="4">
        <f>'תקציב אגף ת.ב.ל 2020 '!D26</f>
        <v>410000</v>
      </c>
      <c r="E49" s="4">
        <f>'תקציב אגף ת.ב.ל 2020 '!E26</f>
        <v>410000</v>
      </c>
      <c r="F49" s="4">
        <f>'תקציב אגף ת.ב.ל 2020 '!F26</f>
        <v>0</v>
      </c>
      <c r="G49" s="4">
        <f>'תקציב אגף ת.ב.ל 2020 '!G26</f>
        <v>410000</v>
      </c>
      <c r="H49" s="4">
        <f>'תקציב אגף ת.ב.ל 2020 '!H26</f>
        <v>138353.79999999999</v>
      </c>
      <c r="I49" s="4">
        <f>'תקציב אגף ת.ב.ל 2020 '!I26</f>
        <v>5148</v>
      </c>
      <c r="J49" s="4">
        <f>'תקציב אגף ת.ב.ל 2020 '!J26</f>
        <v>173326.7</v>
      </c>
      <c r="K49" s="4">
        <f>'תקציב אגף ת.ב.ל 2020 '!K26</f>
        <v>178474.7</v>
      </c>
      <c r="L49" s="4">
        <f>'תקציב אגף ת.ב.ל 2020 '!L26</f>
        <v>316828.5</v>
      </c>
      <c r="M49" s="4">
        <f>'תקציב אגף ת.ב.ל 2020 '!M26</f>
        <v>93171.5</v>
      </c>
      <c r="N49" s="4">
        <f>'תקציב אגף ת.ב.ל 2020 '!N26</f>
        <v>0</v>
      </c>
      <c r="O49" s="4">
        <f>'תקציב אגף ת.ב.ל 2020 '!O26</f>
        <v>0</v>
      </c>
      <c r="P49" s="4">
        <f>'תקציב אגף ת.ב.ל 2020 '!P26</f>
        <v>93171.5</v>
      </c>
      <c r="Q49" s="4">
        <f>'תקציב אגף ת.ב.ל 2020 '!Q26</f>
        <v>0</v>
      </c>
      <c r="R49" s="4">
        <f>'תקציב אגף ת.ב.ל 2020 '!R26</f>
        <v>0</v>
      </c>
      <c r="S49" s="4">
        <f>'תקציב אגף ת.ב.ל 2020 '!S26</f>
        <v>0</v>
      </c>
      <c r="T49" s="4">
        <f>'תקציב אגף ת.ב.ל 2020 '!T26</f>
        <v>0</v>
      </c>
      <c r="U49" s="4">
        <f>'תקציב אגף ת.ב.ל 2020 '!U26</f>
        <v>0</v>
      </c>
      <c r="V49" s="4">
        <f>'תקציב אגף ת.ב.ל 2020 '!V26</f>
        <v>0</v>
      </c>
      <c r="W49" s="4">
        <f>'תקציב אגף ת.ב.ל 2020 '!W26</f>
        <v>0</v>
      </c>
      <c r="X49" s="4">
        <f>'תקציב אגף ת.ב.ל 2020 '!X26</f>
        <v>0</v>
      </c>
      <c r="Y49" s="4">
        <f>'תקציב אגף ת.ב.ל 2020 '!Y26</f>
        <v>0</v>
      </c>
      <c r="Z49" s="4">
        <f>'תקציב אגף ת.ב.ל 2020 '!Z26</f>
        <v>0</v>
      </c>
      <c r="AA49" s="87" t="str">
        <f>'תקציב אגף ת.ב.ל 2020 '!AA26</f>
        <v>עבודות השלמת קירוי הפטיו במתנ"ס.</v>
      </c>
      <c r="AB49" s="706">
        <f>'תקציב אגף ת.ב.ל 2020 '!AB26</f>
        <v>824000</v>
      </c>
      <c r="AC49" s="191"/>
      <c r="AD49" s="191"/>
      <c r="AE49" s="31"/>
      <c r="AF49" s="28"/>
      <c r="AG49" s="358"/>
      <c r="AH49" s="359"/>
      <c r="AI49" s="360"/>
      <c r="AJ49" s="29"/>
      <c r="AK49" s="29"/>
      <c r="AL49" s="29"/>
      <c r="AM49" s="29"/>
      <c r="AN49" s="28"/>
    </row>
    <row r="50" spans="1:40" s="5" customFormat="1" ht="41.4">
      <c r="A50" s="3">
        <f>A49+1</f>
        <v>40</v>
      </c>
      <c r="B50" s="706">
        <f>'תקציב אגף ת.ב.ל 2020 '!B32</f>
        <v>1933</v>
      </c>
      <c r="C50" s="87" t="str">
        <f>'תקציב אגף ת.ב.ל 2020 '!C32</f>
        <v>שיפוצים ובטיחות אש מוזיאון</v>
      </c>
      <c r="D50" s="4">
        <f>'תקציב אגף ת.ב.ל 2020 '!D32</f>
        <v>1420000</v>
      </c>
      <c r="E50" s="4">
        <f>'תקציב אגף ת.ב.ל 2020 '!E32</f>
        <v>1420000</v>
      </c>
      <c r="F50" s="4">
        <f>'תקציב אגף ת.ב.ל 2020 '!F32</f>
        <v>0</v>
      </c>
      <c r="G50" s="4">
        <f>'תקציב אגף ת.ב.ל 2020 '!G32</f>
        <v>1420000</v>
      </c>
      <c r="H50" s="4">
        <f>'תקציב אגף ת.ב.ל 2020 '!H32</f>
        <v>176058</v>
      </c>
      <c r="I50" s="4">
        <f>'תקציב אגף ת.ב.ל 2020 '!I32</f>
        <v>0</v>
      </c>
      <c r="J50" s="4">
        <f>'תקציב אגף ת.ב.ל 2020 '!J32</f>
        <v>895264.37</v>
      </c>
      <c r="K50" s="4">
        <f>'תקציב אגף ת.ב.ל 2020 '!K32</f>
        <v>895264.37</v>
      </c>
      <c r="L50" s="4">
        <f>'תקציב אגף ת.ב.ל 2020 '!L32</f>
        <v>1071322.3700000001</v>
      </c>
      <c r="M50" s="4">
        <f>'תקציב אגף ת.ב.ל 2020 '!M32</f>
        <v>348677.62999999989</v>
      </c>
      <c r="N50" s="4">
        <f>'תקציב אגף ת.ב.ל 2020 '!N32</f>
        <v>0</v>
      </c>
      <c r="O50" s="4">
        <f>'תקציב אגף ת.ב.ל 2020 '!O32</f>
        <v>0</v>
      </c>
      <c r="P50" s="4">
        <f>'תקציב אגף ת.ב.ל 2020 '!P32</f>
        <v>348677.62999999989</v>
      </c>
      <c r="Q50" s="4">
        <f>'תקציב אגף ת.ב.ל 2020 '!Q32</f>
        <v>0</v>
      </c>
      <c r="R50" s="4">
        <f>'תקציב אגף ת.ב.ל 2020 '!R32</f>
        <v>0</v>
      </c>
      <c r="S50" s="4">
        <f>'תקציב אגף ת.ב.ל 2020 '!S32</f>
        <v>0</v>
      </c>
      <c r="T50" s="4">
        <f>'תקציב אגף ת.ב.ל 2020 '!T32</f>
        <v>0</v>
      </c>
      <c r="U50" s="4">
        <f>'תקציב אגף ת.ב.ל 2020 '!U32</f>
        <v>0</v>
      </c>
      <c r="V50" s="4">
        <f>'תקציב אגף ת.ב.ל 2020 '!V32</f>
        <v>0</v>
      </c>
      <c r="W50" s="4">
        <f>'תקציב אגף ת.ב.ל 2020 '!W32</f>
        <v>0</v>
      </c>
      <c r="X50" s="4">
        <f>'תקציב אגף ת.ב.ל 2020 '!X32</f>
        <v>0</v>
      </c>
      <c r="Y50" s="4">
        <f>'תקציב אגף ת.ב.ל 2020 '!Y32</f>
        <v>0</v>
      </c>
      <c r="Z50" s="4">
        <f>'תקציב אגף ת.ב.ל 2020 '!Z32</f>
        <v>0</v>
      </c>
      <c r="AA50" s="87" t="str">
        <f>'תקציב אגף ת.ב.ל 2020 '!AA32</f>
        <v xml:space="preserve">עבודות במסגרת מערכות כיבוי אש והמשך שדרוג מערכת מיזוג במוזיאון. </v>
      </c>
      <c r="AB50" s="706">
        <f>'תקציב אגף ת.ב.ל 2020 '!AB32</f>
        <v>826000</v>
      </c>
      <c r="AC50" s="191"/>
      <c r="AD50" s="191"/>
      <c r="AE50" s="31"/>
      <c r="AF50" s="28"/>
      <c r="AG50" s="358"/>
      <c r="AH50" s="359"/>
      <c r="AI50" s="28"/>
      <c r="AJ50" s="29"/>
      <c r="AK50" s="29"/>
      <c r="AL50" s="29"/>
      <c r="AM50" s="29"/>
      <c r="AN50" s="28"/>
    </row>
    <row r="51" spans="1:40" s="5" customFormat="1" ht="41.4">
      <c r="A51" s="3">
        <f>A50+1</f>
        <v>41</v>
      </c>
      <c r="B51" s="706">
        <f>'תקציב אגף ת.ב.ל 2020 '!B48</f>
        <v>2068</v>
      </c>
      <c r="C51" s="87" t="str">
        <f>'תקציב אגף ת.ב.ל 2020 '!C48</f>
        <v>התקנת ספרינקלרים אולם ספורט ראשונים</v>
      </c>
      <c r="D51" s="4">
        <f>'תקציב אגף ת.ב.ל 2020 '!D48</f>
        <v>280000</v>
      </c>
      <c r="E51" s="4">
        <f>'תקציב אגף ת.ב.ל 2020 '!E48</f>
        <v>280000</v>
      </c>
      <c r="F51" s="4">
        <f>'תקציב אגף ת.ב.ל 2020 '!F48</f>
        <v>0</v>
      </c>
      <c r="G51" s="4">
        <f>'תקציב אגף ת.ב.ל 2020 '!G48</f>
        <v>280000</v>
      </c>
      <c r="H51" s="4">
        <f>'תקציב אגף ת.ב.ל 2020 '!H48</f>
        <v>261600.54</v>
      </c>
      <c r="I51" s="4">
        <f>'תקציב אגף ת.ב.ל 2020 '!I48</f>
        <v>0</v>
      </c>
      <c r="J51" s="4">
        <f>'תקציב אגף ת.ב.ל 2020 '!J48</f>
        <v>0</v>
      </c>
      <c r="K51" s="4">
        <f>'תקציב אגף ת.ב.ל 2020 '!K48</f>
        <v>0</v>
      </c>
      <c r="L51" s="4">
        <f>'תקציב אגף ת.ב.ל 2020 '!L48</f>
        <v>261600.54</v>
      </c>
      <c r="M51" s="4">
        <f>'תקציב אגף ת.ב.ל 2020 '!M48</f>
        <v>18399.459999999992</v>
      </c>
      <c r="N51" s="4">
        <f>'תקציב אגף ת.ב.ל 2020 '!N48</f>
        <v>0</v>
      </c>
      <c r="O51" s="4">
        <f>'תקציב אגף ת.ב.ל 2020 '!O48</f>
        <v>0</v>
      </c>
      <c r="P51" s="4">
        <f>'תקציב אגף ת.ב.ל 2020 '!P48</f>
        <v>18399.459999999992</v>
      </c>
      <c r="Q51" s="4">
        <f>'תקציב אגף ת.ב.ל 2020 '!Q48</f>
        <v>0</v>
      </c>
      <c r="R51" s="4">
        <f>'תקציב אגף ת.ב.ל 2020 '!R48</f>
        <v>0</v>
      </c>
      <c r="S51" s="4">
        <f>'תקציב אגף ת.ב.ל 2020 '!S48</f>
        <v>0</v>
      </c>
      <c r="T51" s="4">
        <f>'תקציב אגף ת.ב.ל 2020 '!T48</f>
        <v>0</v>
      </c>
      <c r="U51" s="4">
        <f>'תקציב אגף ת.ב.ל 2020 '!U48</f>
        <v>0</v>
      </c>
      <c r="V51" s="4">
        <f>'תקציב אגף ת.ב.ל 2020 '!V48</f>
        <v>0</v>
      </c>
      <c r="W51" s="4">
        <f>'תקציב אגף ת.ב.ל 2020 '!W48</f>
        <v>0</v>
      </c>
      <c r="X51" s="4">
        <f>'תקציב אגף ת.ב.ל 2020 '!X48</f>
        <v>0</v>
      </c>
      <c r="Y51" s="4">
        <f>'תקציב אגף ת.ב.ל 2020 '!Y48</f>
        <v>0</v>
      </c>
      <c r="Z51" s="4">
        <f>'תקציב אגף ת.ב.ל 2020 '!Z48</f>
        <v>0</v>
      </c>
      <c r="AA51" s="87" t="str">
        <f>'תקציב אגף ת.ב.ל 2020 '!AA48</f>
        <v>התקנת מערכת ספרינקלרים באולם הספורט עפ"י דרישות רשות כיבוי אש.</v>
      </c>
      <c r="AB51" s="706">
        <f>'תקציב אגף ת.ב.ל 2020 '!AB48</f>
        <v>829000</v>
      </c>
      <c r="AC51" s="191"/>
      <c r="AD51" s="191"/>
      <c r="AE51" s="31"/>
      <c r="AF51" s="28"/>
      <c r="AG51" s="358"/>
      <c r="AH51" s="359"/>
      <c r="AI51" s="28"/>
      <c r="AJ51" s="29"/>
      <c r="AK51" s="29"/>
      <c r="AL51" s="29"/>
      <c r="AM51" s="29"/>
      <c r="AN51" s="28"/>
    </row>
    <row r="52" spans="1:40" s="5" customFormat="1" ht="27.6">
      <c r="A52" s="3">
        <f>A51+1</f>
        <v>42</v>
      </c>
      <c r="B52" s="706">
        <f>'תקציב אגף ת.ב.ל 2020 '!B58</f>
        <v>2134</v>
      </c>
      <c r="C52" s="87" t="str">
        <f>'תקציב אגף ת.ב.ל 2020 '!C58</f>
        <v>שיפוץ אולם ספורט נווה ישראל</v>
      </c>
      <c r="D52" s="4">
        <f>'תקציב אגף ת.ב.ל 2020 '!D58</f>
        <v>494000</v>
      </c>
      <c r="E52" s="4">
        <f>'תקציב אגף ת.ב.ל 2020 '!E58</f>
        <v>494000</v>
      </c>
      <c r="F52" s="4">
        <f>'תקציב אגף ת.ב.ל 2020 '!F58</f>
        <v>0</v>
      </c>
      <c r="G52" s="4">
        <f>'תקציב אגף ת.ב.ל 2020 '!G58</f>
        <v>494000</v>
      </c>
      <c r="H52" s="4">
        <f>'תקציב אגף ת.ב.ל 2020 '!H58</f>
        <v>0</v>
      </c>
      <c r="I52" s="4">
        <f>'תקציב אגף ת.ב.ל 2020 '!I58</f>
        <v>0</v>
      </c>
      <c r="J52" s="4">
        <f>'תקציב אגף ת.ב.ל 2020 '!J58</f>
        <v>0</v>
      </c>
      <c r="K52" s="4">
        <f>'תקציב אגף ת.ב.ל 2020 '!K58</f>
        <v>0</v>
      </c>
      <c r="L52" s="4">
        <f>'תקציב אגף ת.ב.ל 2020 '!L58</f>
        <v>0</v>
      </c>
      <c r="M52" s="4">
        <f>'תקציב אגף ת.ב.ל 2020 '!M58</f>
        <v>494000</v>
      </c>
      <c r="N52" s="4">
        <f>'תקציב אגף ת.ב.ל 2020 '!N58</f>
        <v>0</v>
      </c>
      <c r="O52" s="4">
        <f>'תקציב אגף ת.ב.ל 2020 '!O58</f>
        <v>0</v>
      </c>
      <c r="P52" s="4">
        <f>'תקציב אגף ת.ב.ל 2020 '!P58</f>
        <v>494000</v>
      </c>
      <c r="Q52" s="4">
        <f>'תקציב אגף ת.ב.ל 2020 '!Q58</f>
        <v>0</v>
      </c>
      <c r="R52" s="4">
        <f>'תקציב אגף ת.ב.ל 2020 '!R58</f>
        <v>0</v>
      </c>
      <c r="S52" s="4">
        <f>'תקציב אגף ת.ב.ל 2020 '!S58</f>
        <v>0</v>
      </c>
      <c r="T52" s="4">
        <f>'תקציב אגף ת.ב.ל 2020 '!T58</f>
        <v>0</v>
      </c>
      <c r="U52" s="4">
        <f>'תקציב אגף ת.ב.ל 2020 '!U58</f>
        <v>0</v>
      </c>
      <c r="V52" s="4">
        <f>'תקציב אגף ת.ב.ל 2020 '!V58</f>
        <v>0</v>
      </c>
      <c r="W52" s="4">
        <f>'תקציב אגף ת.ב.ל 2020 '!W58</f>
        <v>0</v>
      </c>
      <c r="X52" s="4">
        <f>'תקציב אגף ת.ב.ל 2020 '!X58</f>
        <v>0</v>
      </c>
      <c r="Y52" s="4">
        <f>'תקציב אגף ת.ב.ל 2020 '!Y58</f>
        <v>0</v>
      </c>
      <c r="Z52" s="4">
        <f>'תקציב אגף ת.ב.ל 2020 '!Z58</f>
        <v>0</v>
      </c>
      <c r="AA52" s="87" t="str">
        <f>'תקציב אגף ת.ב.ל 2020 '!AA58</f>
        <v>עבודות שיפוץ האולם כולל הצטיידות.</v>
      </c>
      <c r="AB52" s="706">
        <f>'תקציב אגף ת.ב.ל 2020 '!AB58</f>
        <v>829000</v>
      </c>
      <c r="AC52" s="191"/>
      <c r="AD52" s="191"/>
      <c r="AE52" s="31"/>
      <c r="AF52" s="351"/>
      <c r="AG52" s="351"/>
      <c r="AH52" s="352"/>
      <c r="AI52" s="357"/>
      <c r="AJ52" s="29"/>
      <c r="AK52" s="29"/>
      <c r="AL52" s="29"/>
      <c r="AM52" s="29"/>
      <c r="AN52" s="28"/>
    </row>
    <row r="53" spans="1:40" s="5" customFormat="1">
      <c r="A53" s="3"/>
      <c r="B53" s="775"/>
      <c r="C53" s="32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87"/>
      <c r="AB53" s="706"/>
      <c r="AC53" s="6"/>
      <c r="AD53" s="6"/>
    </row>
    <row r="54" spans="1:40" s="84" customFormat="1">
      <c r="A54" s="41"/>
      <c r="B54" s="725"/>
      <c r="C54" s="705" t="s">
        <v>695</v>
      </c>
      <c r="D54" s="88">
        <f>SUM(D49:D53)</f>
        <v>2604000</v>
      </c>
      <c r="E54" s="88">
        <f t="shared" ref="E54:Z54" si="7">SUM(E49:E53)</f>
        <v>2604000</v>
      </c>
      <c r="F54" s="88">
        <f t="shared" si="7"/>
        <v>0</v>
      </c>
      <c r="G54" s="88">
        <f t="shared" si="7"/>
        <v>2604000</v>
      </c>
      <c r="H54" s="88">
        <f t="shared" si="7"/>
        <v>576012.34</v>
      </c>
      <c r="I54" s="88">
        <f t="shared" si="7"/>
        <v>5148</v>
      </c>
      <c r="J54" s="88">
        <f t="shared" si="7"/>
        <v>1068591.07</v>
      </c>
      <c r="K54" s="88">
        <f t="shared" si="7"/>
        <v>1073739.07</v>
      </c>
      <c r="L54" s="88">
        <f t="shared" si="7"/>
        <v>1649751.4100000001</v>
      </c>
      <c r="M54" s="88">
        <f t="shared" si="7"/>
        <v>954248.58999999985</v>
      </c>
      <c r="N54" s="88">
        <f t="shared" si="7"/>
        <v>0</v>
      </c>
      <c r="O54" s="88">
        <f t="shared" si="7"/>
        <v>0</v>
      </c>
      <c r="P54" s="88">
        <f t="shared" si="7"/>
        <v>954248.58999999985</v>
      </c>
      <c r="Q54" s="88">
        <f t="shared" si="7"/>
        <v>0</v>
      </c>
      <c r="R54" s="88">
        <f t="shared" si="7"/>
        <v>0</v>
      </c>
      <c r="S54" s="88">
        <f t="shared" si="7"/>
        <v>0</v>
      </c>
      <c r="T54" s="88">
        <f t="shared" si="7"/>
        <v>0</v>
      </c>
      <c r="U54" s="88">
        <f t="shared" si="7"/>
        <v>0</v>
      </c>
      <c r="V54" s="88">
        <f t="shared" si="7"/>
        <v>0</v>
      </c>
      <c r="W54" s="88">
        <f t="shared" si="7"/>
        <v>0</v>
      </c>
      <c r="X54" s="88">
        <f t="shared" si="7"/>
        <v>0</v>
      </c>
      <c r="Y54" s="88">
        <f t="shared" si="7"/>
        <v>0</v>
      </c>
      <c r="Z54" s="88">
        <f t="shared" si="7"/>
        <v>0</v>
      </c>
      <c r="AA54" s="410"/>
      <c r="AB54" s="725"/>
    </row>
    <row r="55" spans="1:40" s="636" customFormat="1" ht="27.6">
      <c r="A55" s="3">
        <f>A52+1</f>
        <v>43</v>
      </c>
      <c r="B55" s="706">
        <f>'תקציב אגף ת.ב.ל 2020 '!B54</f>
        <v>2129</v>
      </c>
      <c r="C55" s="87" t="str">
        <f>'תקציב אגף ת.ב.ל 2020 '!C54</f>
        <v>שיפוצים מוס.רווחה</v>
      </c>
      <c r="D55" s="4">
        <f>'תקציב אגף ת.ב.ל 2020 '!D54</f>
        <v>624000</v>
      </c>
      <c r="E55" s="4">
        <f>'תקציב אגף ת.ב.ל 2020 '!E54</f>
        <v>624000</v>
      </c>
      <c r="F55" s="4">
        <f>'תקציב אגף ת.ב.ל 2020 '!F54</f>
        <v>0</v>
      </c>
      <c r="G55" s="4">
        <f>'תקציב אגף ת.ב.ל 2020 '!G54</f>
        <v>624000</v>
      </c>
      <c r="H55" s="4">
        <f>'תקציב אגף ת.ב.ל 2020 '!H54</f>
        <v>0</v>
      </c>
      <c r="I55" s="4">
        <f>'תקציב אגף ת.ב.ל 2020 '!I54</f>
        <v>0</v>
      </c>
      <c r="J55" s="4">
        <f>'תקציב אגף ת.ב.ל 2020 '!J54</f>
        <v>486170.87</v>
      </c>
      <c r="K55" s="4">
        <f>'תקציב אגף ת.ב.ל 2020 '!K54</f>
        <v>486170.87</v>
      </c>
      <c r="L55" s="4">
        <f>'תקציב אגף ת.ב.ל 2020 '!L54</f>
        <v>486170.87</v>
      </c>
      <c r="M55" s="4">
        <f>'תקציב אגף ת.ב.ל 2020 '!M54</f>
        <v>137829.13</v>
      </c>
      <c r="N55" s="4">
        <f>'תקציב אגף ת.ב.ל 2020 '!N54</f>
        <v>0</v>
      </c>
      <c r="O55" s="4">
        <f>'תקציב אגף ת.ב.ל 2020 '!O54</f>
        <v>0</v>
      </c>
      <c r="P55" s="4">
        <f>'תקציב אגף ת.ב.ל 2020 '!P54</f>
        <v>137829.13</v>
      </c>
      <c r="Q55" s="4">
        <f>'תקציב אגף ת.ב.ל 2020 '!Q54</f>
        <v>0</v>
      </c>
      <c r="R55" s="4">
        <f>'תקציב אגף ת.ב.ל 2020 '!R54</f>
        <v>0</v>
      </c>
      <c r="S55" s="4">
        <f>'תקציב אגף ת.ב.ל 2020 '!S54</f>
        <v>0</v>
      </c>
      <c r="T55" s="4">
        <f>'תקציב אגף ת.ב.ל 2020 '!T54</f>
        <v>0</v>
      </c>
      <c r="U55" s="4">
        <f>'תקציב אגף ת.ב.ל 2020 '!U54</f>
        <v>0</v>
      </c>
      <c r="V55" s="4">
        <f>'תקציב אגף ת.ב.ל 2020 '!V54</f>
        <v>0</v>
      </c>
      <c r="W55" s="4">
        <f>'תקציב אגף ת.ב.ל 2020 '!W54</f>
        <v>0</v>
      </c>
      <c r="X55" s="4">
        <f>'תקציב אגף ת.ב.ל 2020 '!X54</f>
        <v>0</v>
      </c>
      <c r="Y55" s="4">
        <f>'תקציב אגף ת.ב.ל 2020 '!Y54</f>
        <v>0</v>
      </c>
      <c r="Z55" s="4">
        <f>'תקציב אגף ת.ב.ל 2020 '!Z54</f>
        <v>0</v>
      </c>
      <c r="AA55" s="87" t="str">
        <f>'תקציב אגף ת.ב.ל 2020 '!AA54</f>
        <v>מרכז שלום המשפחה בהסתדרות 4 , נתיבים להורות בויצמן 19.</v>
      </c>
      <c r="AB55" s="706">
        <f>'תקציב אגף ת.ב.ל 2020 '!AB54</f>
        <v>840000</v>
      </c>
      <c r="AC55" s="191"/>
      <c r="AD55" s="191"/>
      <c r="AE55" s="31"/>
      <c r="AF55" s="28"/>
      <c r="AG55" s="358"/>
      <c r="AH55" s="359"/>
      <c r="AI55" s="28"/>
      <c r="AJ55" s="29"/>
      <c r="AK55" s="29"/>
      <c r="AL55" s="29"/>
      <c r="AM55" s="29"/>
      <c r="AN55" s="28"/>
    </row>
    <row r="56" spans="1:40" s="661" customFormat="1">
      <c r="A56" s="41"/>
      <c r="B56" s="725"/>
      <c r="C56" s="705" t="s">
        <v>702</v>
      </c>
      <c r="D56" s="88">
        <f>SUM(D55)</f>
        <v>624000</v>
      </c>
      <c r="E56" s="88">
        <f t="shared" ref="E56:Z56" si="8">SUM(E55)</f>
        <v>624000</v>
      </c>
      <c r="F56" s="88">
        <f t="shared" si="8"/>
        <v>0</v>
      </c>
      <c r="G56" s="88">
        <f t="shared" si="8"/>
        <v>624000</v>
      </c>
      <c r="H56" s="88">
        <f t="shared" si="8"/>
        <v>0</v>
      </c>
      <c r="I56" s="88">
        <f t="shared" si="8"/>
        <v>0</v>
      </c>
      <c r="J56" s="88">
        <f t="shared" si="8"/>
        <v>486170.87</v>
      </c>
      <c r="K56" s="88">
        <f t="shared" si="8"/>
        <v>486170.87</v>
      </c>
      <c r="L56" s="88">
        <f t="shared" si="8"/>
        <v>486170.87</v>
      </c>
      <c r="M56" s="88">
        <f t="shared" si="8"/>
        <v>137829.13</v>
      </c>
      <c r="N56" s="88">
        <f t="shared" si="8"/>
        <v>0</v>
      </c>
      <c r="O56" s="88">
        <f t="shared" si="8"/>
        <v>0</v>
      </c>
      <c r="P56" s="88">
        <f t="shared" si="8"/>
        <v>137829.13</v>
      </c>
      <c r="Q56" s="88">
        <f t="shared" si="8"/>
        <v>0</v>
      </c>
      <c r="R56" s="88">
        <f t="shared" si="8"/>
        <v>0</v>
      </c>
      <c r="S56" s="88">
        <f t="shared" si="8"/>
        <v>0</v>
      </c>
      <c r="T56" s="88">
        <f t="shared" si="8"/>
        <v>0</v>
      </c>
      <c r="U56" s="88">
        <f t="shared" si="8"/>
        <v>0</v>
      </c>
      <c r="V56" s="88">
        <f t="shared" si="8"/>
        <v>0</v>
      </c>
      <c r="W56" s="88">
        <f t="shared" si="8"/>
        <v>0</v>
      </c>
      <c r="X56" s="88">
        <f t="shared" si="8"/>
        <v>0</v>
      </c>
      <c r="Y56" s="88">
        <f t="shared" si="8"/>
        <v>0</v>
      </c>
      <c r="Z56" s="88">
        <f t="shared" si="8"/>
        <v>0</v>
      </c>
      <c r="AA56" s="410"/>
      <c r="AB56" s="725"/>
      <c r="AC56" s="428"/>
      <c r="AD56" s="428"/>
      <c r="AE56" s="434"/>
      <c r="AF56" s="308"/>
      <c r="AG56" s="437"/>
      <c r="AH56" s="438"/>
      <c r="AI56" s="308"/>
      <c r="AJ56" s="309"/>
      <c r="AK56" s="309"/>
      <c r="AL56" s="309"/>
      <c r="AM56" s="309"/>
      <c r="AN56" s="308"/>
    </row>
    <row r="57" spans="1:40" s="5" customFormat="1">
      <c r="A57" s="3">
        <f>A55+1</f>
        <v>44</v>
      </c>
      <c r="B57" s="706">
        <f>'תקציב אגף ת.ב.ל 2020 '!B38</f>
        <v>1968</v>
      </c>
      <c r="C57" s="87" t="str">
        <f>'תקציב אגף ת.ב.ל 2020 '!C38</f>
        <v>שדרוג המרחב הציבורי</v>
      </c>
      <c r="D57" s="4">
        <f>'תקציב אגף ת.ב.ל 2020 '!D38</f>
        <v>1950000</v>
      </c>
      <c r="E57" s="4">
        <f>'תקציב אגף ת.ב.ל 2020 '!E38</f>
        <v>1650000</v>
      </c>
      <c r="F57" s="4">
        <f>'תקציב אגף ת.ב.ל 2020 '!F38</f>
        <v>300000</v>
      </c>
      <c r="G57" s="4">
        <f>'תקציב אגף ת.ב.ל 2020 '!G38</f>
        <v>1650000</v>
      </c>
      <c r="H57" s="4">
        <f>'תקציב אגף ת.ב.ל 2020 '!H38</f>
        <v>1262412.33</v>
      </c>
      <c r="I57" s="4">
        <f>'תקציב אגף ת.ב.ל 2020 '!I38</f>
        <v>0</v>
      </c>
      <c r="J57" s="4">
        <f>'תקציב אגף ת.ב.ל 2020 '!J38</f>
        <v>32638.41</v>
      </c>
      <c r="K57" s="4">
        <f>'תקציב אגף ת.ב.ל 2020 '!K38</f>
        <v>32638.41</v>
      </c>
      <c r="L57" s="4">
        <f>'תקציב אגף ת.ב.ל 2020 '!L38</f>
        <v>1295050.74</v>
      </c>
      <c r="M57" s="4">
        <f>'תקציב אגף ת.ב.ל 2020 '!M38</f>
        <v>354949.26</v>
      </c>
      <c r="N57" s="4">
        <f>'תקציב אגף ת.ב.ל 2020 '!N38</f>
        <v>300000</v>
      </c>
      <c r="O57" s="4">
        <f>'תקציב אגף ת.ב.ל 2020 '!O38</f>
        <v>0</v>
      </c>
      <c r="P57" s="4">
        <f>'תקציב אגף ת.ב.ל 2020 '!P38</f>
        <v>354949.26</v>
      </c>
      <c r="Q57" s="4">
        <f>'תקציב אגף ת.ב.ל 2020 '!Q38</f>
        <v>0</v>
      </c>
      <c r="R57" s="4">
        <f>'תקציב אגף ת.ב.ל 2020 '!R38</f>
        <v>0</v>
      </c>
      <c r="S57" s="4">
        <f>'תקציב אגף ת.ב.ל 2020 '!S38</f>
        <v>0</v>
      </c>
      <c r="T57" s="4">
        <f>'תקציב אגף ת.ב.ל 2020 '!T38</f>
        <v>0</v>
      </c>
      <c r="U57" s="4">
        <f>'תקציב אגף ת.ב.ל 2020 '!U38</f>
        <v>300000</v>
      </c>
      <c r="V57" s="4">
        <f>'תקציב אגף ת.ב.ל 2020 '!V38</f>
        <v>0</v>
      </c>
      <c r="W57" s="4">
        <f>'תקציב אגף ת.ב.ל 2020 '!W38</f>
        <v>300000</v>
      </c>
      <c r="X57" s="4">
        <f>'תקציב אגף ת.ב.ל 2020 '!X38</f>
        <v>0</v>
      </c>
      <c r="Y57" s="4">
        <f>'תקציב אגף ת.ב.ל 2020 '!Y38</f>
        <v>0</v>
      </c>
      <c r="Z57" s="4">
        <f>'תקציב אגף ת.ב.ל 2020 '!Z38</f>
        <v>0</v>
      </c>
      <c r="AA57" s="87" t="str">
        <f>'תקציב אגף ת.ב.ל 2020 '!AA38</f>
        <v>מסגרת עבודות במרחב הציבורי.</v>
      </c>
      <c r="AB57" s="706">
        <f>'תקציב אגף ת.ב.ל 2020 '!AB38</f>
        <v>848500</v>
      </c>
      <c r="AC57" s="191"/>
      <c r="AD57" s="191"/>
      <c r="AE57" s="31"/>
      <c r="AF57" s="28"/>
      <c r="AG57" s="358"/>
      <c r="AH57" s="359"/>
      <c r="AI57" s="360"/>
      <c r="AJ57" s="29"/>
      <c r="AK57" s="29"/>
      <c r="AL57" s="29"/>
      <c r="AM57" s="29"/>
      <c r="AN57" s="28"/>
    </row>
    <row r="58" spans="1:40" s="84" customFormat="1">
      <c r="A58" s="41"/>
      <c r="B58" s="725"/>
      <c r="C58" s="705" t="s">
        <v>723</v>
      </c>
      <c r="D58" s="88">
        <f>SUM(D57)</f>
        <v>1950000</v>
      </c>
      <c r="E58" s="88">
        <f t="shared" ref="E58:Z58" si="9">SUM(E57)</f>
        <v>1650000</v>
      </c>
      <c r="F58" s="88">
        <f t="shared" si="9"/>
        <v>300000</v>
      </c>
      <c r="G58" s="88">
        <f t="shared" si="9"/>
        <v>1650000</v>
      </c>
      <c r="H58" s="88">
        <f t="shared" si="9"/>
        <v>1262412.33</v>
      </c>
      <c r="I58" s="88">
        <f t="shared" si="9"/>
        <v>0</v>
      </c>
      <c r="J58" s="88">
        <f t="shared" si="9"/>
        <v>32638.41</v>
      </c>
      <c r="K58" s="88">
        <f t="shared" si="9"/>
        <v>32638.41</v>
      </c>
      <c r="L58" s="88">
        <f t="shared" si="9"/>
        <v>1295050.74</v>
      </c>
      <c r="M58" s="88">
        <f t="shared" si="9"/>
        <v>354949.26</v>
      </c>
      <c r="N58" s="88">
        <f t="shared" si="9"/>
        <v>300000</v>
      </c>
      <c r="O58" s="88">
        <f t="shared" si="9"/>
        <v>0</v>
      </c>
      <c r="P58" s="88">
        <f t="shared" si="9"/>
        <v>354949.26</v>
      </c>
      <c r="Q58" s="88">
        <f t="shared" si="9"/>
        <v>0</v>
      </c>
      <c r="R58" s="88">
        <f t="shared" si="9"/>
        <v>0</v>
      </c>
      <c r="S58" s="88">
        <f t="shared" si="9"/>
        <v>0</v>
      </c>
      <c r="T58" s="88">
        <f t="shared" si="9"/>
        <v>0</v>
      </c>
      <c r="U58" s="88">
        <f t="shared" si="9"/>
        <v>300000</v>
      </c>
      <c r="V58" s="88">
        <f t="shared" si="9"/>
        <v>0</v>
      </c>
      <c r="W58" s="88">
        <f t="shared" si="9"/>
        <v>300000</v>
      </c>
      <c r="X58" s="88">
        <f t="shared" si="9"/>
        <v>0</v>
      </c>
      <c r="Y58" s="88">
        <f t="shared" si="9"/>
        <v>0</v>
      </c>
      <c r="Z58" s="88">
        <f t="shared" si="9"/>
        <v>0</v>
      </c>
      <c r="AA58" s="410"/>
      <c r="AB58" s="725"/>
      <c r="AC58" s="428"/>
      <c r="AD58" s="428"/>
      <c r="AE58" s="434"/>
      <c r="AF58" s="308"/>
      <c r="AG58" s="437"/>
      <c r="AH58" s="438"/>
      <c r="AI58" s="308"/>
      <c r="AJ58" s="309"/>
      <c r="AK58" s="309"/>
      <c r="AL58" s="309"/>
      <c r="AM58" s="309"/>
      <c r="AN58" s="308"/>
    </row>
    <row r="59" spans="1:40" s="5" customFormat="1" ht="27.6">
      <c r="A59" s="3">
        <f>A57+1</f>
        <v>45</v>
      </c>
      <c r="B59" s="706">
        <f>'תקציב אגף ת.ב.ל 2020 '!B8</f>
        <v>1253</v>
      </c>
      <c r="C59" s="87" t="str">
        <f>'תקציב אגף ת.ב.ל 2020 '!C8</f>
        <v>שיפוץ מבני דת ציבוריים</v>
      </c>
      <c r="D59" s="4">
        <f>'תקציב אגף ת.ב.ל 2020 '!D8</f>
        <v>5200000</v>
      </c>
      <c r="E59" s="4">
        <f>'תקציב אגף ת.ב.ל 2020 '!E8</f>
        <v>4700000</v>
      </c>
      <c r="F59" s="4">
        <f>'תקציב אגף ת.ב.ל 2020 '!F8</f>
        <v>500000</v>
      </c>
      <c r="G59" s="4">
        <f>'תקציב אגף ת.ב.ל 2020 '!G8</f>
        <v>4700000</v>
      </c>
      <c r="H59" s="4">
        <f>'תקציב אגף ת.ב.ל 2020 '!H8</f>
        <v>4220851.32</v>
      </c>
      <c r="I59" s="4">
        <f>'תקציב אגף ת.ב.ל 2020 '!I8</f>
        <v>0</v>
      </c>
      <c r="J59" s="4">
        <f>'תקציב אגף ת.ב.ל 2020 '!J8</f>
        <v>15305.18</v>
      </c>
      <c r="K59" s="4">
        <f>'תקציב אגף ת.ב.ל 2020 '!K8</f>
        <v>15305.18</v>
      </c>
      <c r="L59" s="4">
        <f>'תקציב אגף ת.ב.ל 2020 '!L8</f>
        <v>4236156.5</v>
      </c>
      <c r="M59" s="4">
        <f>'תקציב אגף ת.ב.ל 2020 '!M8</f>
        <v>463843.5</v>
      </c>
      <c r="N59" s="4">
        <f>'תקציב אגף ת.ב.ל 2020 '!N8</f>
        <v>500000</v>
      </c>
      <c r="O59" s="4">
        <f>'תקציב אגף ת.ב.ל 2020 '!O8</f>
        <v>0</v>
      </c>
      <c r="P59" s="4">
        <f>'תקציב אגף ת.ב.ל 2020 '!P8</f>
        <v>463843.5</v>
      </c>
      <c r="Q59" s="4">
        <f>'תקציב אגף ת.ב.ל 2020 '!Q8</f>
        <v>0</v>
      </c>
      <c r="R59" s="4">
        <f>'תקציב אגף ת.ב.ל 2020 '!R8</f>
        <v>0</v>
      </c>
      <c r="S59" s="4">
        <f>'תקציב אגף ת.ב.ל 2020 '!S8</f>
        <v>0</v>
      </c>
      <c r="T59" s="4">
        <f>'תקציב אגף ת.ב.ל 2020 '!T8</f>
        <v>0</v>
      </c>
      <c r="U59" s="4">
        <f>'תקציב אגף ת.ב.ל 2020 '!U8</f>
        <v>500000</v>
      </c>
      <c r="V59" s="4">
        <f>'תקציב אגף ת.ב.ל 2020 '!V8</f>
        <v>0</v>
      </c>
      <c r="W59" s="4">
        <f>'תקציב אגף ת.ב.ל 2020 '!W8</f>
        <v>500000</v>
      </c>
      <c r="X59" s="4">
        <f>'תקציב אגף ת.ב.ל 2020 '!X8</f>
        <v>0</v>
      </c>
      <c r="Y59" s="4">
        <f>'תקציב אגף ת.ב.ל 2020 '!Y8</f>
        <v>0</v>
      </c>
      <c r="Z59" s="4">
        <f>'תקציב אגף ת.ב.ל 2020 '!Z8</f>
        <v>0</v>
      </c>
      <c r="AA59" s="87" t="str">
        <f>'תקציב אגף ת.ב.ל 2020 '!AA8</f>
        <v>סל לשיפוץ בתי כנסת ע"פ תוכנית שתוגש במהלך השנה.</v>
      </c>
      <c r="AB59" s="706">
        <f>'תקציב אגף ת.ב.ל 2020 '!AB8</f>
        <v>850000</v>
      </c>
      <c r="AC59" s="191"/>
      <c r="AD59" s="191"/>
      <c r="AE59" s="31"/>
      <c r="AF59" s="28"/>
      <c r="AG59" s="358"/>
      <c r="AH59" s="359"/>
      <c r="AI59" s="360"/>
      <c r="AJ59" s="29"/>
      <c r="AK59" s="29"/>
      <c r="AL59" s="29"/>
      <c r="AM59" s="29"/>
      <c r="AN59" s="28"/>
    </row>
    <row r="60" spans="1:40" s="5" customFormat="1">
      <c r="A60" s="3">
        <f>A59+1</f>
        <v>46</v>
      </c>
      <c r="B60" s="706">
        <f>'תקציב אגף ת.ב.ל 2020 '!B21</f>
        <v>1794</v>
      </c>
      <c r="C60" s="87" t="str">
        <f>'תקציב אגף ת.ב.ל 2020 '!C21</f>
        <v>שיפוץ המקווה העירוני</v>
      </c>
      <c r="D60" s="4">
        <f>'תקציב אגף ת.ב.ל 2020 '!D21</f>
        <v>1100000</v>
      </c>
      <c r="E60" s="4">
        <f>'תקציב אגף ת.ב.ל 2020 '!E21</f>
        <v>1100000</v>
      </c>
      <c r="F60" s="4">
        <f>'תקציב אגף ת.ב.ל 2020 '!F21</f>
        <v>0</v>
      </c>
      <c r="G60" s="4">
        <f>'תקציב אגף ת.ב.ל 2020 '!G21</f>
        <v>1100000</v>
      </c>
      <c r="H60" s="4">
        <f>'תקציב אגף ת.ב.ל 2020 '!H21</f>
        <v>949008.68</v>
      </c>
      <c r="I60" s="4">
        <f>'תקציב אגף ת.ב.ל 2020 '!I21</f>
        <v>20093.060000000001</v>
      </c>
      <c r="J60" s="4">
        <f>'תקציב אגף ת.ב.ל 2020 '!J21</f>
        <v>0</v>
      </c>
      <c r="K60" s="4">
        <f>'תקציב אגף ת.ב.ל 2020 '!K21</f>
        <v>20093.060000000001</v>
      </c>
      <c r="L60" s="4">
        <f>'תקציב אגף ת.ב.ל 2020 '!L21</f>
        <v>969101.74000000011</v>
      </c>
      <c r="M60" s="4">
        <f>'תקציב אגף ת.ב.ל 2020 '!M21</f>
        <v>130898.25999999989</v>
      </c>
      <c r="N60" s="4">
        <f>'תקציב אגף ת.ב.ל 2020 '!N21</f>
        <v>0</v>
      </c>
      <c r="O60" s="4">
        <f>'תקציב אגף ת.ב.ל 2020 '!O21</f>
        <v>0</v>
      </c>
      <c r="P60" s="4">
        <f>'תקציב אגף ת.ב.ל 2020 '!P21</f>
        <v>130898.25999999989</v>
      </c>
      <c r="Q60" s="4">
        <f>'תקציב אגף ת.ב.ל 2020 '!Q21</f>
        <v>0</v>
      </c>
      <c r="R60" s="4">
        <f>'תקציב אגף ת.ב.ל 2020 '!R21</f>
        <v>0</v>
      </c>
      <c r="S60" s="4">
        <f>'תקציב אגף ת.ב.ל 2020 '!S21</f>
        <v>0</v>
      </c>
      <c r="T60" s="4">
        <f>'תקציב אגף ת.ב.ל 2020 '!T21</f>
        <v>0</v>
      </c>
      <c r="U60" s="4">
        <f>'תקציב אגף ת.ב.ל 2020 '!U21</f>
        <v>0</v>
      </c>
      <c r="V60" s="4">
        <f>'תקציב אגף ת.ב.ל 2020 '!V21</f>
        <v>0</v>
      </c>
      <c r="W60" s="4">
        <f>'תקציב אגף ת.ב.ל 2020 '!W21</f>
        <v>0</v>
      </c>
      <c r="X60" s="4">
        <f>'תקציב אגף ת.ב.ל 2020 '!X21</f>
        <v>0</v>
      </c>
      <c r="Y60" s="4">
        <f>'תקציב אגף ת.ב.ל 2020 '!Y21</f>
        <v>0</v>
      </c>
      <c r="Z60" s="4">
        <f>'תקציב אגף ת.ב.ל 2020 '!Z21</f>
        <v>0</v>
      </c>
      <c r="AA60" s="87" t="str">
        <f>'תקציב אגף ת.ב.ל 2020 '!AA21</f>
        <v>עבודות שיקום חזיתות המקווה.</v>
      </c>
      <c r="AB60" s="706">
        <f>'תקציב אגף ת.ב.ל 2020 '!AB21</f>
        <v>850000</v>
      </c>
      <c r="AC60" s="191"/>
      <c r="AD60" s="191"/>
      <c r="AE60" s="31"/>
      <c r="AF60" s="28"/>
      <c r="AG60" s="358"/>
      <c r="AH60" s="359"/>
      <c r="AI60" s="360"/>
      <c r="AJ60" s="29"/>
      <c r="AK60" s="29"/>
      <c r="AL60" s="29"/>
      <c r="AM60" s="29"/>
      <c r="AN60" s="28"/>
    </row>
    <row r="61" spans="1:40" s="5" customFormat="1">
      <c r="A61" s="3">
        <f>A60+1</f>
        <v>47</v>
      </c>
      <c r="B61" s="706">
        <f>'תקציב אגף ת.ב.ל 2020 '!B31</f>
        <v>1925</v>
      </c>
      <c r="C61" s="87" t="str">
        <f>'תקציב אגף ת.ב.ל 2020 '!C31</f>
        <v>שיפוץ בית הכנסת הגדול</v>
      </c>
      <c r="D61" s="4">
        <f>'תקציב אגף ת.ב.ל 2020 '!D31</f>
        <v>1000000</v>
      </c>
      <c r="E61" s="4">
        <f>'תקציב אגף ת.ב.ל 2020 '!E31</f>
        <v>1000000</v>
      </c>
      <c r="F61" s="4">
        <f>'תקציב אגף ת.ב.ל 2020 '!F31</f>
        <v>0</v>
      </c>
      <c r="G61" s="4">
        <f>'תקציב אגף ת.ב.ל 2020 '!G31</f>
        <v>1000000</v>
      </c>
      <c r="H61" s="4">
        <f>'תקציב אגף ת.ב.ל 2020 '!H31</f>
        <v>901633.83</v>
      </c>
      <c r="I61" s="4">
        <f>'תקציב אגף ת.ב.ל 2020 '!I31</f>
        <v>0</v>
      </c>
      <c r="J61" s="4">
        <f>'תקציב אגף ת.ב.ל 2020 '!J31</f>
        <v>19562.400000000001</v>
      </c>
      <c r="K61" s="4">
        <f>'תקציב אגף ת.ב.ל 2020 '!K31</f>
        <v>19562.400000000001</v>
      </c>
      <c r="L61" s="4">
        <f>'תקציב אגף ת.ב.ל 2020 '!L31</f>
        <v>921196.23</v>
      </c>
      <c r="M61" s="4">
        <f>'תקציב אגף ת.ב.ל 2020 '!M31</f>
        <v>78803.770000000019</v>
      </c>
      <c r="N61" s="4">
        <f>'תקציב אגף ת.ב.ל 2020 '!N31</f>
        <v>0</v>
      </c>
      <c r="O61" s="4">
        <f>'תקציב אגף ת.ב.ל 2020 '!O31</f>
        <v>0</v>
      </c>
      <c r="P61" s="4">
        <f>'תקציב אגף ת.ב.ל 2020 '!P31</f>
        <v>78803.770000000019</v>
      </c>
      <c r="Q61" s="4">
        <f>'תקציב אגף ת.ב.ל 2020 '!Q31</f>
        <v>0</v>
      </c>
      <c r="R61" s="4">
        <f>'תקציב אגף ת.ב.ל 2020 '!R31</f>
        <v>0</v>
      </c>
      <c r="S61" s="4">
        <f>'תקציב אגף ת.ב.ל 2020 '!S31</f>
        <v>0</v>
      </c>
      <c r="T61" s="4">
        <f>'תקציב אגף ת.ב.ל 2020 '!T31</f>
        <v>0</v>
      </c>
      <c r="U61" s="4">
        <f>'תקציב אגף ת.ב.ל 2020 '!U31</f>
        <v>0</v>
      </c>
      <c r="V61" s="4">
        <f>'תקציב אגף ת.ב.ל 2020 '!V31</f>
        <v>0</v>
      </c>
      <c r="W61" s="4">
        <f>'תקציב אגף ת.ב.ל 2020 '!W31</f>
        <v>0</v>
      </c>
      <c r="X61" s="4">
        <f>'תקציב אגף ת.ב.ל 2020 '!X31</f>
        <v>0</v>
      </c>
      <c r="Y61" s="4">
        <f>'תקציב אגף ת.ב.ל 2020 '!Y31</f>
        <v>0</v>
      </c>
      <c r="Z61" s="4">
        <f>'תקציב אגף ת.ב.ל 2020 '!Z31</f>
        <v>0</v>
      </c>
      <c r="AA61" s="87">
        <f>'תקציב אגף ת.ב.ל 2020 '!AA31</f>
        <v>0</v>
      </c>
      <c r="AB61" s="706">
        <f>'תקציב אגף ת.ב.ל 2020 '!AB31</f>
        <v>850000</v>
      </c>
      <c r="AC61" s="191"/>
      <c r="AD61" s="191"/>
      <c r="AE61" s="31"/>
      <c r="AF61" s="28"/>
      <c r="AG61" s="358"/>
      <c r="AH61" s="359"/>
      <c r="AI61" s="360"/>
      <c r="AJ61" s="29"/>
      <c r="AK61" s="29"/>
      <c r="AL61" s="29"/>
      <c r="AM61" s="29"/>
      <c r="AN61" s="28"/>
    </row>
    <row r="62" spans="1:40" s="5" customFormat="1" ht="55.2">
      <c r="A62" s="3">
        <f>A61+1</f>
        <v>48</v>
      </c>
      <c r="B62" s="706">
        <f>'תקציב אגף ת.ב.ל 2020 '!B35</f>
        <v>1947</v>
      </c>
      <c r="C62" s="87" t="str">
        <f>'תקציב אגף ת.ב.ל 2020 '!C35</f>
        <v xml:space="preserve">פיר מעלית ומעלית בנין המועצה הדתית </v>
      </c>
      <c r="D62" s="4">
        <f>'תקציב אגף ת.ב.ל 2020 '!D35</f>
        <v>2500000</v>
      </c>
      <c r="E62" s="4">
        <f>'תקציב אגף ת.ב.ל 2020 '!E35</f>
        <v>2500000</v>
      </c>
      <c r="F62" s="4">
        <f>'תקציב אגף ת.ב.ל 2020 '!F35</f>
        <v>0</v>
      </c>
      <c r="G62" s="4">
        <f>'תקציב אגף ת.ב.ל 2020 '!G35</f>
        <v>1950000</v>
      </c>
      <c r="H62" s="4">
        <f>'תקציב אגף ת.ב.ל 2020 '!H35</f>
        <v>19880.57</v>
      </c>
      <c r="I62" s="4">
        <f>'תקציב אגף ת.ב.ל 2020 '!I35</f>
        <v>204750</v>
      </c>
      <c r="J62" s="4">
        <f>'תקציב אגף ת.ב.ל 2020 '!J35</f>
        <v>0</v>
      </c>
      <c r="K62" s="4">
        <f>'תקציב אגף ת.ב.ל 2020 '!K35</f>
        <v>204750</v>
      </c>
      <c r="L62" s="4">
        <f>'תקציב אגף ת.ב.ל 2020 '!L35</f>
        <v>224630.57</v>
      </c>
      <c r="M62" s="4">
        <f>'תקציב אגף ת.ב.ל 2020 '!M35</f>
        <v>1725369.43</v>
      </c>
      <c r="N62" s="4">
        <f>'תקציב אגף ת.ב.ל 2020 '!N35</f>
        <v>550000</v>
      </c>
      <c r="O62" s="4">
        <f>'תקציב אגף ת.ב.ל 2020 '!O35</f>
        <v>0</v>
      </c>
      <c r="P62" s="4">
        <f>'תקציב אגף ת.ב.ל 2020 '!P35</f>
        <v>1725369.43</v>
      </c>
      <c r="Q62" s="4">
        <f>'תקציב אגף ת.ב.ל 2020 '!Q35</f>
        <v>0</v>
      </c>
      <c r="R62" s="4">
        <f>'תקציב אגף ת.ב.ל 2020 '!R35</f>
        <v>0</v>
      </c>
      <c r="S62" s="4">
        <f>'תקציב אגף ת.ב.ל 2020 '!S35</f>
        <v>0</v>
      </c>
      <c r="T62" s="4">
        <f>'תקציב אגף ת.ב.ל 2020 '!T35</f>
        <v>0</v>
      </c>
      <c r="U62" s="4">
        <f>'תקציב אגף ת.ב.ל 2020 '!U35</f>
        <v>550000</v>
      </c>
      <c r="V62" s="4">
        <f>'תקציב אגף ת.ב.ל 2020 '!V35</f>
        <v>550000</v>
      </c>
      <c r="W62" s="4">
        <f>'תקציב אגף ת.ב.ל 2020 '!W35</f>
        <v>0</v>
      </c>
      <c r="X62" s="4">
        <f>'תקציב אגף ת.ב.ל 2020 '!X35</f>
        <v>0</v>
      </c>
      <c r="Y62" s="4">
        <f>'תקציב אגף ת.ב.ל 2020 '!Y35</f>
        <v>0</v>
      </c>
      <c r="Z62" s="4">
        <f>'תקציב אגף ת.ב.ל 2020 '!Z35</f>
        <v>0</v>
      </c>
      <c r="AA62" s="87" t="str">
        <f>'תקציב אגף ת.ב.ל 2020 '!AA35</f>
        <v>בנית פיר מעלית חיצוני בעקבות ביקורת של יועץ נגישות וקושי הנדסי לבנות את הפיר בתוך המבנה.</v>
      </c>
      <c r="AB62" s="706">
        <f>'תקציב אגף ת.ב.ל 2020 '!AB35</f>
        <v>850000</v>
      </c>
      <c r="AC62" s="191"/>
      <c r="AD62" s="191"/>
      <c r="AE62" s="31"/>
      <c r="AF62" s="28"/>
      <c r="AG62" s="358"/>
      <c r="AH62" s="359"/>
      <c r="AI62" s="360"/>
      <c r="AJ62" s="29"/>
      <c r="AK62" s="29"/>
      <c r="AL62" s="29"/>
      <c r="AM62" s="29"/>
      <c r="AN62" s="28"/>
    </row>
    <row r="63" spans="1:40" s="5" customFormat="1" ht="41.4">
      <c r="A63" s="3">
        <f>A62+1</f>
        <v>49</v>
      </c>
      <c r="B63" s="706">
        <f>'תקציב אגף ת.ב.ל 2020 '!B43</f>
        <v>2029</v>
      </c>
      <c r="C63" s="87" t="str">
        <f>'תקציב אגף ת.ב.ל 2020 '!C43</f>
        <v>שיפוץ אולם אירועים, מרפסת,מדרגות  מועצה דתית</v>
      </c>
      <c r="D63" s="4">
        <f>'תקציב אגף ת.ב.ל 2020 '!D43</f>
        <v>300000</v>
      </c>
      <c r="E63" s="4">
        <f>'תקציב אגף ת.ב.ל 2020 '!E43</f>
        <v>300000</v>
      </c>
      <c r="F63" s="4">
        <f>'תקציב אגף ת.ב.ל 2020 '!F43</f>
        <v>0</v>
      </c>
      <c r="G63" s="4">
        <f>'תקציב אגף ת.ב.ל 2020 '!G43</f>
        <v>300000</v>
      </c>
      <c r="H63" s="4">
        <f>'תקציב אגף ת.ב.ל 2020 '!H43</f>
        <v>0</v>
      </c>
      <c r="I63" s="4">
        <f>'תקציב אגף ת.ב.ל 2020 '!I43</f>
        <v>0</v>
      </c>
      <c r="J63" s="4">
        <f>'תקציב אגף ת.ב.ל 2020 '!J43</f>
        <v>0</v>
      </c>
      <c r="K63" s="4">
        <f>'תקציב אגף ת.ב.ל 2020 '!K43</f>
        <v>0</v>
      </c>
      <c r="L63" s="4">
        <f>'תקציב אגף ת.ב.ל 2020 '!L43</f>
        <v>0</v>
      </c>
      <c r="M63" s="4">
        <f>'תקציב אגף ת.ב.ל 2020 '!M43</f>
        <v>50000</v>
      </c>
      <c r="N63" s="4">
        <f>'תקציב אגף ת.ב.ל 2020 '!N43</f>
        <v>250000</v>
      </c>
      <c r="O63" s="4">
        <f>'תקציב אגף ת.ב.ל 2020 '!O43</f>
        <v>0</v>
      </c>
      <c r="P63" s="4">
        <f>'תקציב אגף ת.ב.ל 2020 '!P43</f>
        <v>300000</v>
      </c>
      <c r="Q63" s="4">
        <f>'תקציב אגף ת.ב.ל 2020 '!Q43</f>
        <v>0</v>
      </c>
      <c r="R63" s="4">
        <f>'תקציב אגף ת.ב.ל 2020 '!R43</f>
        <v>0</v>
      </c>
      <c r="S63" s="4">
        <f>'תקציב אגף ת.ב.ל 2020 '!S43</f>
        <v>0</v>
      </c>
      <c r="T63" s="4">
        <f>'תקציב אגף ת.ב.ל 2020 '!T43</f>
        <v>250000</v>
      </c>
      <c r="U63" s="4">
        <f>'תקציב אגף ת.ב.ל 2020 '!U43</f>
        <v>0</v>
      </c>
      <c r="V63" s="4">
        <f>'תקציב אגף ת.ב.ל 2020 '!V43</f>
        <v>0</v>
      </c>
      <c r="W63" s="4">
        <f>'תקציב אגף ת.ב.ל 2020 '!W43</f>
        <v>0</v>
      </c>
      <c r="X63" s="4">
        <f>'תקציב אגף ת.ב.ל 2020 '!X43</f>
        <v>0</v>
      </c>
      <c r="Y63" s="4">
        <f>'תקציב אגף ת.ב.ל 2020 '!Y43</f>
        <v>0</v>
      </c>
      <c r="Z63" s="4">
        <f>'תקציב אגף ת.ב.ל 2020 '!Z43</f>
        <v>0</v>
      </c>
      <c r="AA63" s="87" t="str">
        <f>'תקציב אגף ת.ב.ל 2020 '!AA43</f>
        <v>עבודות הנגשה כולל מעלית ושיפוץ אולם והכשרת היתר הבניה לכל המבנה. ממתין להיתר.</v>
      </c>
      <c r="AB63" s="706">
        <f>'תקציב אגף ת.ב.ל 2020 '!AB43</f>
        <v>850000</v>
      </c>
      <c r="AC63" s="191"/>
      <c r="AD63" s="191"/>
      <c r="AE63" s="31"/>
      <c r="AF63" s="28"/>
      <c r="AG63" s="358"/>
      <c r="AH63" s="359"/>
      <c r="AI63" s="28"/>
      <c r="AJ63" s="29"/>
      <c r="AK63" s="29"/>
      <c r="AL63" s="29"/>
      <c r="AM63" s="29"/>
      <c r="AN63" s="28"/>
    </row>
    <row r="64" spans="1:40" s="84" customFormat="1">
      <c r="A64" s="41"/>
      <c r="B64" s="725"/>
      <c r="C64" s="705" t="s">
        <v>704</v>
      </c>
      <c r="D64" s="88">
        <f>SUM(D59:D63)</f>
        <v>10100000</v>
      </c>
      <c r="E64" s="88">
        <f t="shared" ref="E64:Z64" si="10">SUM(E59:E63)</f>
        <v>9600000</v>
      </c>
      <c r="F64" s="88">
        <f t="shared" si="10"/>
        <v>500000</v>
      </c>
      <c r="G64" s="88">
        <f t="shared" si="10"/>
        <v>9050000</v>
      </c>
      <c r="H64" s="88">
        <f t="shared" si="10"/>
        <v>6091374.4000000004</v>
      </c>
      <c r="I64" s="88">
        <f t="shared" si="10"/>
        <v>224843.06</v>
      </c>
      <c r="J64" s="88">
        <f t="shared" si="10"/>
        <v>34867.58</v>
      </c>
      <c r="K64" s="88">
        <f t="shared" si="10"/>
        <v>259710.64</v>
      </c>
      <c r="L64" s="88">
        <f t="shared" si="10"/>
        <v>6351085.040000001</v>
      </c>
      <c r="M64" s="88">
        <f t="shared" si="10"/>
        <v>2448914.96</v>
      </c>
      <c r="N64" s="88">
        <f t="shared" si="10"/>
        <v>1300000</v>
      </c>
      <c r="O64" s="88">
        <f t="shared" si="10"/>
        <v>0</v>
      </c>
      <c r="P64" s="88">
        <f t="shared" si="10"/>
        <v>2698914.96</v>
      </c>
      <c r="Q64" s="88">
        <f t="shared" si="10"/>
        <v>0</v>
      </c>
      <c r="R64" s="88">
        <f t="shared" si="10"/>
        <v>0</v>
      </c>
      <c r="S64" s="88">
        <f t="shared" si="10"/>
        <v>0</v>
      </c>
      <c r="T64" s="88">
        <f t="shared" si="10"/>
        <v>250000</v>
      </c>
      <c r="U64" s="88">
        <f t="shared" si="10"/>
        <v>1050000</v>
      </c>
      <c r="V64" s="88">
        <f t="shared" si="10"/>
        <v>550000</v>
      </c>
      <c r="W64" s="88">
        <f t="shared" si="10"/>
        <v>500000</v>
      </c>
      <c r="X64" s="88">
        <f t="shared" si="10"/>
        <v>0</v>
      </c>
      <c r="Y64" s="88">
        <f t="shared" si="10"/>
        <v>0</v>
      </c>
      <c r="Z64" s="88">
        <f t="shared" si="10"/>
        <v>0</v>
      </c>
      <c r="AA64" s="410"/>
      <c r="AB64" s="725"/>
      <c r="AC64" s="428"/>
      <c r="AD64" s="428"/>
      <c r="AE64" s="434"/>
      <c r="AF64" s="308"/>
      <c r="AG64" s="437"/>
      <c r="AH64" s="438"/>
      <c r="AI64" s="308"/>
      <c r="AJ64" s="309"/>
      <c r="AK64" s="309"/>
      <c r="AL64" s="309"/>
      <c r="AM64" s="309"/>
      <c r="AN64" s="308"/>
    </row>
    <row r="65" spans="1:40" s="5" customFormat="1">
      <c r="A65" s="3">
        <f>A63+1</f>
        <v>50</v>
      </c>
      <c r="B65" s="706">
        <f>'תקציב אגף ת.ב.ל 2020 '!B16</f>
        <v>1662</v>
      </c>
      <c r="C65" s="87" t="str">
        <f>'תקציב אגף ת.ב.ל 2020 '!C16</f>
        <v>החלפת תאורה באולמות ספורט</v>
      </c>
      <c r="D65" s="4">
        <f>'תקציב אגף ת.ב.ל 2020 '!D16</f>
        <v>815000</v>
      </c>
      <c r="E65" s="4">
        <f>'תקציב אגף ת.ב.ל 2020 '!E16</f>
        <v>815000</v>
      </c>
      <c r="F65" s="4">
        <f>'תקציב אגף ת.ב.ל 2020 '!F16</f>
        <v>0</v>
      </c>
      <c r="G65" s="4">
        <f>'תקציב אגף ת.ב.ל 2020 '!G16</f>
        <v>815000</v>
      </c>
      <c r="H65" s="4">
        <f>'תקציב אגף ת.ב.ל 2020 '!H16</f>
        <v>271204.53999999998</v>
      </c>
      <c r="I65" s="4">
        <f>'תקציב אגף ת.ב.ל 2020 '!I16</f>
        <v>0</v>
      </c>
      <c r="J65" s="4">
        <f>'תקציב אגף ת.ב.ל 2020 '!J16</f>
        <v>400000</v>
      </c>
      <c r="K65" s="4">
        <f>'תקציב אגף ת.ב.ל 2020 '!K16</f>
        <v>400000</v>
      </c>
      <c r="L65" s="4">
        <f>'תקציב אגף ת.ב.ל 2020 '!L16</f>
        <v>671204.54</v>
      </c>
      <c r="M65" s="4">
        <f>'תקציב אגף ת.ב.ל 2020 '!M16</f>
        <v>143795.45999999996</v>
      </c>
      <c r="N65" s="4">
        <f>'תקציב אגף ת.ב.ל 2020 '!N16</f>
        <v>0</v>
      </c>
      <c r="O65" s="4">
        <f>'תקציב אגף ת.ב.ל 2020 '!O16</f>
        <v>0</v>
      </c>
      <c r="P65" s="4">
        <f>'תקציב אגף ת.ב.ל 2020 '!P16</f>
        <v>143795.45999999996</v>
      </c>
      <c r="Q65" s="4">
        <f>'תקציב אגף ת.ב.ל 2020 '!Q16</f>
        <v>0</v>
      </c>
      <c r="R65" s="4">
        <f>'תקציב אגף ת.ב.ל 2020 '!R16</f>
        <v>0</v>
      </c>
      <c r="S65" s="4">
        <f>'תקציב אגף ת.ב.ל 2020 '!S16</f>
        <v>0</v>
      </c>
      <c r="T65" s="4">
        <f>'תקציב אגף ת.ב.ל 2020 '!T16</f>
        <v>0</v>
      </c>
      <c r="U65" s="4">
        <f>'תקציב אגף ת.ב.ל 2020 '!U16</f>
        <v>0</v>
      </c>
      <c r="V65" s="4">
        <f>'תקציב אגף ת.ב.ל 2020 '!V16</f>
        <v>0</v>
      </c>
      <c r="W65" s="4">
        <f>'תקציב אגף ת.ב.ל 2020 '!W16</f>
        <v>0</v>
      </c>
      <c r="X65" s="4">
        <f>'תקציב אגף ת.ב.ל 2020 '!X16</f>
        <v>0</v>
      </c>
      <c r="Y65" s="4">
        <f>'תקציב אגף ת.ב.ל 2020 '!Y16</f>
        <v>0</v>
      </c>
      <c r="Z65" s="4">
        <f>'תקציב אגף ת.ב.ל 2020 '!Z16</f>
        <v>0</v>
      </c>
      <c r="AA65" s="87">
        <f>'תקציב אגף ת.ב.ל 2020 '!AA16</f>
        <v>0</v>
      </c>
      <c r="AB65" s="706">
        <f>'תקציב אגף ת.ב.ל 2020 '!AB16</f>
        <v>870000</v>
      </c>
      <c r="AC65" s="191"/>
      <c r="AD65" s="191"/>
      <c r="AE65" s="31"/>
      <c r="AF65" s="28"/>
      <c r="AG65" s="358"/>
      <c r="AH65" s="359"/>
      <c r="AI65" s="360"/>
      <c r="AJ65" s="29"/>
      <c r="AK65" s="29"/>
      <c r="AL65" s="29"/>
      <c r="AM65" s="29"/>
      <c r="AN65" s="28"/>
    </row>
    <row r="66" spans="1:40" s="5" customFormat="1" ht="27.6">
      <c r="A66" s="3">
        <f>A65+1</f>
        <v>51</v>
      </c>
      <c r="B66" s="706">
        <f>'תקציב אגף ת.ב.ל 2020 '!B36</f>
        <v>1966</v>
      </c>
      <c r="C66" s="87" t="str">
        <f>'תקציב אגף ת.ב.ל 2020 '!C36</f>
        <v>החלפת צילרים אולמות ספורט נ. ישראל,סמדר ,נוף ים</v>
      </c>
      <c r="D66" s="4">
        <f>'תקציב אגף ת.ב.ל 2020 '!D36</f>
        <v>1700000</v>
      </c>
      <c r="E66" s="4">
        <f>'תקציב אגף ת.ב.ל 2020 '!E36</f>
        <v>1700000</v>
      </c>
      <c r="F66" s="4">
        <f>'תקציב אגף ת.ב.ל 2020 '!F36</f>
        <v>0</v>
      </c>
      <c r="G66" s="4">
        <f>'תקציב אגף ת.ב.ל 2020 '!G36</f>
        <v>1700000</v>
      </c>
      <c r="H66" s="4">
        <f>'תקציב אגף ת.ב.ל 2020 '!H36</f>
        <v>0</v>
      </c>
      <c r="I66" s="4">
        <f>'תקציב אגף ת.ב.ל 2020 '!I36</f>
        <v>0</v>
      </c>
      <c r="J66" s="4">
        <f>'תקציב אגף ת.ב.ל 2020 '!J36</f>
        <v>0</v>
      </c>
      <c r="K66" s="4">
        <f>'תקציב אגף ת.ב.ל 2020 '!K36</f>
        <v>0</v>
      </c>
      <c r="L66" s="4">
        <f>'תקציב אגף ת.ב.ל 2020 '!L36</f>
        <v>0</v>
      </c>
      <c r="M66" s="4">
        <f>'תקציב אגף ת.ב.ל 2020 '!M36</f>
        <v>1700000</v>
      </c>
      <c r="N66" s="4">
        <f>'תקציב אגף ת.ב.ל 2020 '!N36</f>
        <v>0</v>
      </c>
      <c r="O66" s="4">
        <f>'תקציב אגף ת.ב.ל 2020 '!O36</f>
        <v>0</v>
      </c>
      <c r="P66" s="4">
        <f>'תקציב אגף ת.ב.ל 2020 '!P36</f>
        <v>1700000</v>
      </c>
      <c r="Q66" s="4">
        <f>'תקציב אגף ת.ב.ל 2020 '!Q36</f>
        <v>0</v>
      </c>
      <c r="R66" s="4">
        <f>'תקציב אגף ת.ב.ל 2020 '!R36</f>
        <v>0</v>
      </c>
      <c r="S66" s="4">
        <f>'תקציב אגף ת.ב.ל 2020 '!S36</f>
        <v>0</v>
      </c>
      <c r="T66" s="4">
        <f>'תקציב אגף ת.ב.ל 2020 '!T36</f>
        <v>0</v>
      </c>
      <c r="U66" s="4">
        <f>'תקציב אגף ת.ב.ל 2020 '!U36</f>
        <v>0</v>
      </c>
      <c r="V66" s="4">
        <f>'תקציב אגף ת.ב.ל 2020 '!V36</f>
        <v>0</v>
      </c>
      <c r="W66" s="4">
        <f>'תקציב אגף ת.ב.ל 2020 '!W36</f>
        <v>0</v>
      </c>
      <c r="X66" s="4">
        <f>'תקציב אגף ת.ב.ל 2020 '!X36</f>
        <v>0</v>
      </c>
      <c r="Y66" s="4">
        <f>'תקציב אגף ת.ב.ל 2020 '!Y36</f>
        <v>0</v>
      </c>
      <c r="Z66" s="4">
        <f>'תקציב אגף ת.ב.ל 2020 '!Z36</f>
        <v>0</v>
      </c>
      <c r="AA66" s="87" t="str">
        <f>'תקציב אגף ת.ב.ל 2020 '!AA36</f>
        <v>החלפת מערכות צ'לרים באולמות הספורט מימון מ. האנרגיה.</v>
      </c>
      <c r="AB66" s="706">
        <f>'תקציב אגף ת.ב.ל 2020 '!AB36</f>
        <v>870000</v>
      </c>
      <c r="AC66" s="191"/>
      <c r="AD66" s="191"/>
      <c r="AE66" s="31"/>
      <c r="AF66" s="28"/>
      <c r="AG66" s="358"/>
      <c r="AH66" s="359"/>
      <c r="AI66" s="360"/>
      <c r="AJ66" s="29"/>
      <c r="AK66" s="29"/>
      <c r="AL66" s="28"/>
      <c r="AM66" s="28"/>
      <c r="AN66" s="28"/>
    </row>
    <row r="67" spans="1:40" s="5" customFormat="1" ht="41.4">
      <c r="A67" s="3">
        <f>A66+1</f>
        <v>52</v>
      </c>
      <c r="B67" s="706">
        <f>'תקציב אגף ת.ב.ל 2020 '!B55</f>
        <v>2131</v>
      </c>
      <c r="C67" s="87" t="str">
        <f>'תקציב אגף ת.ב.ל 2020 '!C55</f>
        <v>חסכון,התייע' אנרגטית מוסח/ציבור</v>
      </c>
      <c r="D67" s="4">
        <f>'תקציב אגף ת.ב.ל 2020 '!D55</f>
        <v>7500000</v>
      </c>
      <c r="E67" s="4">
        <f>'תקציב אגף ת.ב.ל 2020 '!E55</f>
        <v>7500000</v>
      </c>
      <c r="F67" s="4">
        <f>'תקציב אגף ת.ב.ל 2020 '!F55</f>
        <v>0</v>
      </c>
      <c r="G67" s="4">
        <f>'תקציב אגף ת.ב.ל 2020 '!G55</f>
        <v>4020000</v>
      </c>
      <c r="H67" s="4">
        <f>'תקציב אגף ת.ב.ל 2020 '!H55</f>
        <v>0</v>
      </c>
      <c r="I67" s="4">
        <f>'תקציב אגף ת.ב.ל 2020 '!I55</f>
        <v>0</v>
      </c>
      <c r="J67" s="4">
        <f>'תקציב אגף ת.ב.ל 2020 '!J55</f>
        <v>377402.59</v>
      </c>
      <c r="K67" s="4">
        <f>'תקציב אגף ת.ב.ל 2020 '!K55</f>
        <v>377402.59</v>
      </c>
      <c r="L67" s="4">
        <f>'תקציב אגף ת.ב.ל 2020 '!L55</f>
        <v>377402.59</v>
      </c>
      <c r="M67" s="4">
        <f>'תקציב אגף ת.ב.ל 2020 '!M55</f>
        <v>3642597.41</v>
      </c>
      <c r="N67" s="4">
        <f>'תקציב אגף ת.ב.ל 2020 '!N55</f>
        <v>3480000</v>
      </c>
      <c r="O67" s="4">
        <f>'תקציב אגף ת.ב.ל 2020 '!O55</f>
        <v>0</v>
      </c>
      <c r="P67" s="4">
        <f>'תקציב אגף ת.ב.ל 2020 '!P55</f>
        <v>3642597.41</v>
      </c>
      <c r="Q67" s="4">
        <f>'תקציב אגף ת.ב.ל 2020 '!Q55</f>
        <v>0</v>
      </c>
      <c r="R67" s="4">
        <f>'תקציב אגף ת.ב.ל 2020 '!R55</f>
        <v>0</v>
      </c>
      <c r="S67" s="4">
        <f>'תקציב אגף ת.ב.ל 2020 '!S55</f>
        <v>0</v>
      </c>
      <c r="T67" s="4">
        <f>'תקציב אגף ת.ב.ל 2020 '!T55</f>
        <v>0</v>
      </c>
      <c r="U67" s="4">
        <f>'תקציב אגף ת.ב.ל 2020 '!U55</f>
        <v>3480000</v>
      </c>
      <c r="V67" s="4">
        <f>'תקציב אגף ת.ב.ל 2020 '!V55</f>
        <v>0</v>
      </c>
      <c r="W67" s="4">
        <f>'תקציב אגף ת.ב.ל 2020 '!W55</f>
        <v>3480000</v>
      </c>
      <c r="X67" s="4">
        <f>'תקציב אגף ת.ב.ל 2020 '!X55</f>
        <v>0</v>
      </c>
      <c r="Y67" s="4">
        <f>'תקציב אגף ת.ב.ל 2020 '!Y55</f>
        <v>0</v>
      </c>
      <c r="Z67" s="4">
        <f>'תקציב אגף ת.ב.ל 2020 '!Z55</f>
        <v>0</v>
      </c>
      <c r="AA67" s="87" t="str">
        <f>'תקציב אגף ת.ב.ל 2020 '!AA55</f>
        <v>החלפת מזגנים והחלפת תאורה ללדים במוס"ח. מומן מ. הכלכלה והתעשיה.</v>
      </c>
      <c r="AB67" s="706">
        <f>'תקציב אגף ת.ב.ל 2020 '!AB55</f>
        <v>870000</v>
      </c>
      <c r="AC67" s="191"/>
      <c r="AD67" s="191"/>
      <c r="AE67" s="31"/>
      <c r="AF67" s="351"/>
      <c r="AG67" s="351"/>
      <c r="AH67" s="352"/>
      <c r="AI67" s="357"/>
      <c r="AJ67" s="29"/>
      <c r="AK67" s="29"/>
      <c r="AL67" s="29"/>
      <c r="AM67" s="29"/>
      <c r="AN67" s="28"/>
    </row>
    <row r="68" spans="1:40" s="5" customFormat="1" ht="55.2">
      <c r="A68" s="3">
        <f>A67+1</f>
        <v>53</v>
      </c>
      <c r="B68" s="706">
        <f>'תקציב אגף ת.ב.ל 2020 '!B60</f>
        <v>2154</v>
      </c>
      <c r="C68" s="87" t="str">
        <f>'תקציב אגף ת.ב.ל 2020 '!C60</f>
        <v>חסכון,התייע' אנרגטית מוסח/ציבור 2020</v>
      </c>
      <c r="D68" s="4">
        <f>'תקציב אגף ת.ב.ל 2020 '!D60</f>
        <v>10500000</v>
      </c>
      <c r="E68" s="4">
        <f>'תקציב אגף ת.ב.ל 2020 '!E60</f>
        <v>0</v>
      </c>
      <c r="F68" s="4">
        <f>'תקציב אגף ת.ב.ל 2020 '!F60</f>
        <v>10500000</v>
      </c>
      <c r="G68" s="4">
        <f>'תקציב אגף ת.ב.ל 2020 '!G60</f>
        <v>0</v>
      </c>
      <c r="H68" s="4">
        <f>'תקציב אגף ת.ב.ל 2020 '!H60</f>
        <v>0</v>
      </c>
      <c r="I68" s="4">
        <f>'תקציב אגף ת.ב.ל 2020 '!I60</f>
        <v>0</v>
      </c>
      <c r="J68" s="4">
        <f>'תקציב אגף ת.ב.ל 2020 '!J60</f>
        <v>0</v>
      </c>
      <c r="K68" s="4">
        <f>'תקציב אגף ת.ב.ל 2020 '!K60</f>
        <v>0</v>
      </c>
      <c r="L68" s="4">
        <f>'תקציב אגף ת.ב.ל 2020 '!L60</f>
        <v>0</v>
      </c>
      <c r="M68" s="4">
        <f>'תקציב אגף ת.ב.ל 2020 '!M60</f>
        <v>0</v>
      </c>
      <c r="N68" s="4">
        <f>'תקציב אגף ת.ב.ל 2020 '!N60</f>
        <v>3500000</v>
      </c>
      <c r="O68" s="4">
        <f>'תקציב אגף ת.ב.ל 2020 '!O60</f>
        <v>7000000</v>
      </c>
      <c r="P68" s="4">
        <f>'תקציב אגף ת.ב.ל 2020 '!P60</f>
        <v>0</v>
      </c>
      <c r="Q68" s="4">
        <f>'תקציב אגף ת.ב.ל 2020 '!Q60</f>
        <v>0</v>
      </c>
      <c r="R68" s="4">
        <f>'תקציב אגף ת.ב.ל 2020 '!R60</f>
        <v>0</v>
      </c>
      <c r="S68" s="4">
        <f>'תקציב אגף ת.ב.ל 2020 '!S60</f>
        <v>0</v>
      </c>
      <c r="T68" s="4">
        <f>'תקציב אגף ת.ב.ל 2020 '!T60</f>
        <v>0</v>
      </c>
      <c r="U68" s="4">
        <f>'תקציב אגף ת.ב.ל 2020 '!U60</f>
        <v>3500000</v>
      </c>
      <c r="V68" s="4">
        <f>'תקציב אגף ת.ב.ל 2020 '!V60</f>
        <v>0</v>
      </c>
      <c r="W68" s="4">
        <f>'תקציב אגף ת.ב.ל 2020 '!W60</f>
        <v>1400000</v>
      </c>
      <c r="X68" s="4">
        <f>'תקציב אגף ת.ב.ל 2020 '!X60</f>
        <v>0</v>
      </c>
      <c r="Y68" s="4">
        <f>'תקציב אגף ת.ב.ל 2020 '!Y60</f>
        <v>0</v>
      </c>
      <c r="Z68" s="4">
        <f>'תקציב אגף ת.ב.ל 2020 '!Z60</f>
        <v>2100000</v>
      </c>
      <c r="AA68" s="87" t="str">
        <f>'תקציב אגף ת.ב.ל 2020 '!AA60</f>
        <v>החלפת מזגנים , החלפת תאורה ללדים  ובקרת מבנים במוס"ח ובמוסדות עירוניים. מימון מ. הכלכלה והתעשיה.</v>
      </c>
      <c r="AB68" s="706">
        <f>'תקציב אגף ת.ב.ל 2020 '!AB60</f>
        <v>870000</v>
      </c>
      <c r="AC68" s="6"/>
      <c r="AD68" s="6"/>
    </row>
    <row r="69" spans="1:40" s="84" customFormat="1">
      <c r="A69" s="41"/>
      <c r="B69" s="725"/>
      <c r="C69" s="705" t="s">
        <v>703</v>
      </c>
      <c r="D69" s="88">
        <f>SUM(D65:D68)</f>
        <v>20515000</v>
      </c>
      <c r="E69" s="88">
        <f t="shared" ref="E69:Z69" si="11">SUM(E65:E68)</f>
        <v>10015000</v>
      </c>
      <c r="F69" s="88">
        <f t="shared" si="11"/>
        <v>10500000</v>
      </c>
      <c r="G69" s="88">
        <f t="shared" si="11"/>
        <v>6535000</v>
      </c>
      <c r="H69" s="88">
        <f t="shared" si="11"/>
        <v>271204.53999999998</v>
      </c>
      <c r="I69" s="88">
        <f t="shared" si="11"/>
        <v>0</v>
      </c>
      <c r="J69" s="88">
        <f t="shared" si="11"/>
        <v>777402.59000000008</v>
      </c>
      <c r="K69" s="88">
        <f t="shared" si="11"/>
        <v>777402.59000000008</v>
      </c>
      <c r="L69" s="88">
        <f t="shared" si="11"/>
        <v>1048607.1300000001</v>
      </c>
      <c r="M69" s="88">
        <f t="shared" si="11"/>
        <v>5486392.8700000001</v>
      </c>
      <c r="N69" s="88">
        <f t="shared" si="11"/>
        <v>6980000</v>
      </c>
      <c r="O69" s="88">
        <f t="shared" si="11"/>
        <v>7000000</v>
      </c>
      <c r="P69" s="88">
        <f t="shared" si="11"/>
        <v>5486392.8700000001</v>
      </c>
      <c r="Q69" s="88">
        <f t="shared" si="11"/>
        <v>0</v>
      </c>
      <c r="R69" s="88">
        <f t="shared" si="11"/>
        <v>0</v>
      </c>
      <c r="S69" s="88">
        <f t="shared" si="11"/>
        <v>0</v>
      </c>
      <c r="T69" s="88">
        <f t="shared" si="11"/>
        <v>0</v>
      </c>
      <c r="U69" s="88">
        <f t="shared" si="11"/>
        <v>6980000</v>
      </c>
      <c r="V69" s="88">
        <f t="shared" si="11"/>
        <v>0</v>
      </c>
      <c r="W69" s="88">
        <f t="shared" si="11"/>
        <v>4880000</v>
      </c>
      <c r="X69" s="88">
        <f t="shared" si="11"/>
        <v>0</v>
      </c>
      <c r="Y69" s="88">
        <f t="shared" si="11"/>
        <v>0</v>
      </c>
      <c r="Z69" s="88">
        <f t="shared" si="11"/>
        <v>2100000</v>
      </c>
      <c r="AA69" s="410"/>
      <c r="AB69" s="725"/>
    </row>
    <row r="70" spans="1:40" s="5" customFormat="1" ht="27.6">
      <c r="A70" s="3">
        <f>A68+1</f>
        <v>54</v>
      </c>
      <c r="B70" s="706">
        <f>'תקציב אגף ת.ב.ל 2020 '!B9</f>
        <v>1415</v>
      </c>
      <c r="C70" s="87" t="str">
        <f>'תקציב אגף ת.ב.ל 2020 '!C9</f>
        <v>התקנה שדרוג מזגנים במוסדות העיריה</v>
      </c>
      <c r="D70" s="4">
        <f>'תקציב אגף ת.ב.ל 2020 '!D9</f>
        <v>1200000</v>
      </c>
      <c r="E70" s="4">
        <f>'תקציב אגף ת.ב.ל 2020 '!E9</f>
        <v>1150000</v>
      </c>
      <c r="F70" s="4">
        <f>'תקציב אגף ת.ב.ל 2020 '!F9</f>
        <v>50000</v>
      </c>
      <c r="G70" s="4">
        <f>'תקציב אגף ת.ב.ל 2020 '!G9</f>
        <v>1100000</v>
      </c>
      <c r="H70" s="4">
        <f>'תקציב אגף ת.ב.ל 2020 '!H9</f>
        <v>1020725.93</v>
      </c>
      <c r="I70" s="4">
        <f>'תקציב אגף ת.ב.ל 2020 '!I9</f>
        <v>0</v>
      </c>
      <c r="J70" s="4">
        <f>'תקציב אגף ת.ב.ל 2020 '!J9</f>
        <v>21772.7</v>
      </c>
      <c r="K70" s="4">
        <f>'תקציב אגף ת.ב.ל 2020 '!K9</f>
        <v>21772.7</v>
      </c>
      <c r="L70" s="4">
        <f>'תקציב אגף ת.ב.ל 2020 '!L9</f>
        <v>1042498.63</v>
      </c>
      <c r="M70" s="4">
        <f>'תקציב אגף ת.ב.ל 2020 '!M9</f>
        <v>57501.369999999995</v>
      </c>
      <c r="N70" s="4">
        <f>'תקציב אגף ת.ב.ל 2020 '!N9</f>
        <v>100000</v>
      </c>
      <c r="O70" s="4">
        <f>'תקציב אגף ת.ב.ל 2020 '!O9</f>
        <v>0</v>
      </c>
      <c r="P70" s="4">
        <f>'תקציב אגף ת.ב.ל 2020 '!P9</f>
        <v>57501.369999999995</v>
      </c>
      <c r="Q70" s="4">
        <f>'תקציב אגף ת.ב.ל 2020 '!Q9</f>
        <v>0</v>
      </c>
      <c r="R70" s="4">
        <f>'תקציב אגף ת.ב.ל 2020 '!R9</f>
        <v>0</v>
      </c>
      <c r="S70" s="4">
        <f>'תקציב אגף ת.ב.ל 2020 '!S9</f>
        <v>0</v>
      </c>
      <c r="T70" s="4">
        <f>'תקציב אגף ת.ב.ל 2020 '!T9</f>
        <v>0</v>
      </c>
      <c r="U70" s="4">
        <f>'תקציב אגף ת.ב.ל 2020 '!U9</f>
        <v>100000</v>
      </c>
      <c r="V70" s="4">
        <f>'תקציב אגף ת.ב.ל 2020 '!V9</f>
        <v>0</v>
      </c>
      <c r="W70" s="4">
        <f>'תקציב אגף ת.ב.ל 2020 '!W9</f>
        <v>100000</v>
      </c>
      <c r="X70" s="4">
        <f>'תקציב אגף ת.ב.ל 2020 '!X9</f>
        <v>0</v>
      </c>
      <c r="Y70" s="4">
        <f>'תקציב אגף ת.ב.ל 2020 '!Y9</f>
        <v>0</v>
      </c>
      <c r="Z70" s="4">
        <f>'תקציב אגף ת.ב.ל 2020 '!Z9</f>
        <v>0</v>
      </c>
      <c r="AA70" s="87" t="str">
        <f>'תקציב אגף ת.ב.ל 2020 '!AA9</f>
        <v>סל להחלפה ושדרוג מזגנים במוסדות עירייה.</v>
      </c>
      <c r="AB70" s="706">
        <f>'תקציב אגף ת.ב.ל 2020 '!AB9</f>
        <v>930000</v>
      </c>
      <c r="AC70" s="191"/>
      <c r="AD70" s="191"/>
      <c r="AE70" s="31"/>
      <c r="AF70" s="28"/>
      <c r="AG70" s="358"/>
      <c r="AH70" s="359"/>
      <c r="AI70" s="360"/>
      <c r="AJ70" s="29"/>
      <c r="AK70" s="29"/>
      <c r="AL70" s="29"/>
      <c r="AM70" s="29"/>
      <c r="AN70" s="28"/>
    </row>
    <row r="71" spans="1:40" s="5" customFormat="1" ht="27.6">
      <c r="A71" s="3">
        <f>A70+1</f>
        <v>55</v>
      </c>
      <c r="B71" s="706">
        <f>'תקציב אגף ת.ב.ל 2020 '!B10</f>
        <v>1416</v>
      </c>
      <c r="C71" s="87" t="str">
        <f>'תקציב אגף ת.ב.ל 2020 '!C10</f>
        <v>שיפוץ ובינוי נכסים עירוניים כולל תשתיות</v>
      </c>
      <c r="D71" s="4">
        <f>'תקציב אגף ת.ב.ל 2020 '!D10</f>
        <v>1800000</v>
      </c>
      <c r="E71" s="4">
        <f>'תקציב אגף ת.ב.ל 2020 '!E10</f>
        <v>1700000</v>
      </c>
      <c r="F71" s="4">
        <f>'תקציב אגף ת.ב.ל 2020 '!F10</f>
        <v>100000</v>
      </c>
      <c r="G71" s="4">
        <f>'תקציב אגף ת.ב.ל 2020 '!G10</f>
        <v>1500000</v>
      </c>
      <c r="H71" s="4">
        <f>'תקציב אגף ת.ב.ל 2020 '!H10</f>
        <v>1421581.35</v>
      </c>
      <c r="I71" s="4">
        <f>'תקציב אגף ת.ב.ל 2020 '!I10</f>
        <v>0</v>
      </c>
      <c r="J71" s="4">
        <f>'תקציב אגף ת.ב.ל 2020 '!J10</f>
        <v>18471.29</v>
      </c>
      <c r="K71" s="4">
        <f>'תקציב אגף ת.ב.ל 2020 '!K10</f>
        <v>18471.29</v>
      </c>
      <c r="L71" s="4">
        <f>'תקציב אגף ת.ב.ל 2020 '!L10</f>
        <v>1440052.6400000001</v>
      </c>
      <c r="M71" s="4">
        <f>'תקציב אגף ת.ב.ל 2020 '!M10</f>
        <v>59947.35999999987</v>
      </c>
      <c r="N71" s="4">
        <f>'תקציב אגף ת.ב.ל 2020 '!N10</f>
        <v>300000</v>
      </c>
      <c r="O71" s="4">
        <f>'תקציב אגף ת.ב.ל 2020 '!O10</f>
        <v>0</v>
      </c>
      <c r="P71" s="4">
        <f>'תקציב אגף ת.ב.ל 2020 '!P10</f>
        <v>59947.35999999987</v>
      </c>
      <c r="Q71" s="4">
        <f>'תקציב אגף ת.ב.ל 2020 '!Q10</f>
        <v>0</v>
      </c>
      <c r="R71" s="4">
        <f>'תקציב אגף ת.ב.ל 2020 '!R10</f>
        <v>0</v>
      </c>
      <c r="S71" s="4">
        <f>'תקציב אגף ת.ב.ל 2020 '!S10</f>
        <v>0</v>
      </c>
      <c r="T71" s="4">
        <f>'תקציב אגף ת.ב.ל 2020 '!T10</f>
        <v>0</v>
      </c>
      <c r="U71" s="4">
        <f>'תקציב אגף ת.ב.ל 2020 '!U10</f>
        <v>300000</v>
      </c>
      <c r="V71" s="4">
        <f>'תקציב אגף ת.ב.ל 2020 '!V10</f>
        <v>0</v>
      </c>
      <c r="W71" s="4">
        <f>'תקציב אגף ת.ב.ל 2020 '!W10</f>
        <v>300000</v>
      </c>
      <c r="X71" s="4">
        <f>'תקציב אגף ת.ב.ל 2020 '!X10</f>
        <v>0</v>
      </c>
      <c r="Y71" s="4">
        <f>'תקציב אגף ת.ב.ל 2020 '!Y10</f>
        <v>0</v>
      </c>
      <c r="Z71" s="4">
        <f>'תקציב אגף ת.ב.ל 2020 '!Z10</f>
        <v>0</v>
      </c>
      <c r="AA71" s="87" t="str">
        <f>'תקציב אגף ת.ב.ל 2020 '!AA10</f>
        <v>סל לשיפוץ ובינוי נכסים עירוניים.</v>
      </c>
      <c r="AB71" s="706">
        <f>'תקציב אגף ת.ב.ל 2020 '!AB10</f>
        <v>930000</v>
      </c>
      <c r="AC71" s="191"/>
      <c r="AD71" s="191"/>
      <c r="AE71" s="31"/>
      <c r="AF71" s="28"/>
      <c r="AG71" s="358"/>
      <c r="AH71" s="359"/>
      <c r="AI71" s="360"/>
      <c r="AJ71" s="29"/>
      <c r="AK71" s="29"/>
      <c r="AL71" s="29"/>
      <c r="AM71" s="29"/>
      <c r="AN71" s="28"/>
    </row>
    <row r="72" spans="1:40" s="5" customFormat="1" ht="41.4">
      <c r="A72" s="3">
        <f>A71+1</f>
        <v>56</v>
      </c>
      <c r="B72" s="706">
        <f>'תקציב אגף ת.ב.ל 2020 '!B45</f>
        <v>2061</v>
      </c>
      <c r="C72" s="87" t="str">
        <f>'תקציב אגף ת.ב.ל 2020 '!C45</f>
        <v>שיפוץ קומת  קרקע בעלות עיריה מוהליבר פינת הדר</v>
      </c>
      <c r="D72" s="4">
        <f>'תקציב אגף ת.ב.ל 2020 '!D45</f>
        <v>290000</v>
      </c>
      <c r="E72" s="4">
        <f>'תקציב אגף ת.ב.ל 2020 '!E45</f>
        <v>290000</v>
      </c>
      <c r="F72" s="4">
        <f>'תקציב אגף ת.ב.ל 2020 '!F45</f>
        <v>0</v>
      </c>
      <c r="G72" s="4">
        <f>'תקציב אגף ת.ב.ל 2020 '!G45</f>
        <v>290000</v>
      </c>
      <c r="H72" s="4">
        <f>'תקציב אגף ת.ב.ל 2020 '!H45</f>
        <v>256348.76</v>
      </c>
      <c r="I72" s="4">
        <f>'תקציב אגף ת.ב.ל 2020 '!I45</f>
        <v>0</v>
      </c>
      <c r="J72" s="4">
        <f>'תקציב אגף ת.ב.ל 2020 '!J45</f>
        <v>32643</v>
      </c>
      <c r="K72" s="4">
        <f>'תקציב אגף ת.ב.ל 2020 '!K45</f>
        <v>32643</v>
      </c>
      <c r="L72" s="4">
        <f>'תקציב אגף ת.ב.ל 2020 '!L45</f>
        <v>288991.76</v>
      </c>
      <c r="M72" s="4">
        <f>'תקציב אגף ת.ב.ל 2020 '!M45</f>
        <v>1008.2399999999907</v>
      </c>
      <c r="N72" s="4">
        <f>'תקציב אגף ת.ב.ל 2020 '!N45</f>
        <v>0</v>
      </c>
      <c r="O72" s="4">
        <f>'תקציב אגף ת.ב.ל 2020 '!O45</f>
        <v>0</v>
      </c>
      <c r="P72" s="4">
        <f>'תקציב אגף ת.ב.ל 2020 '!P45</f>
        <v>1008.2399999999907</v>
      </c>
      <c r="Q72" s="4">
        <f>'תקציב אגף ת.ב.ל 2020 '!Q45</f>
        <v>0</v>
      </c>
      <c r="R72" s="4">
        <f>'תקציב אגף ת.ב.ל 2020 '!R45</f>
        <v>0</v>
      </c>
      <c r="S72" s="4">
        <f>'תקציב אגף ת.ב.ל 2020 '!S45</f>
        <v>0</v>
      </c>
      <c r="T72" s="4">
        <f>'תקציב אגף ת.ב.ל 2020 '!T45</f>
        <v>0</v>
      </c>
      <c r="U72" s="4">
        <f>'תקציב אגף ת.ב.ל 2020 '!U45</f>
        <v>0</v>
      </c>
      <c r="V72" s="4">
        <f>'תקציב אגף ת.ב.ל 2020 '!V45</f>
        <v>0</v>
      </c>
      <c r="W72" s="4">
        <f>'תקציב אגף ת.ב.ל 2020 '!W45</f>
        <v>0</v>
      </c>
      <c r="X72" s="4">
        <f>'תקציב אגף ת.ב.ל 2020 '!X45</f>
        <v>0</v>
      </c>
      <c r="Y72" s="4">
        <f>'תקציב אגף ת.ב.ל 2020 '!Y45</f>
        <v>0</v>
      </c>
      <c r="Z72" s="4">
        <f>'תקציב אגף ת.ב.ל 2020 '!Z45</f>
        <v>0</v>
      </c>
      <c r="AA72" s="87" t="str">
        <f>'תקציב אגף ת.ב.ל 2020 '!AA45</f>
        <v>שיפוץ קומת הקרקע במבנה לטובת פעילות  יחידת הבריאות העירונית.</v>
      </c>
      <c r="AB72" s="706">
        <f>'תקציב אגף ת.ב.ל 2020 '!AB45</f>
        <v>930000</v>
      </c>
      <c r="AC72" s="191"/>
      <c r="AD72" s="191"/>
      <c r="AE72" s="31"/>
      <c r="AF72" s="28"/>
      <c r="AG72" s="358"/>
      <c r="AH72" s="359"/>
      <c r="AI72" s="28"/>
      <c r="AJ72" s="29"/>
      <c r="AK72" s="29"/>
      <c r="AL72" s="29"/>
      <c r="AM72" s="29"/>
      <c r="AN72" s="28"/>
    </row>
    <row r="73" spans="1:40" s="5" customFormat="1" ht="27.6">
      <c r="A73" s="3">
        <f>A72+1</f>
        <v>57</v>
      </c>
      <c r="B73" s="706">
        <f>'תקציב אגף ת.ב.ל 2020 '!B50</f>
        <v>2074</v>
      </c>
      <c r="C73" s="87" t="str">
        <f>'תקציב אגף ת.ב.ל 2020 '!C50</f>
        <v>שיפוץ מבנה אגף תבל ואגף הבטחון</v>
      </c>
      <c r="D73" s="4">
        <f>'תקציב אגף ת.ב.ל 2020 '!D50</f>
        <v>2000000</v>
      </c>
      <c r="E73" s="4">
        <f>'תקציב אגף ת.ב.ל 2020 '!E50</f>
        <v>2000000</v>
      </c>
      <c r="F73" s="4">
        <f>'תקציב אגף ת.ב.ל 2020 '!F50</f>
        <v>0</v>
      </c>
      <c r="G73" s="4">
        <f>'תקציב אגף ת.ב.ל 2020 '!G50</f>
        <v>2000000</v>
      </c>
      <c r="H73" s="4">
        <f>'תקציב אגף ת.ב.ל 2020 '!H50</f>
        <v>134261.41</v>
      </c>
      <c r="I73" s="4">
        <f>'תקציב אגף ת.ב.ל 2020 '!I50</f>
        <v>0</v>
      </c>
      <c r="J73" s="4">
        <f>'תקציב אגף ת.ב.ל 2020 '!J50</f>
        <v>22256.37</v>
      </c>
      <c r="K73" s="4">
        <f>'תקציב אגף ת.ב.ל 2020 '!K50</f>
        <v>22256.37</v>
      </c>
      <c r="L73" s="4">
        <f>'תקציב אגף ת.ב.ל 2020 '!L50</f>
        <v>156517.78</v>
      </c>
      <c r="M73" s="4">
        <f>'תקציב אגף ת.ב.ל 2020 '!M50</f>
        <v>1843482.22</v>
      </c>
      <c r="N73" s="4">
        <f>'תקציב אגף ת.ב.ל 2020 '!N50</f>
        <v>0</v>
      </c>
      <c r="O73" s="4">
        <f>'תקציב אגף ת.ב.ל 2020 '!O50</f>
        <v>0</v>
      </c>
      <c r="P73" s="4">
        <f>'תקציב אגף ת.ב.ל 2020 '!P50</f>
        <v>1843482.22</v>
      </c>
      <c r="Q73" s="4">
        <f>'תקציב אגף ת.ב.ל 2020 '!Q50</f>
        <v>0</v>
      </c>
      <c r="R73" s="4">
        <f>'תקציב אגף ת.ב.ל 2020 '!R50</f>
        <v>0</v>
      </c>
      <c r="S73" s="4">
        <f>'תקציב אגף ת.ב.ל 2020 '!S50</f>
        <v>0</v>
      </c>
      <c r="T73" s="4">
        <f>'תקציב אגף ת.ב.ל 2020 '!T50</f>
        <v>0</v>
      </c>
      <c r="U73" s="4">
        <f>'תקציב אגף ת.ב.ל 2020 '!U50</f>
        <v>0</v>
      </c>
      <c r="V73" s="4">
        <f>'תקציב אגף ת.ב.ל 2020 '!V50</f>
        <v>0</v>
      </c>
      <c r="W73" s="4">
        <f>'תקציב אגף ת.ב.ל 2020 '!W50</f>
        <v>0</v>
      </c>
      <c r="X73" s="4">
        <f>'תקציב אגף ת.ב.ל 2020 '!X50</f>
        <v>0</v>
      </c>
      <c r="Y73" s="4">
        <f>'תקציב אגף ת.ב.ל 2020 '!Y50</f>
        <v>0</v>
      </c>
      <c r="Z73" s="4">
        <f>'תקציב אגף ת.ב.ל 2020 '!Z50</f>
        <v>0</v>
      </c>
      <c r="AA73" s="87" t="str">
        <f>'תקציב אגף ת.ב.ל 2020 '!AA50</f>
        <v>עבודות שיפוץ כללי למשרדי האגפים כולל חדר ישיבות.</v>
      </c>
      <c r="AB73" s="706">
        <f>'תקציב אגף ת.ב.ל 2020 '!AB50</f>
        <v>930000</v>
      </c>
      <c r="AC73" s="191"/>
      <c r="AD73" s="191"/>
      <c r="AE73" s="31"/>
      <c r="AF73" s="28"/>
      <c r="AG73" s="358"/>
      <c r="AH73" s="359"/>
      <c r="AI73" s="28"/>
      <c r="AJ73" s="29"/>
      <c r="AK73" s="29"/>
      <c r="AL73" s="29"/>
      <c r="AM73" s="29"/>
      <c r="AN73" s="28"/>
    </row>
    <row r="74" spans="1:40" s="5" customFormat="1" ht="41.4">
      <c r="A74" s="3">
        <f>A73+1</f>
        <v>58</v>
      </c>
      <c r="B74" s="706">
        <f>'תקציב אגף ת.ב.ל 2020 '!B52</f>
        <v>2096</v>
      </c>
      <c r="C74" s="87" t="str">
        <f>'תקציב אגף ת.ב.ל 2020 '!C52</f>
        <v>הצטיידות לחמ"ל החדש</v>
      </c>
      <c r="D74" s="4">
        <f>'תקציב אגף ת.ב.ל 2020 '!D52</f>
        <v>1215000</v>
      </c>
      <c r="E74" s="4">
        <f>'תקציב אגף ת.ב.ל 2020 '!E52</f>
        <v>1215000</v>
      </c>
      <c r="F74" s="4">
        <f>'תקציב אגף ת.ב.ל 2020 '!F52</f>
        <v>0</v>
      </c>
      <c r="G74" s="4">
        <f>'תקציב אגף ת.ב.ל 2020 '!G52</f>
        <v>800000</v>
      </c>
      <c r="H74" s="4">
        <f>'תקציב אגף ת.ב.ל 2020 '!H52</f>
        <v>1972</v>
      </c>
      <c r="I74" s="4">
        <f>'תקציב אגף ת.ב.ל 2020 '!I52</f>
        <v>0</v>
      </c>
      <c r="J74" s="4">
        <f>'תקציב אגף ת.ב.ל 2020 '!J52</f>
        <v>119593.84</v>
      </c>
      <c r="K74" s="4">
        <f>'תקציב אגף ת.ב.ל 2020 '!K52</f>
        <v>119593.84</v>
      </c>
      <c r="L74" s="4">
        <f>'תקציב אגף ת.ב.ל 2020 '!L52</f>
        <v>121565.84</v>
      </c>
      <c r="M74" s="4">
        <f>'תקציב אגף ת.ב.ל 2020 '!M52</f>
        <v>678434.16000000015</v>
      </c>
      <c r="N74" s="4">
        <f>'תקציב אגף ת.ב.ל 2020 '!N52</f>
        <v>415000</v>
      </c>
      <c r="O74" s="4">
        <f>'תקציב אגף ת.ב.ל 2020 '!O52</f>
        <v>0</v>
      </c>
      <c r="P74" s="4">
        <f>'תקציב אגף ת.ב.ל 2020 '!P52</f>
        <v>678434.16</v>
      </c>
      <c r="Q74" s="4">
        <f>'תקציב אגף ת.ב.ל 2020 '!Q52</f>
        <v>415000</v>
      </c>
      <c r="R74" s="4">
        <f>'תקציב אגף ת.ב.ל 2020 '!R52</f>
        <v>0</v>
      </c>
      <c r="S74" s="4">
        <f>'תקציב אגף ת.ב.ל 2020 '!S52</f>
        <v>415000</v>
      </c>
      <c r="T74" s="4">
        <f>'תקציב אגף ת.ב.ל 2020 '!T52</f>
        <v>414999.99999999988</v>
      </c>
      <c r="U74" s="4">
        <f>'תקציב אגף ת.ב.ל 2020 '!U52</f>
        <v>0</v>
      </c>
      <c r="V74" s="4">
        <f>'תקציב אגף ת.ב.ל 2020 '!V52</f>
        <v>0</v>
      </c>
      <c r="W74" s="4">
        <f>'תקציב אגף ת.ב.ל 2020 '!W52</f>
        <v>0</v>
      </c>
      <c r="X74" s="4">
        <f>'תקציב אגף ת.ב.ל 2020 '!X52</f>
        <v>0</v>
      </c>
      <c r="Y74" s="4">
        <f>'תקציב אגף ת.ב.ל 2020 '!Y52</f>
        <v>0</v>
      </c>
      <c r="Z74" s="4">
        <f>'תקציב אגף ת.ב.ל 2020 '!Z52</f>
        <v>0</v>
      </c>
      <c r="AA74" s="87" t="str">
        <f>'תקציב אגף ת.ב.ל 2020 '!AA52</f>
        <v>עבודות מיזוג, חשמל, נגרות תקשורת  והצטיידות לחמ"ל האחורי.</v>
      </c>
      <c r="AB74" s="706">
        <f>'תקציב אגף ת.ב.ל 2020 '!AB52</f>
        <v>930000</v>
      </c>
      <c r="AC74" s="191"/>
      <c r="AD74" s="191"/>
      <c r="AE74" s="31"/>
      <c r="AF74" s="351"/>
      <c r="AG74" s="351"/>
      <c r="AH74" s="352"/>
      <c r="AI74" s="357"/>
      <c r="AJ74" s="29"/>
      <c r="AK74" s="29"/>
      <c r="AL74" s="29"/>
      <c r="AM74" s="29"/>
      <c r="AN74" s="28"/>
    </row>
    <row r="75" spans="1:40" s="5" customFormat="1" ht="27.6">
      <c r="A75" s="3">
        <f>A74+1</f>
        <v>59</v>
      </c>
      <c r="B75" s="706">
        <f>'תקציב אגף ת.ב.ל 2020 '!B57</f>
        <v>2133</v>
      </c>
      <c r="C75" s="87" t="str">
        <f>'תקציב אגף ת.ב.ל 2020 '!C57</f>
        <v>רכישת רכבים</v>
      </c>
      <c r="D75" s="4">
        <f>'תקציב אגף ת.ב.ל 2020 '!D57</f>
        <v>3000000</v>
      </c>
      <c r="E75" s="4">
        <f>'תקציב אגף ת.ב.ל 2020 '!E57</f>
        <v>3000000</v>
      </c>
      <c r="F75" s="4">
        <f>'תקציב אגף ת.ב.ל 2020 '!F57</f>
        <v>0</v>
      </c>
      <c r="G75" s="4">
        <f>'תקציב אגף ת.ב.ל 2020 '!G57</f>
        <v>1000000</v>
      </c>
      <c r="H75" s="4">
        <f>'תקציב אגף ת.ב.ל 2020 '!H57</f>
        <v>0</v>
      </c>
      <c r="I75" s="4">
        <f>'תקציב אגף ת.ב.ל 2020 '!I57</f>
        <v>0</v>
      </c>
      <c r="J75" s="4">
        <f>'תקציב אגף ת.ב.ל 2020 '!J57</f>
        <v>0</v>
      </c>
      <c r="K75" s="4">
        <f>'תקציב אגף ת.ב.ל 2020 '!K57</f>
        <v>0</v>
      </c>
      <c r="L75" s="4">
        <f>'תקציב אגף ת.ב.ל 2020 '!L57</f>
        <v>0</v>
      </c>
      <c r="M75" s="4">
        <f>'תקציב אגף ת.ב.ל 2020 '!M57</f>
        <v>1000000</v>
      </c>
      <c r="N75" s="4">
        <f>'תקציב אגף ת.ב.ל 2020 '!N57</f>
        <v>2000000</v>
      </c>
      <c r="O75" s="4">
        <f>'תקציב אגף ת.ב.ל 2020 '!O57</f>
        <v>0</v>
      </c>
      <c r="P75" s="4">
        <f>'תקציב אגף ת.ב.ל 2020 '!P57</f>
        <v>1000000</v>
      </c>
      <c r="Q75" s="4">
        <f>'תקציב אגף ת.ב.ל 2020 '!Q57</f>
        <v>0</v>
      </c>
      <c r="R75" s="4">
        <f>'תקציב אגף ת.ב.ל 2020 '!R57</f>
        <v>0</v>
      </c>
      <c r="S75" s="4">
        <f>'תקציב אגף ת.ב.ל 2020 '!S57</f>
        <v>0</v>
      </c>
      <c r="T75" s="4">
        <f>'תקציב אגף ת.ב.ל 2020 '!T57</f>
        <v>0</v>
      </c>
      <c r="U75" s="4">
        <f>'תקציב אגף ת.ב.ל 2020 '!U57</f>
        <v>2000000</v>
      </c>
      <c r="V75" s="4">
        <f>'תקציב אגף ת.ב.ל 2020 '!V57</f>
        <v>0</v>
      </c>
      <c r="W75" s="4">
        <f>'תקציב אגף ת.ב.ל 2020 '!W57</f>
        <v>2000000</v>
      </c>
      <c r="X75" s="4">
        <f>'תקציב אגף ת.ב.ל 2020 '!X57</f>
        <v>0</v>
      </c>
      <c r="Y75" s="4">
        <f>'תקציב אגף ת.ב.ל 2020 '!Y57</f>
        <v>0</v>
      </c>
      <c r="Z75" s="4">
        <f>'תקציב אגף ת.ב.ל 2020 '!Z57</f>
        <v>0</v>
      </c>
      <c r="AA75" s="87" t="str">
        <f>'תקציב אגף ת.ב.ל 2020 '!AA57</f>
        <v>החלפת רכבים קיימים ורכישת תוספת רכבים עפ"י רשימה.</v>
      </c>
      <c r="AB75" s="706">
        <f>'תקציב אגף ת.ב.ל 2020 '!AB57</f>
        <v>930000</v>
      </c>
      <c r="AC75" s="191"/>
      <c r="AD75" s="191"/>
      <c r="AE75" s="31"/>
      <c r="AF75" s="351"/>
      <c r="AG75" s="351"/>
      <c r="AH75" s="352"/>
      <c r="AI75" s="357"/>
      <c r="AJ75" s="29"/>
      <c r="AK75" s="29"/>
      <c r="AL75" s="29"/>
      <c r="AM75" s="29"/>
      <c r="AN75" s="28"/>
    </row>
    <row r="76" spans="1:40" s="84" customFormat="1">
      <c r="A76" s="41"/>
      <c r="B76" s="725"/>
      <c r="C76" s="705" t="s">
        <v>696</v>
      </c>
      <c r="D76" s="88">
        <f>SUM(D70:D75)</f>
        <v>9505000</v>
      </c>
      <c r="E76" s="88">
        <f t="shared" ref="E76:Z76" si="12">SUM(E70:E75)</f>
        <v>9355000</v>
      </c>
      <c r="F76" s="88">
        <f t="shared" si="12"/>
        <v>150000</v>
      </c>
      <c r="G76" s="88">
        <f t="shared" si="12"/>
        <v>6690000</v>
      </c>
      <c r="H76" s="88">
        <f t="shared" si="12"/>
        <v>2834889.45</v>
      </c>
      <c r="I76" s="88">
        <f t="shared" si="12"/>
        <v>0</v>
      </c>
      <c r="J76" s="88">
        <f t="shared" si="12"/>
        <v>214737.2</v>
      </c>
      <c r="K76" s="88">
        <f t="shared" si="12"/>
        <v>214737.2</v>
      </c>
      <c r="L76" s="88">
        <f t="shared" si="12"/>
        <v>3049626.65</v>
      </c>
      <c r="M76" s="88">
        <f t="shared" si="12"/>
        <v>3640373.35</v>
      </c>
      <c r="N76" s="88">
        <f t="shared" si="12"/>
        <v>2815000</v>
      </c>
      <c r="O76" s="88">
        <f t="shared" si="12"/>
        <v>0</v>
      </c>
      <c r="P76" s="88">
        <f t="shared" si="12"/>
        <v>3640373.35</v>
      </c>
      <c r="Q76" s="88">
        <f t="shared" si="12"/>
        <v>415000</v>
      </c>
      <c r="R76" s="88">
        <f t="shared" si="12"/>
        <v>0</v>
      </c>
      <c r="S76" s="88">
        <f t="shared" si="12"/>
        <v>415000</v>
      </c>
      <c r="T76" s="88">
        <f t="shared" si="12"/>
        <v>414999.99999999988</v>
      </c>
      <c r="U76" s="88">
        <f t="shared" si="12"/>
        <v>2400000</v>
      </c>
      <c r="V76" s="88">
        <f t="shared" si="12"/>
        <v>0</v>
      </c>
      <c r="W76" s="88">
        <f t="shared" si="12"/>
        <v>2400000</v>
      </c>
      <c r="X76" s="88">
        <f t="shared" si="12"/>
        <v>0</v>
      </c>
      <c r="Y76" s="88">
        <f t="shared" si="12"/>
        <v>0</v>
      </c>
      <c r="Z76" s="88">
        <f t="shared" si="12"/>
        <v>0</v>
      </c>
      <c r="AA76" s="410"/>
      <c r="AB76" s="725"/>
      <c r="AC76" s="428"/>
      <c r="AD76" s="428"/>
      <c r="AE76" s="434"/>
      <c r="AF76" s="435"/>
      <c r="AG76" s="435"/>
      <c r="AH76" s="436"/>
      <c r="AI76" s="309"/>
      <c r="AJ76" s="309"/>
      <c r="AK76" s="309"/>
      <c r="AL76" s="309"/>
      <c r="AM76" s="309"/>
      <c r="AN76" s="308"/>
    </row>
    <row r="77" spans="1:40" s="84" customFormat="1">
      <c r="A77" s="41">
        <f>A75</f>
        <v>59</v>
      </c>
      <c r="B77" s="725"/>
      <c r="C77" s="221" t="s">
        <v>687</v>
      </c>
      <c r="D77" s="88">
        <f>D76+D69+D64+D58+D56+D54+D48+D23+D13+D11+D7</f>
        <v>430333105</v>
      </c>
      <c r="E77" s="88">
        <f t="shared" ref="E77:Z77" si="13">E76+E69+E64+E58+E56+E54+E48+E23+E13+E11+E7</f>
        <v>391554105</v>
      </c>
      <c r="F77" s="88">
        <f t="shared" si="13"/>
        <v>38779000</v>
      </c>
      <c r="G77" s="88">
        <f t="shared" si="13"/>
        <v>271565901</v>
      </c>
      <c r="H77" s="88">
        <f t="shared" si="13"/>
        <v>189651291.87999997</v>
      </c>
      <c r="I77" s="88">
        <f t="shared" si="13"/>
        <v>10892094.979999999</v>
      </c>
      <c r="J77" s="88">
        <f t="shared" si="13"/>
        <v>33107561.339999996</v>
      </c>
      <c r="K77" s="88">
        <f t="shared" si="13"/>
        <v>43999656.319999993</v>
      </c>
      <c r="L77" s="88">
        <f t="shared" si="13"/>
        <v>233650948.19999999</v>
      </c>
      <c r="M77" s="88">
        <f t="shared" si="13"/>
        <v>36944952.799999997</v>
      </c>
      <c r="N77" s="88">
        <f t="shared" si="13"/>
        <v>59026300</v>
      </c>
      <c r="O77" s="88">
        <f t="shared" si="13"/>
        <v>100710904</v>
      </c>
      <c r="P77" s="88">
        <f t="shared" si="13"/>
        <v>37914952.799999997</v>
      </c>
      <c r="Q77" s="88">
        <f t="shared" si="13"/>
        <v>2135000</v>
      </c>
      <c r="R77" s="88">
        <f t="shared" si="13"/>
        <v>1860000</v>
      </c>
      <c r="S77" s="88">
        <f t="shared" si="13"/>
        <v>3995000</v>
      </c>
      <c r="T77" s="88">
        <f t="shared" si="13"/>
        <v>4965000</v>
      </c>
      <c r="U77" s="88">
        <f t="shared" si="13"/>
        <v>54061300</v>
      </c>
      <c r="V77" s="88">
        <f t="shared" si="13"/>
        <v>18950000</v>
      </c>
      <c r="W77" s="88">
        <f t="shared" si="13"/>
        <v>23900000</v>
      </c>
      <c r="X77" s="88">
        <f t="shared" si="13"/>
        <v>0</v>
      </c>
      <c r="Y77" s="88">
        <f t="shared" si="13"/>
        <v>0</v>
      </c>
      <c r="Z77" s="88">
        <f t="shared" si="13"/>
        <v>11211300</v>
      </c>
      <c r="AA77" s="705"/>
      <c r="AB77" s="41"/>
    </row>
    <row r="78" spans="1:40" s="29" customFormat="1" hidden="1">
      <c r="B78" s="42"/>
      <c r="C78" s="407"/>
      <c r="D78" s="25"/>
      <c r="E78" s="25">
        <v>391354105</v>
      </c>
      <c r="F78" s="25"/>
      <c r="G78" s="25">
        <v>271365901</v>
      </c>
      <c r="H78" s="25"/>
      <c r="I78" s="25"/>
      <c r="J78" s="25"/>
      <c r="K78" s="25"/>
      <c r="L78" s="25">
        <f>K77+H77</f>
        <v>233650948.19999996</v>
      </c>
      <c r="M78" s="25"/>
      <c r="N78" s="25"/>
      <c r="O78" s="25"/>
      <c r="P78" s="25">
        <f>G77-L77</f>
        <v>37914952.800000012</v>
      </c>
      <c r="Q78" s="25"/>
      <c r="R78" s="25"/>
      <c r="S78" s="25"/>
      <c r="T78" s="25">
        <f>P78+S77-M77</f>
        <v>4965000.0000000149</v>
      </c>
      <c r="U78" s="25">
        <f>N77-T78</f>
        <v>54061299.999999985</v>
      </c>
      <c r="V78" s="19"/>
      <c r="W78" s="19"/>
      <c r="X78" s="19"/>
      <c r="Y78" s="19"/>
      <c r="Z78" s="19"/>
      <c r="AA78" s="408"/>
      <c r="AB78" s="19"/>
      <c r="AC78" s="191"/>
      <c r="AD78" s="191"/>
      <c r="AE78" s="31"/>
      <c r="AF78" s="351"/>
      <c r="AG78" s="351"/>
      <c r="AH78" s="352"/>
      <c r="AI78" s="357"/>
    </row>
    <row r="79" spans="1:40" s="29" customFormat="1">
      <c r="B79" s="42"/>
      <c r="C79" s="76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192"/>
      <c r="Q79" s="25"/>
      <c r="R79" s="25"/>
      <c r="S79" s="25"/>
      <c r="T79" s="25"/>
      <c r="U79" s="19"/>
      <c r="V79" s="19"/>
      <c r="W79" s="19"/>
      <c r="X79" s="19"/>
      <c r="Y79" s="19"/>
      <c r="Z79" s="19"/>
      <c r="AA79" s="408"/>
      <c r="AB79" s="19"/>
      <c r="AC79" s="191"/>
      <c r="AD79" s="191"/>
      <c r="AE79" s="31"/>
      <c r="AF79" s="351"/>
      <c r="AG79" s="351"/>
      <c r="AH79" s="352"/>
      <c r="AI79" s="357"/>
    </row>
    <row r="80" spans="1:40">
      <c r="A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25"/>
      <c r="O80" s="25"/>
      <c r="P80" s="25"/>
      <c r="Q80" s="25"/>
      <c r="R80" s="25"/>
      <c r="S80" s="25"/>
      <c r="T80" s="25"/>
      <c r="U80" s="19"/>
    </row>
    <row r="81" spans="1:40">
      <c r="A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25"/>
      <c r="O81" s="25"/>
      <c r="P81" s="25"/>
      <c r="Q81" s="25"/>
      <c r="R81" s="25"/>
      <c r="S81" s="25"/>
      <c r="T81" s="25"/>
      <c r="U81" s="19"/>
    </row>
    <row r="82" spans="1:40">
      <c r="A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25"/>
      <c r="O82" s="25"/>
      <c r="P82" s="25"/>
      <c r="Q82" s="25"/>
      <c r="R82" s="25"/>
      <c r="S82" s="25"/>
      <c r="T82" s="25"/>
      <c r="U82" s="19"/>
    </row>
    <row r="83" spans="1:40">
      <c r="A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25"/>
      <c r="O83" s="25"/>
      <c r="P83" s="25"/>
      <c r="Q83" s="25"/>
      <c r="R83" s="25"/>
      <c r="S83" s="25"/>
      <c r="T83" s="25"/>
      <c r="U83" s="19"/>
    </row>
    <row r="84" spans="1:40">
      <c r="A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25"/>
      <c r="O84" s="25"/>
      <c r="P84" s="25"/>
      <c r="Q84" s="25"/>
      <c r="R84" s="25"/>
      <c r="S84" s="25"/>
      <c r="T84" s="25"/>
      <c r="U84" s="19"/>
    </row>
    <row r="86" spans="1:40">
      <c r="A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S86" s="42"/>
    </row>
    <row r="87" spans="1:40">
      <c r="A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S87" s="42"/>
    </row>
    <row r="88" spans="1:40">
      <c r="A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S88" s="42"/>
    </row>
    <row r="89" spans="1:40">
      <c r="A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S89" s="42"/>
      <c r="AN89" s="25"/>
    </row>
    <row r="90" spans="1:40">
      <c r="A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S90" s="42"/>
    </row>
    <row r="92" spans="1:40">
      <c r="A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S92" s="42"/>
    </row>
    <row r="93" spans="1:40">
      <c r="A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AN93" s="25"/>
    </row>
    <row r="94" spans="1:40">
      <c r="A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T94" s="14"/>
      <c r="U94" s="16"/>
    </row>
    <row r="95" spans="1:40">
      <c r="A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6"/>
      <c r="AA95" s="407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</row>
  </sheetData>
  <sheetProtection formatCells="0" formatColumns="0" formatRows="0" insertColumns="0" insertRows="0" insertHyperlinks="0" deleteColumns="0" deleteRows="0" sort="0" autoFilter="0" pivotTables="0"/>
  <sortState ref="A6:AN65">
    <sortCondition ref="AB6:AB65"/>
  </sortState>
  <conditionalFormatting sqref="AA4">
    <cfRule type="cellIs" dxfId="311" priority="3" operator="equal">
      <formula>0</formula>
    </cfRule>
  </conditionalFormatting>
  <conditionalFormatting sqref="AC55:AD56">
    <cfRule type="cellIs" dxfId="310" priority="2" operator="equal">
      <formula>0</formula>
    </cfRule>
  </conditionalFormatting>
  <conditionalFormatting sqref="AE55:AG56">
    <cfRule type="cellIs" dxfId="30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3"/>
  <sheetViews>
    <sheetView showZeros="0" rightToLeft="1" tabSelected="1" zoomScaleNormal="100" workbookViewId="0">
      <pane xSplit="5" ySplit="5" topLeftCell="F63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33203125" style="37" customWidth="1"/>
    <col min="2" max="2" width="4.77734375" style="26" customWidth="1"/>
    <col min="3" max="3" width="25.5546875" style="407" customWidth="1"/>
    <col min="4" max="4" width="10" style="16" customWidth="1"/>
    <col min="5" max="11" width="10" style="16" hidden="1" customWidth="1"/>
    <col min="12" max="15" width="10" style="16" customWidth="1"/>
    <col min="16" max="19" width="10" style="16" hidden="1" customWidth="1"/>
    <col min="20" max="20" width="9.109375" style="16" customWidth="1"/>
    <col min="21" max="23" width="9.109375" style="14" customWidth="1"/>
    <col min="24" max="25" width="9.109375" style="14" hidden="1" customWidth="1"/>
    <col min="26" max="26" width="9.109375" style="14" customWidth="1"/>
    <col min="27" max="27" width="31.6640625" style="408" customWidth="1"/>
    <col min="28" max="28" width="7.88671875" style="26" hidden="1" customWidth="1"/>
    <col min="29" max="29" width="16.6640625" style="191" customWidth="1"/>
    <col min="30" max="30" width="10.109375" style="191" customWidth="1"/>
    <col min="31" max="31" width="9.44140625" style="31" customWidth="1"/>
    <col min="32" max="32" width="15" style="351" customWidth="1"/>
    <col min="33" max="33" width="11.44140625" style="351" customWidth="1"/>
    <col min="34" max="34" width="10.109375" style="352" customWidth="1"/>
    <col min="35" max="35" width="9.109375" style="365" customWidth="1"/>
    <col min="36" max="37" width="9.109375" style="19" customWidth="1"/>
    <col min="38" max="38" width="2.109375" style="19" customWidth="1"/>
    <col min="39" max="39" width="9.109375" style="19" customWidth="1"/>
    <col min="40" max="40" width="10.109375" style="19" customWidth="1"/>
    <col min="41" max="41" width="10.109375" style="14" customWidth="1"/>
    <col min="42" max="16384" width="9.109375" style="14"/>
  </cols>
  <sheetData>
    <row r="1" spans="1:40" s="331" customFormat="1" ht="18">
      <c r="A1" s="329"/>
      <c r="B1" s="766"/>
      <c r="C1" s="764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3"/>
      <c r="AB1" s="754"/>
      <c r="AC1" s="191"/>
      <c r="AD1" s="191"/>
      <c r="AE1" s="31"/>
      <c r="AF1" s="353"/>
      <c r="AG1" s="354"/>
      <c r="AH1" s="355"/>
      <c r="AI1" s="355"/>
    </row>
    <row r="2" spans="1:40" s="191" customFormat="1" ht="18">
      <c r="A2" s="329" t="s">
        <v>229</v>
      </c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96"/>
      <c r="AB2" s="755"/>
      <c r="AE2" s="31"/>
      <c r="AF2" s="353"/>
      <c r="AG2" s="354"/>
      <c r="AH2" s="355"/>
      <c r="AI2" s="355"/>
    </row>
    <row r="3" spans="1:40" ht="28.2" customHeight="1"/>
    <row r="4" spans="1:40" s="31" customFormat="1" ht="69">
      <c r="A4" s="18" t="s">
        <v>0</v>
      </c>
      <c r="B4" s="756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928</v>
      </c>
      <c r="R4" s="18" t="s">
        <v>929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628" t="s">
        <v>410</v>
      </c>
      <c r="AB4" s="756" t="s">
        <v>16</v>
      </c>
      <c r="AC4" s="191"/>
      <c r="AD4" s="191"/>
      <c r="AH4" s="352"/>
      <c r="AI4" s="356"/>
    </row>
    <row r="5" spans="1:40" s="5" customFormat="1" ht="18" customHeight="1">
      <c r="A5" s="3"/>
      <c r="B5" s="706"/>
      <c r="C5" s="32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25"/>
      <c r="AB5" s="706"/>
      <c r="AC5" s="191"/>
      <c r="AD5" s="191"/>
      <c r="AE5" s="31"/>
      <c r="AF5" s="351"/>
      <c r="AG5" s="351"/>
      <c r="AH5" s="352"/>
      <c r="AI5" s="357"/>
      <c r="AJ5" s="29"/>
      <c r="AK5" s="29"/>
      <c r="AL5" s="29"/>
      <c r="AM5" s="29"/>
      <c r="AN5" s="29"/>
    </row>
    <row r="6" spans="1:40" s="5" customFormat="1" ht="30" customHeight="1">
      <c r="A6" s="3">
        <v>1</v>
      </c>
      <c r="B6" s="706">
        <f>'תקציב אגף ת.ב.ל 2020 '!B6</f>
        <v>1247</v>
      </c>
      <c r="C6" s="87" t="str">
        <f>'תקציב אגף ת.ב.ל 2020 '!C6</f>
        <v>תכנון ייעוץ הנדסי "סל"</v>
      </c>
      <c r="D6" s="4">
        <f>'תקציב אגף ת.ב.ל 2020 '!D6</f>
        <v>9500000</v>
      </c>
      <c r="E6" s="4">
        <f>'תקציב אגף ת.ב.ל 2020 '!E6</f>
        <v>9500000</v>
      </c>
      <c r="F6" s="4">
        <f>'תקציב אגף ת.ב.ל 2020 '!F6</f>
        <v>0</v>
      </c>
      <c r="G6" s="4">
        <f>'תקציב אגף ת.ב.ל 2020 '!G6</f>
        <v>8850000</v>
      </c>
      <c r="H6" s="4">
        <f>'תקציב אגף ת.ב.ל 2020 '!H6</f>
        <v>8326221.0999999996</v>
      </c>
      <c r="I6" s="4">
        <f>'תקציב אגף ת.ב.ל 2020 '!I6</f>
        <v>0.68</v>
      </c>
      <c r="J6" s="4">
        <f>'תקציב אגף ת.ב.ל 2020 '!J6</f>
        <v>167329.9</v>
      </c>
      <c r="K6" s="4">
        <f>'תקציב אגף ת.ב.ל 2020 '!K6</f>
        <v>167330.57999999999</v>
      </c>
      <c r="L6" s="4">
        <f>'תקציב אגף ת.ב.ל 2020 '!L6</f>
        <v>8493551.6799999997</v>
      </c>
      <c r="M6" s="4">
        <f>'תקציב אגף ת.ב.ל 2020 '!M6</f>
        <v>356448.3200000003</v>
      </c>
      <c r="N6" s="4">
        <f>'תקציב אגף ת.ב.ל 2020 '!N6</f>
        <v>200000</v>
      </c>
      <c r="O6" s="4">
        <f>'תקציב אגף ת.ב.ל 2020 '!O6</f>
        <v>450000</v>
      </c>
      <c r="P6" s="4">
        <f>'תקציב אגף ת.ב.ל 2020 '!P6</f>
        <v>356448.3200000003</v>
      </c>
      <c r="Q6" s="4">
        <f>'תקציב אגף ת.ב.ל 2020 '!Q6</f>
        <v>0</v>
      </c>
      <c r="R6" s="4">
        <f>'תקציב אגף ת.ב.ל 2020 '!R6</f>
        <v>0</v>
      </c>
      <c r="S6" s="4">
        <f>'תקציב אגף ת.ב.ל 2020 '!S6</f>
        <v>0</v>
      </c>
      <c r="T6" s="4">
        <f>'תקציב אגף ת.ב.ל 2020 '!T6</f>
        <v>0</v>
      </c>
      <c r="U6" s="4">
        <f>'תקציב אגף ת.ב.ל 2020 '!U6</f>
        <v>200000</v>
      </c>
      <c r="V6" s="4">
        <f>'תקציב אגף ת.ב.ל 2020 '!V6</f>
        <v>0</v>
      </c>
      <c r="W6" s="4">
        <f>'תקציב אגף ת.ב.ל 2020 '!W6</f>
        <v>200000</v>
      </c>
      <c r="X6" s="4">
        <f>'תקציב אגף ת.ב.ל 2020 '!X6</f>
        <v>0</v>
      </c>
      <c r="Y6" s="4">
        <f>'תקציב אגף ת.ב.ל 2020 '!Y6</f>
        <v>0</v>
      </c>
      <c r="Z6" s="4">
        <f>'תקציב אגף ת.ב.ל 2020 '!Z6</f>
        <v>0</v>
      </c>
      <c r="AA6" s="87" t="str">
        <f>'תקציב אגף ת.ב.ל 2020 '!AA6</f>
        <v>סל לייעוץ ותכנון הנדסי.</v>
      </c>
      <c r="AB6" s="706">
        <f>'תקציב אגף ת.ב.ל 2020 '!AB6</f>
        <v>732000</v>
      </c>
      <c r="AC6" s="191"/>
      <c r="AD6" s="191"/>
      <c r="AE6" s="31"/>
      <c r="AF6" s="28"/>
      <c r="AG6" s="358"/>
      <c r="AH6" s="359"/>
      <c r="AI6" s="360"/>
      <c r="AJ6" s="29"/>
      <c r="AK6" s="29"/>
      <c r="AL6" s="29"/>
      <c r="AM6" s="29"/>
      <c r="AN6" s="28"/>
    </row>
    <row r="7" spans="1:40" s="5" customFormat="1" ht="41.4">
      <c r="A7" s="3">
        <f>A6+1</f>
        <v>2</v>
      </c>
      <c r="B7" s="706">
        <f>'תקציב אגף ת.ב.ל 2020 '!B7</f>
        <v>1250</v>
      </c>
      <c r="C7" s="87" t="str">
        <f>'תקציב אגף ת.ב.ל 2020 '!C7</f>
        <v>החלפת גגות אסבסט</v>
      </c>
      <c r="D7" s="4">
        <f>'תקציב אגף ת.ב.ל 2020 '!D7</f>
        <v>1800000</v>
      </c>
      <c r="E7" s="4">
        <f>'תקציב אגף ת.ב.ל 2020 '!E7</f>
        <v>1450000</v>
      </c>
      <c r="F7" s="4">
        <f>'תקציב אגף ת.ב.ל 2020 '!F7</f>
        <v>350000</v>
      </c>
      <c r="G7" s="4">
        <f>'תקציב אגף ת.ב.ל 2020 '!G7</f>
        <v>1400000</v>
      </c>
      <c r="H7" s="4">
        <f>'תקציב אגף ת.ב.ל 2020 '!H7</f>
        <v>1178456.43</v>
      </c>
      <c r="I7" s="4">
        <f>'תקציב אגף ת.ב.ל 2020 '!I7</f>
        <v>0</v>
      </c>
      <c r="J7" s="4">
        <f>'תקציב אגף ת.ב.ל 2020 '!J7</f>
        <v>6276.7</v>
      </c>
      <c r="K7" s="4">
        <f>'תקציב אגף ת.ב.ל 2020 '!K7</f>
        <v>6276.7</v>
      </c>
      <c r="L7" s="4">
        <f>'תקציב אגף ת.ב.ל 2020 '!L7</f>
        <v>1184733.1299999999</v>
      </c>
      <c r="M7" s="4">
        <f>'תקציב אגף ת.ב.ל 2020 '!M7</f>
        <v>215266.87000000011</v>
      </c>
      <c r="N7" s="4">
        <f>'תקציב אגף ת.ב.ל 2020 '!N7</f>
        <v>400000</v>
      </c>
      <c r="O7" s="4">
        <f>'תקציב אגף ת.ב.ל 2020 '!O7</f>
        <v>0</v>
      </c>
      <c r="P7" s="4">
        <f>'תקציב אגף ת.ב.ל 2020 '!P7</f>
        <v>215266.87000000011</v>
      </c>
      <c r="Q7" s="4">
        <f>'תקציב אגף ת.ב.ל 2020 '!Q7</f>
        <v>0</v>
      </c>
      <c r="R7" s="4">
        <f>'תקציב אגף ת.ב.ל 2020 '!R7</f>
        <v>0</v>
      </c>
      <c r="S7" s="4">
        <f>'תקציב אגף ת.ב.ל 2020 '!S7</f>
        <v>0</v>
      </c>
      <c r="T7" s="4">
        <f>'תקציב אגף ת.ב.ל 2020 '!T7</f>
        <v>0</v>
      </c>
      <c r="U7" s="4">
        <f>'תקציב אגף ת.ב.ל 2020 '!U7</f>
        <v>400000</v>
      </c>
      <c r="V7" s="4">
        <f>'תקציב אגף ת.ב.ל 2020 '!V7</f>
        <v>0</v>
      </c>
      <c r="W7" s="4">
        <f>'תקציב אגף ת.ב.ל 2020 '!W7</f>
        <v>400000</v>
      </c>
      <c r="X7" s="4">
        <f>'תקציב אגף ת.ב.ל 2020 '!X7</f>
        <v>0</v>
      </c>
      <c r="Y7" s="4">
        <f>'תקציב אגף ת.ב.ל 2020 '!Y7</f>
        <v>0</v>
      </c>
      <c r="Z7" s="4">
        <f>'תקציב אגף ת.ב.ל 2020 '!Z7</f>
        <v>0</v>
      </c>
      <c r="AA7" s="87" t="str">
        <f>'תקציב אגף ת.ב.ל 2020 '!AA7</f>
        <v>החלפת גגות אסבסט במוסדות ציבור עפ"י רשימה  ובעקבות החוק הקשור במבני אסבסט.</v>
      </c>
      <c r="AB7" s="706">
        <f>'תקציב אגף ת.ב.ל 2020 '!AB7</f>
        <v>749000</v>
      </c>
      <c r="AC7" s="191"/>
      <c r="AD7" s="191"/>
      <c r="AE7" s="31"/>
      <c r="AF7" s="28"/>
      <c r="AG7" s="358"/>
      <c r="AH7" s="359"/>
      <c r="AI7" s="360"/>
      <c r="AJ7" s="29"/>
      <c r="AK7" s="29"/>
      <c r="AL7" s="29"/>
      <c r="AM7" s="29"/>
      <c r="AN7" s="28"/>
    </row>
    <row r="8" spans="1:40" s="5" customFormat="1" ht="30" customHeight="1">
      <c r="A8" s="3">
        <f t="shared" ref="A8:A59" si="0">A7+1</f>
        <v>3</v>
      </c>
      <c r="B8" s="706">
        <f>'תקציב אגף ת.ב.ל 2020 '!B8</f>
        <v>1253</v>
      </c>
      <c r="C8" s="87" t="str">
        <f>'תקציב אגף ת.ב.ל 2020 '!C8</f>
        <v>שיפוץ מבני דת ציבוריים</v>
      </c>
      <c r="D8" s="4">
        <f>'תקציב אגף ת.ב.ל 2020 '!D8</f>
        <v>5200000</v>
      </c>
      <c r="E8" s="4">
        <f>'תקציב אגף ת.ב.ל 2020 '!E8</f>
        <v>4700000</v>
      </c>
      <c r="F8" s="4">
        <f>'תקציב אגף ת.ב.ל 2020 '!F8</f>
        <v>500000</v>
      </c>
      <c r="G8" s="4">
        <f>'תקציב אגף ת.ב.ל 2020 '!G8</f>
        <v>4700000</v>
      </c>
      <c r="H8" s="4">
        <f>'תקציב אגף ת.ב.ל 2020 '!H8</f>
        <v>4220851.32</v>
      </c>
      <c r="I8" s="4">
        <f>'תקציב אגף ת.ב.ל 2020 '!I8</f>
        <v>0</v>
      </c>
      <c r="J8" s="4">
        <f>'תקציב אגף ת.ב.ל 2020 '!J8</f>
        <v>15305.18</v>
      </c>
      <c r="K8" s="4">
        <f>'תקציב אגף ת.ב.ל 2020 '!K8</f>
        <v>15305.18</v>
      </c>
      <c r="L8" s="4">
        <f>'תקציב אגף ת.ב.ל 2020 '!L8</f>
        <v>4236156.5</v>
      </c>
      <c r="M8" s="4">
        <f>'תקציב אגף ת.ב.ל 2020 '!M8</f>
        <v>463843.5</v>
      </c>
      <c r="N8" s="4">
        <f>'תקציב אגף ת.ב.ל 2020 '!N8</f>
        <v>500000</v>
      </c>
      <c r="O8" s="4">
        <f>'תקציב אגף ת.ב.ל 2020 '!O8</f>
        <v>0</v>
      </c>
      <c r="P8" s="4">
        <f>'תקציב אגף ת.ב.ל 2020 '!P8</f>
        <v>463843.5</v>
      </c>
      <c r="Q8" s="4">
        <f>'תקציב אגף ת.ב.ל 2020 '!Q8</f>
        <v>0</v>
      </c>
      <c r="R8" s="4">
        <f>'תקציב אגף ת.ב.ל 2020 '!R8</f>
        <v>0</v>
      </c>
      <c r="S8" s="4">
        <f>'תקציב אגף ת.ב.ל 2020 '!S8</f>
        <v>0</v>
      </c>
      <c r="T8" s="4">
        <f>'תקציב אגף ת.ב.ל 2020 '!T8</f>
        <v>0</v>
      </c>
      <c r="U8" s="4">
        <f>'תקציב אגף ת.ב.ל 2020 '!U8</f>
        <v>500000</v>
      </c>
      <c r="V8" s="4">
        <f>'תקציב אגף ת.ב.ל 2020 '!V8</f>
        <v>0</v>
      </c>
      <c r="W8" s="4">
        <f>'תקציב אגף ת.ב.ל 2020 '!W8</f>
        <v>500000</v>
      </c>
      <c r="X8" s="4">
        <f>'תקציב אגף ת.ב.ל 2020 '!X8</f>
        <v>0</v>
      </c>
      <c r="Y8" s="4">
        <f>'תקציב אגף ת.ב.ל 2020 '!Y8</f>
        <v>0</v>
      </c>
      <c r="Z8" s="4">
        <f>'תקציב אגף ת.ב.ל 2020 '!Z8</f>
        <v>0</v>
      </c>
      <c r="AA8" s="87" t="str">
        <f>'תקציב אגף ת.ב.ל 2020 '!AA8</f>
        <v>סל לשיפוץ בתי כנסת ע"פ תוכנית שתוגש במהלך השנה.</v>
      </c>
      <c r="AB8" s="706">
        <f>'תקציב אגף ת.ב.ל 2020 '!AB8</f>
        <v>850000</v>
      </c>
      <c r="AC8" s="191"/>
      <c r="AD8" s="191"/>
      <c r="AE8" s="31"/>
      <c r="AF8" s="28"/>
      <c r="AG8" s="358"/>
      <c r="AH8" s="359"/>
      <c r="AI8" s="360"/>
      <c r="AJ8" s="29"/>
      <c r="AK8" s="29"/>
      <c r="AL8" s="29"/>
      <c r="AM8" s="29"/>
      <c r="AN8" s="28"/>
    </row>
    <row r="9" spans="1:40" s="5" customFormat="1" ht="30" customHeight="1">
      <c r="A9" s="3">
        <f t="shared" si="0"/>
        <v>4</v>
      </c>
      <c r="B9" s="706">
        <f>'תקציב אגף ת.ב.ל 2020 '!B9</f>
        <v>1415</v>
      </c>
      <c r="C9" s="87" t="str">
        <f>'תקציב אגף ת.ב.ל 2020 '!C9</f>
        <v>התקנה שדרוג מזגנים במוסדות העיריה</v>
      </c>
      <c r="D9" s="4">
        <f>'תקציב אגף ת.ב.ל 2020 '!D9</f>
        <v>1200000</v>
      </c>
      <c r="E9" s="4">
        <f>'תקציב אגף ת.ב.ל 2020 '!E9</f>
        <v>1150000</v>
      </c>
      <c r="F9" s="4">
        <f>'תקציב אגף ת.ב.ל 2020 '!F9</f>
        <v>50000</v>
      </c>
      <c r="G9" s="4">
        <f>'תקציב אגף ת.ב.ל 2020 '!G9</f>
        <v>1100000</v>
      </c>
      <c r="H9" s="4">
        <f>'תקציב אגף ת.ב.ל 2020 '!H9</f>
        <v>1020725.93</v>
      </c>
      <c r="I9" s="4">
        <f>'תקציב אגף ת.ב.ל 2020 '!I9</f>
        <v>0</v>
      </c>
      <c r="J9" s="4">
        <f>'תקציב אגף ת.ב.ל 2020 '!J9</f>
        <v>21772.7</v>
      </c>
      <c r="K9" s="4">
        <f>'תקציב אגף ת.ב.ל 2020 '!K9</f>
        <v>21772.7</v>
      </c>
      <c r="L9" s="4">
        <f>'תקציב אגף ת.ב.ל 2020 '!L9</f>
        <v>1042498.63</v>
      </c>
      <c r="M9" s="4">
        <f>'תקציב אגף ת.ב.ל 2020 '!M9</f>
        <v>57501.369999999995</v>
      </c>
      <c r="N9" s="4">
        <f>'תקציב אגף ת.ב.ל 2020 '!N9</f>
        <v>100000</v>
      </c>
      <c r="O9" s="4">
        <f>'תקציב אגף ת.ב.ל 2020 '!O9</f>
        <v>0</v>
      </c>
      <c r="P9" s="4">
        <f>'תקציב אגף ת.ב.ל 2020 '!P9</f>
        <v>57501.369999999995</v>
      </c>
      <c r="Q9" s="4">
        <f>'תקציב אגף ת.ב.ל 2020 '!Q9</f>
        <v>0</v>
      </c>
      <c r="R9" s="4">
        <f>'תקציב אגף ת.ב.ל 2020 '!R9</f>
        <v>0</v>
      </c>
      <c r="S9" s="4">
        <f>'תקציב אגף ת.ב.ל 2020 '!S9</f>
        <v>0</v>
      </c>
      <c r="T9" s="4">
        <f>'תקציב אגף ת.ב.ל 2020 '!T9</f>
        <v>0</v>
      </c>
      <c r="U9" s="4">
        <f>'תקציב אגף ת.ב.ל 2020 '!U9</f>
        <v>100000</v>
      </c>
      <c r="V9" s="4">
        <f>'תקציב אגף ת.ב.ל 2020 '!V9</f>
        <v>0</v>
      </c>
      <c r="W9" s="4">
        <f>'תקציב אגף ת.ב.ל 2020 '!W9</f>
        <v>100000</v>
      </c>
      <c r="X9" s="4">
        <f>'תקציב אגף ת.ב.ל 2020 '!X9</f>
        <v>0</v>
      </c>
      <c r="Y9" s="4">
        <f>'תקציב אגף ת.ב.ל 2020 '!Y9</f>
        <v>0</v>
      </c>
      <c r="Z9" s="4">
        <f>'תקציב אגף ת.ב.ל 2020 '!Z9</f>
        <v>0</v>
      </c>
      <c r="AA9" s="87" t="str">
        <f>'תקציב אגף ת.ב.ל 2020 '!AA9</f>
        <v>סל להחלפה ושדרוג מזגנים במוסדות עירייה.</v>
      </c>
      <c r="AB9" s="706">
        <f>'תקציב אגף ת.ב.ל 2020 '!AB9</f>
        <v>930000</v>
      </c>
      <c r="AC9" s="191"/>
      <c r="AD9" s="191"/>
      <c r="AE9" s="31"/>
      <c r="AF9" s="28"/>
      <c r="AG9" s="358"/>
      <c r="AH9" s="359"/>
      <c r="AI9" s="360"/>
      <c r="AJ9" s="29"/>
      <c r="AK9" s="29"/>
      <c r="AL9" s="29"/>
      <c r="AM9" s="29"/>
      <c r="AN9" s="28"/>
    </row>
    <row r="10" spans="1:40" s="5" customFormat="1" ht="30" customHeight="1">
      <c r="A10" s="3">
        <f t="shared" si="0"/>
        <v>5</v>
      </c>
      <c r="B10" s="706">
        <f>'תקציב אגף ת.ב.ל 2020 '!B10</f>
        <v>1416</v>
      </c>
      <c r="C10" s="87" t="str">
        <f>'תקציב אגף ת.ב.ל 2020 '!C10</f>
        <v>שיפוץ ובינוי נכסים עירוניים כולל תשתיות</v>
      </c>
      <c r="D10" s="4">
        <f>'תקציב אגף ת.ב.ל 2020 '!D10</f>
        <v>1800000</v>
      </c>
      <c r="E10" s="4">
        <f>'תקציב אגף ת.ב.ל 2020 '!E10</f>
        <v>1700000</v>
      </c>
      <c r="F10" s="4">
        <f>'תקציב אגף ת.ב.ל 2020 '!F10</f>
        <v>100000</v>
      </c>
      <c r="G10" s="4">
        <f>'תקציב אגף ת.ב.ל 2020 '!G10</f>
        <v>1500000</v>
      </c>
      <c r="H10" s="4">
        <f>'תקציב אגף ת.ב.ל 2020 '!H10</f>
        <v>1421581.35</v>
      </c>
      <c r="I10" s="4">
        <f>'תקציב אגף ת.ב.ל 2020 '!I10</f>
        <v>0</v>
      </c>
      <c r="J10" s="4">
        <f>'תקציב אגף ת.ב.ל 2020 '!J10</f>
        <v>18471.29</v>
      </c>
      <c r="K10" s="4">
        <f>'תקציב אגף ת.ב.ל 2020 '!K10</f>
        <v>18471.29</v>
      </c>
      <c r="L10" s="4">
        <f>'תקציב אגף ת.ב.ל 2020 '!L10</f>
        <v>1440052.6400000001</v>
      </c>
      <c r="M10" s="4">
        <f>'תקציב אגף ת.ב.ל 2020 '!M10</f>
        <v>59947.35999999987</v>
      </c>
      <c r="N10" s="4">
        <f>'תקציב אגף ת.ב.ל 2020 '!N10</f>
        <v>300000</v>
      </c>
      <c r="O10" s="4">
        <f>'תקציב אגף ת.ב.ל 2020 '!O10</f>
        <v>0</v>
      </c>
      <c r="P10" s="4">
        <f>'תקציב אגף ת.ב.ל 2020 '!P10</f>
        <v>59947.35999999987</v>
      </c>
      <c r="Q10" s="4">
        <f>'תקציב אגף ת.ב.ל 2020 '!Q10</f>
        <v>0</v>
      </c>
      <c r="R10" s="4">
        <f>'תקציב אגף ת.ב.ל 2020 '!R10</f>
        <v>0</v>
      </c>
      <c r="S10" s="4">
        <f>'תקציב אגף ת.ב.ל 2020 '!S10</f>
        <v>0</v>
      </c>
      <c r="T10" s="4">
        <f>'תקציב אגף ת.ב.ל 2020 '!T10</f>
        <v>0</v>
      </c>
      <c r="U10" s="4">
        <f>'תקציב אגף ת.ב.ל 2020 '!U10</f>
        <v>300000</v>
      </c>
      <c r="V10" s="4">
        <f>'תקציב אגף ת.ב.ל 2020 '!V10</f>
        <v>0</v>
      </c>
      <c r="W10" s="4">
        <f>'תקציב אגף ת.ב.ל 2020 '!W10</f>
        <v>300000</v>
      </c>
      <c r="X10" s="4">
        <f>'תקציב אגף ת.ב.ל 2020 '!X10</f>
        <v>0</v>
      </c>
      <c r="Y10" s="4">
        <f>'תקציב אגף ת.ב.ל 2020 '!Y10</f>
        <v>0</v>
      </c>
      <c r="Z10" s="4">
        <f>'תקציב אגף ת.ב.ל 2020 '!Z10</f>
        <v>0</v>
      </c>
      <c r="AA10" s="87" t="str">
        <f>'תקציב אגף ת.ב.ל 2020 '!AA10</f>
        <v>סל לשיפוץ ובינוי נכסים עירוניים.</v>
      </c>
      <c r="AB10" s="706">
        <f>'תקציב אגף ת.ב.ל 2020 '!AB10</f>
        <v>930000</v>
      </c>
      <c r="AC10" s="191"/>
      <c r="AD10" s="191"/>
      <c r="AE10" s="31"/>
      <c r="AF10" s="28"/>
      <c r="AG10" s="358"/>
      <c r="AH10" s="359"/>
      <c r="AI10" s="360"/>
      <c r="AJ10" s="29"/>
      <c r="AK10" s="29"/>
      <c r="AL10" s="29"/>
      <c r="AM10" s="29"/>
      <c r="AN10" s="28"/>
    </row>
    <row r="11" spans="1:40" s="5" customFormat="1" ht="30" customHeight="1">
      <c r="A11" s="3">
        <f t="shared" si="0"/>
        <v>6</v>
      </c>
      <c r="B11" s="706">
        <f>'תקציב אגף ת.ב.ל 2020 '!B11</f>
        <v>1472</v>
      </c>
      <c r="C11" s="87" t="str">
        <f>'תקציב אגף ת.ב.ל 2020 '!C11</f>
        <v>מיזוג אוויר במוס"ח</v>
      </c>
      <c r="D11" s="4">
        <f>'תקציב אגף ת.ב.ל 2020 '!D11</f>
        <v>11350000</v>
      </c>
      <c r="E11" s="4">
        <f>'תקציב אגף ת.ב.ל 2020 '!E11</f>
        <v>11350000</v>
      </c>
      <c r="F11" s="4">
        <f>'תקציב אגף ת.ב.ל 2020 '!F11</f>
        <v>0</v>
      </c>
      <c r="G11" s="4">
        <f>'תקציב אגף ת.ב.ל 2020 '!G11</f>
        <v>11206096</v>
      </c>
      <c r="H11" s="4">
        <f>'תקציב אגף ת.ב.ל 2020 '!H11</f>
        <v>11148927.23</v>
      </c>
      <c r="I11" s="4">
        <f>'תקציב אגף ת.ב.ל 2020 '!I11</f>
        <v>0</v>
      </c>
      <c r="J11" s="4">
        <f>'תקציב אגף ת.ב.ל 2020 '!J11</f>
        <v>26953.040000000001</v>
      </c>
      <c r="K11" s="4">
        <f>'תקציב אגף ת.ב.ל 2020 '!K11</f>
        <v>26953.040000000001</v>
      </c>
      <c r="L11" s="4">
        <f>'תקציב אגף ת.ב.ל 2020 '!L11</f>
        <v>11175880.27</v>
      </c>
      <c r="M11" s="4">
        <f>'תקציב אגף ת.ב.ל 2020 '!M11</f>
        <v>30215.730000000447</v>
      </c>
      <c r="N11" s="4">
        <f>'תקציב אגף ת.ב.ל 2020 '!N11</f>
        <v>100000</v>
      </c>
      <c r="O11" s="4">
        <f>'תקציב אגף ת.ב.ל 2020 '!O11</f>
        <v>43904</v>
      </c>
      <c r="P11" s="4">
        <f>'תקציב אגף ת.ב.ל 2020 '!P11</f>
        <v>30215.730000000447</v>
      </c>
      <c r="Q11" s="4">
        <f>'תקציב אגף ת.ב.ל 2020 '!Q11</f>
        <v>0</v>
      </c>
      <c r="R11" s="4">
        <f>'תקציב אגף ת.ב.ל 2020 '!R11</f>
        <v>0</v>
      </c>
      <c r="S11" s="4">
        <f>'תקציב אגף ת.ב.ל 2020 '!S11</f>
        <v>0</v>
      </c>
      <c r="T11" s="4">
        <f>'תקציב אגף ת.ב.ל 2020 '!T11</f>
        <v>0</v>
      </c>
      <c r="U11" s="4">
        <f>'תקציב אגף ת.ב.ל 2020 '!U11</f>
        <v>100000</v>
      </c>
      <c r="V11" s="4">
        <f>'תקציב אגף ת.ב.ל 2020 '!V11</f>
        <v>0</v>
      </c>
      <c r="W11" s="4">
        <f>'תקציב אגף ת.ב.ל 2020 '!W11</f>
        <v>100000</v>
      </c>
      <c r="X11" s="4">
        <f>'תקציב אגף ת.ב.ל 2020 '!X11</f>
        <v>0</v>
      </c>
      <c r="Y11" s="4">
        <f>'תקציב אגף ת.ב.ל 2020 '!Y11</f>
        <v>0</v>
      </c>
      <c r="Z11" s="4">
        <f>'תקציב אגף ת.ב.ל 2020 '!Z11</f>
        <v>0</v>
      </c>
      <c r="AA11" s="87" t="str">
        <f>'תקציב אגף ת.ב.ל 2020 '!AA11</f>
        <v>סל להחלפה ושדרוג מזגנים במוסדות חינוך.</v>
      </c>
      <c r="AB11" s="706">
        <f>'תקציב אגף ת.ב.ל 2020 '!AB11</f>
        <v>810000</v>
      </c>
      <c r="AC11" s="191"/>
      <c r="AD11" s="191"/>
      <c r="AE11" s="31"/>
      <c r="AF11" s="28"/>
      <c r="AG11" s="358"/>
      <c r="AH11" s="359"/>
      <c r="AI11" s="360"/>
      <c r="AJ11" s="29"/>
      <c r="AK11" s="29"/>
      <c r="AL11" s="29"/>
      <c r="AM11" s="29"/>
      <c r="AN11" s="28"/>
    </row>
    <row r="12" spans="1:40" s="5" customFormat="1" ht="27.6">
      <c r="A12" s="3">
        <f t="shared" si="0"/>
        <v>7</v>
      </c>
      <c r="B12" s="706">
        <f>'תקציב אגף ת.ב.ל 2020 '!B12</f>
        <v>1477</v>
      </c>
      <c r="C12" s="87" t="str">
        <f>'תקציב אגף ת.ב.ל 2020 '!C12</f>
        <v xml:space="preserve">הצללות בי"ס וגנ"י  ומתנס"ים </v>
      </c>
      <c r="D12" s="4">
        <f>'תקציב אגף ת.ב.ל 2020 '!D12</f>
        <v>9350000</v>
      </c>
      <c r="E12" s="4">
        <f>'תקציב אגף ת.ב.ל 2020 '!E12</f>
        <v>9350000</v>
      </c>
      <c r="F12" s="4">
        <f>'תקציב אגף ת.ב.ל 2020 '!F12</f>
        <v>0</v>
      </c>
      <c r="G12" s="4">
        <f>'תקציב אגף ת.ב.ל 2020 '!G12</f>
        <v>3850000</v>
      </c>
      <c r="H12" s="4">
        <f>'תקציב אגף ת.ב.ל 2020 '!H12</f>
        <v>2167201.5699999998</v>
      </c>
      <c r="I12" s="4">
        <f>'תקציב אגף ת.ב.ל 2020 '!I12</f>
        <v>1334615.49</v>
      </c>
      <c r="J12" s="4">
        <f>'תקציב אגף ת.ב.ל 2020 '!J12</f>
        <v>29250</v>
      </c>
      <c r="K12" s="4">
        <f>'תקציב אגף ת.ב.ל 2020 '!K12</f>
        <v>1363865.49</v>
      </c>
      <c r="L12" s="4">
        <f>'תקציב אגף ת.ב.ל 2020 '!L12</f>
        <v>3531067.0599999996</v>
      </c>
      <c r="M12" s="4">
        <f>'תקציב אגף ת.ב.ל 2020 '!M12</f>
        <v>318932.94000000041</v>
      </c>
      <c r="N12" s="4">
        <f>'תקציב אגף ת.ב.ל 2020 '!N12</f>
        <v>600000</v>
      </c>
      <c r="O12" s="4">
        <f>'תקציב אגף ת.ב.ל 2020 '!O12</f>
        <v>4900000</v>
      </c>
      <c r="P12" s="4">
        <f>'תקציב אגף ת.ב.ל 2020 '!P12</f>
        <v>318932.94000000041</v>
      </c>
      <c r="Q12" s="4">
        <f>'תקציב אגף ת.ב.ל 2020 '!Q12</f>
        <v>0</v>
      </c>
      <c r="R12" s="4">
        <f>'תקציב אגף ת.ב.ל 2020 '!R12</f>
        <v>0</v>
      </c>
      <c r="S12" s="4">
        <f>'תקציב אגף ת.ב.ל 2020 '!S12</f>
        <v>0</v>
      </c>
      <c r="T12" s="4">
        <f>'תקציב אגף ת.ב.ל 2020 '!T12</f>
        <v>0</v>
      </c>
      <c r="U12" s="4">
        <f>'תקציב אגף ת.ב.ל 2020 '!U12</f>
        <v>600000</v>
      </c>
      <c r="V12" s="4">
        <f>'תקציב אגף ת.ב.ל 2020 '!V12</f>
        <v>0</v>
      </c>
      <c r="W12" s="4">
        <f>'תקציב אגף ת.ב.ל 2020 '!W12</f>
        <v>600000</v>
      </c>
      <c r="X12" s="4">
        <f>'תקציב אגף ת.ב.ל 2020 '!X12</f>
        <v>0</v>
      </c>
      <c r="Y12" s="4">
        <f>'תקציב אגף ת.ב.ל 2020 '!Y12</f>
        <v>0</v>
      </c>
      <c r="Z12" s="4">
        <f>'תקציב אגף ת.ב.ל 2020 '!Z12</f>
        <v>0</v>
      </c>
      <c r="AA12" s="87" t="str">
        <f>'תקציב אגף ת.ב.ל 2020 '!AA12</f>
        <v xml:space="preserve">הצללות קבועות מעל מגרשי ספורט  עפ"י תוכנית רב שנתית. </v>
      </c>
      <c r="AB12" s="706">
        <f>'תקציב אגף ת.ב.ל 2020 '!AB12</f>
        <v>810000</v>
      </c>
      <c r="AC12" s="191"/>
      <c r="AD12" s="191"/>
      <c r="AE12" s="31"/>
      <c r="AF12" s="28"/>
      <c r="AG12" s="358"/>
      <c r="AH12" s="359"/>
      <c r="AI12" s="360"/>
      <c r="AJ12" s="29"/>
      <c r="AK12" s="29"/>
      <c r="AL12" s="29"/>
      <c r="AM12" s="29"/>
      <c r="AN12" s="28"/>
    </row>
    <row r="13" spans="1:40" s="5" customFormat="1" ht="30" customHeight="1">
      <c r="A13" s="3">
        <f t="shared" si="0"/>
        <v>8</v>
      </c>
      <c r="B13" s="706">
        <f>'תקציב אגף ת.ב.ל 2020 '!B13</f>
        <v>1483</v>
      </c>
      <c r="C13" s="87" t="str">
        <f>'תקציב אגף ת.ב.ל 2020 '!C13</f>
        <v>ריהוט גנ"י</v>
      </c>
      <c r="D13" s="4">
        <f>'תקציב אגף ת.ב.ל 2020 '!D13</f>
        <v>2700000</v>
      </c>
      <c r="E13" s="4">
        <f>'תקציב אגף ת.ב.ל 2020 '!E13</f>
        <v>2700000</v>
      </c>
      <c r="F13" s="4">
        <f>'תקציב אגף ת.ב.ל 2020 '!F13</f>
        <v>0</v>
      </c>
      <c r="G13" s="4">
        <f>'תקציב אגף ת.ב.ל 2020 '!G13</f>
        <v>2100000</v>
      </c>
      <c r="H13" s="4">
        <f>'תקציב אגף ת.ב.ל 2020 '!H13</f>
        <v>1550290.95</v>
      </c>
      <c r="I13" s="4">
        <f>'תקציב אגף ת.ב.ל 2020 '!I13</f>
        <v>0</v>
      </c>
      <c r="J13" s="4">
        <f>'תקציב אגף ת.ב.ל 2020 '!J13</f>
        <v>427232.56</v>
      </c>
      <c r="K13" s="4">
        <f>'תקציב אגף ת.ב.ל 2020 '!K13</f>
        <v>427232.56</v>
      </c>
      <c r="L13" s="4">
        <f>'תקציב אגף ת.ב.ל 2020 '!L13</f>
        <v>1977523.51</v>
      </c>
      <c r="M13" s="4">
        <f>'תקציב אגף ת.ב.ל 2020 '!M13</f>
        <v>122476.48999999999</v>
      </c>
      <c r="N13" s="4">
        <f>'תקציב אגף ת.ב.ל 2020 '!N13</f>
        <v>0</v>
      </c>
      <c r="O13" s="4">
        <f>'תקציב אגף ת.ב.ל 2020 '!O13</f>
        <v>600000</v>
      </c>
      <c r="P13" s="4">
        <f>'תקציב אגף ת.ב.ל 2020 '!P13</f>
        <v>122476.48999999999</v>
      </c>
      <c r="Q13" s="4">
        <f>'תקציב אגף ת.ב.ל 2020 '!Q13</f>
        <v>0</v>
      </c>
      <c r="R13" s="4">
        <f>'תקציב אגף ת.ב.ל 2020 '!R13</f>
        <v>0</v>
      </c>
      <c r="S13" s="4">
        <f>'תקציב אגף ת.ב.ל 2020 '!S13</f>
        <v>0</v>
      </c>
      <c r="T13" s="4">
        <f>'תקציב אגף ת.ב.ל 2020 '!T13</f>
        <v>0</v>
      </c>
      <c r="U13" s="4">
        <f>'תקציב אגף ת.ב.ל 2020 '!U13</f>
        <v>0</v>
      </c>
      <c r="V13" s="4">
        <f>'תקציב אגף ת.ב.ל 2020 '!V13</f>
        <v>0</v>
      </c>
      <c r="W13" s="4">
        <f>'תקציב אגף ת.ב.ל 2020 '!W13</f>
        <v>0</v>
      </c>
      <c r="X13" s="4">
        <f>'תקציב אגף ת.ב.ל 2020 '!X13</f>
        <v>0</v>
      </c>
      <c r="Y13" s="4">
        <f>'תקציב אגף ת.ב.ל 2020 '!Y13</f>
        <v>0</v>
      </c>
      <c r="Z13" s="4">
        <f>'תקציב אגף ת.ב.ל 2020 '!Z13</f>
        <v>0</v>
      </c>
      <c r="AA13" s="87" t="str">
        <f>'תקציב אגף ת.ב.ל 2020 '!AA13</f>
        <v>סל לשדרוג ריהוט בגני ילדים.</v>
      </c>
      <c r="AB13" s="706">
        <f>'תקציב אגף ת.ב.ל 2020 '!AB13</f>
        <v>812000</v>
      </c>
      <c r="AC13" s="191"/>
      <c r="AD13" s="191"/>
      <c r="AE13" s="31"/>
      <c r="AF13" s="28"/>
      <c r="AG13" s="358"/>
      <c r="AH13" s="359"/>
      <c r="AI13" s="360"/>
      <c r="AJ13" s="29"/>
      <c r="AK13" s="29"/>
      <c r="AL13" s="29"/>
      <c r="AM13" s="29"/>
      <c r="AN13" s="28"/>
    </row>
    <row r="14" spans="1:40" s="5" customFormat="1" ht="41.4">
      <c r="A14" s="3">
        <f t="shared" si="0"/>
        <v>9</v>
      </c>
      <c r="B14" s="706">
        <f>'תקציב אגף ת.ב.ל 2020 '!B14</f>
        <v>1489</v>
      </c>
      <c r="C14" s="87" t="str">
        <f>'תקציב אגף ת.ב.ל 2020 '!C14</f>
        <v>שדרוג כבישים מדרכות תשתיות</v>
      </c>
      <c r="D14" s="4">
        <f>'תקציב אגף ת.ב.ל 2020 '!D14</f>
        <v>48500000</v>
      </c>
      <c r="E14" s="4">
        <f>'תקציב אגף ת.ב.ל 2020 '!E14</f>
        <v>46200000</v>
      </c>
      <c r="F14" s="4">
        <f>'תקציב אגף ת.ב.ל 2020 '!F14</f>
        <v>2300000</v>
      </c>
      <c r="G14" s="4">
        <f>'תקציב אגף ת.ב.ל 2020 '!G14</f>
        <v>43900000</v>
      </c>
      <c r="H14" s="4">
        <f>'תקציב אגף ת.ב.ל 2020 '!H14</f>
        <v>37910141.090000004</v>
      </c>
      <c r="I14" s="4">
        <f>'תקציב אגף ת.ב.ל 2020 '!I14</f>
        <v>0</v>
      </c>
      <c r="J14" s="4">
        <f>'תקציב אגף ת.ב.ל 2020 '!J14</f>
        <v>3298194.95</v>
      </c>
      <c r="K14" s="4">
        <f>'תקציב אגף ת.ב.ל 2020 '!K14</f>
        <v>3298194.95</v>
      </c>
      <c r="L14" s="4">
        <f>'תקציב אגף ת.ב.ל 2020 '!L14</f>
        <v>41208336.040000007</v>
      </c>
      <c r="M14" s="4">
        <f>'תקציב אגף ת.ב.ל 2020 '!M14</f>
        <v>3291663.9599999934</v>
      </c>
      <c r="N14" s="4">
        <f>'תקציב אגף ת.ב.ל 2020 '!N14</f>
        <v>3500000</v>
      </c>
      <c r="O14" s="4">
        <f>'תקציב אגף ת.ב.ל 2020 '!O14</f>
        <v>500000</v>
      </c>
      <c r="P14" s="4">
        <f>'תקציב אגף ת.ב.ל 2020 '!P14</f>
        <v>2691663.9599999934</v>
      </c>
      <c r="Q14" s="4">
        <f>'תקציב אגף ת.ב.ל 2020 '!Q14</f>
        <v>600000</v>
      </c>
      <c r="R14" s="4">
        <f>'תקציב אגף ת.ב.ל 2020 '!R14</f>
        <v>0</v>
      </c>
      <c r="S14" s="4">
        <f>'תקציב אגף ת.ב.ל 2020 '!S14</f>
        <v>600000</v>
      </c>
      <c r="T14" s="4">
        <f>'תקציב אגף ת.ב.ל 2020 '!T14</f>
        <v>0</v>
      </c>
      <c r="U14" s="4">
        <f>'תקציב אגף ת.ב.ל 2020 '!U14</f>
        <v>3500000</v>
      </c>
      <c r="V14" s="4">
        <f>'תקציב אגף ת.ב.ל 2020 '!V14</f>
        <v>0</v>
      </c>
      <c r="W14" s="4">
        <f>'תקציב אגף ת.ב.ל 2020 '!W14</f>
        <v>3500000</v>
      </c>
      <c r="X14" s="4">
        <f>'תקציב אגף ת.ב.ל 2020 '!X14</f>
        <v>0</v>
      </c>
      <c r="Y14" s="4">
        <f>'תקציב אגף ת.ב.ל 2020 '!Y14</f>
        <v>0</v>
      </c>
      <c r="Z14" s="4">
        <f>'תקציב אגף ת.ב.ל 2020 '!Z14</f>
        <v>0</v>
      </c>
      <c r="AA14" s="87" t="str">
        <f>'תקציב אגף ת.ב.ל 2020 '!AA14</f>
        <v>סל לשדרוג כבישים במקביל לעבודת תאגיד המים ומדרכות ברחבי העיר עפ"י תוכנית עבודה שתאושר ע"י הנהלת העיר.</v>
      </c>
      <c r="AB14" s="706">
        <f>'תקציב אגף ת.ב.ל 2020 '!AB14</f>
        <v>742000</v>
      </c>
      <c r="AC14" s="191"/>
      <c r="AD14" s="191"/>
      <c r="AE14" s="31"/>
      <c r="AF14" s="28"/>
      <c r="AG14" s="358"/>
      <c r="AH14" s="359"/>
      <c r="AI14" s="360"/>
      <c r="AJ14" s="29"/>
      <c r="AK14" s="29"/>
      <c r="AL14" s="29"/>
      <c r="AM14" s="29"/>
      <c r="AN14" s="28"/>
    </row>
    <row r="15" spans="1:40" s="5" customFormat="1" ht="30" customHeight="1">
      <c r="A15" s="3">
        <f t="shared" si="0"/>
        <v>10</v>
      </c>
      <c r="B15" s="706">
        <f>'תקציב אגף ת.ב.ל 2020 '!B15</f>
        <v>1560</v>
      </c>
      <c r="C15" s="87" t="str">
        <f>'תקציב אגף ת.ב.ל 2020 '!C15</f>
        <v>עבודות שונות בפארק הרצליה</v>
      </c>
      <c r="D15" s="4">
        <f>'תקציב אגף ת.ב.ל 2020 '!D15</f>
        <v>5510000</v>
      </c>
      <c r="E15" s="4">
        <f>'תקציב אגף ת.ב.ל 2020 '!E15</f>
        <v>4610000</v>
      </c>
      <c r="F15" s="4">
        <f>'תקציב אגף ת.ב.ל 2020 '!F15</f>
        <v>900000</v>
      </c>
      <c r="G15" s="4">
        <f>'תקציב אגף ת.ב.ל 2020 '!G15</f>
        <v>4610000</v>
      </c>
      <c r="H15" s="4">
        <f>'תקציב אגף ת.ב.ל 2020 '!H15</f>
        <v>3045356.19</v>
      </c>
      <c r="I15" s="4">
        <f>'תקציב אגף ת.ב.ל 2020 '!I15</f>
        <v>0</v>
      </c>
      <c r="J15" s="4">
        <f>'תקציב אגף ת.ב.ל 2020 '!J15</f>
        <v>627349.77</v>
      </c>
      <c r="K15" s="4">
        <f>'תקציב אגף ת.ב.ל 2020 '!K15</f>
        <v>627349.77</v>
      </c>
      <c r="L15" s="4">
        <f>'תקציב אגף ת.ב.ל 2020 '!L15</f>
        <v>3672705.96</v>
      </c>
      <c r="M15" s="4">
        <f>'תקציב אגף ת.ב.ל 2020 '!M15</f>
        <v>937294.04</v>
      </c>
      <c r="N15" s="4">
        <f>'תקציב אגף ת.ב.ל 2020 '!N15</f>
        <v>900000</v>
      </c>
      <c r="O15" s="4">
        <f>'תקציב אגף ת.ב.ל 2020 '!O15</f>
        <v>0</v>
      </c>
      <c r="P15" s="4">
        <f>'תקציב אגף ת.ב.ל 2020 '!P15</f>
        <v>937294.04</v>
      </c>
      <c r="Q15" s="4">
        <f>'תקציב אגף ת.ב.ל 2020 '!Q15</f>
        <v>0</v>
      </c>
      <c r="R15" s="4">
        <f>'תקציב אגף ת.ב.ל 2020 '!R15</f>
        <v>0</v>
      </c>
      <c r="S15" s="4">
        <f>'תקציב אגף ת.ב.ל 2020 '!S15</f>
        <v>0</v>
      </c>
      <c r="T15" s="4">
        <f>'תקציב אגף ת.ב.ל 2020 '!T15</f>
        <v>0</v>
      </c>
      <c r="U15" s="4">
        <f>'תקציב אגף ת.ב.ל 2020 '!U15</f>
        <v>900000</v>
      </c>
      <c r="V15" s="4">
        <f>'תקציב אגף ת.ב.ל 2020 '!V15</f>
        <v>0</v>
      </c>
      <c r="W15" s="4">
        <f>'תקציב אגף ת.ב.ל 2020 '!W15</f>
        <v>900000</v>
      </c>
      <c r="X15" s="4">
        <f>'תקציב אגף ת.ב.ל 2020 '!X15</f>
        <v>0</v>
      </c>
      <c r="Y15" s="4">
        <f>'תקציב אגף ת.ב.ל 2020 '!Y15</f>
        <v>0</v>
      </c>
      <c r="Z15" s="4">
        <f>'תקציב אגף ת.ב.ל 2020 '!Z15</f>
        <v>0</v>
      </c>
      <c r="AA15" s="87" t="str">
        <f>'תקציב אגף ת.ב.ל 2020 '!AA15</f>
        <v>עבודות שונות בפארק כולל שביל גישה ליער מאכל, חידוש מסלול שלב ב' צפוני.</v>
      </c>
      <c r="AB15" s="706">
        <f>'תקציב אגף ת.ב.ל 2020 '!AB15</f>
        <v>746000</v>
      </c>
      <c r="AC15" s="191"/>
      <c r="AD15" s="191"/>
      <c r="AE15" s="31"/>
      <c r="AF15" s="28"/>
      <c r="AG15" s="358"/>
      <c r="AH15" s="359"/>
      <c r="AI15" s="360"/>
      <c r="AJ15" s="29"/>
      <c r="AK15" s="29"/>
      <c r="AL15" s="29"/>
      <c r="AM15" s="29"/>
      <c r="AN15" s="28"/>
    </row>
    <row r="16" spans="1:40" s="5" customFormat="1" ht="30" customHeight="1">
      <c r="A16" s="3">
        <f t="shared" si="0"/>
        <v>11</v>
      </c>
      <c r="B16" s="706">
        <f>'תקציב אגף ת.ב.ל 2020 '!B16</f>
        <v>1662</v>
      </c>
      <c r="C16" s="87" t="str">
        <f>'תקציב אגף ת.ב.ל 2020 '!C16</f>
        <v>החלפת תאורה באולמות ספורט</v>
      </c>
      <c r="D16" s="4">
        <f>'תקציב אגף ת.ב.ל 2020 '!D16</f>
        <v>815000</v>
      </c>
      <c r="E16" s="4">
        <f>'תקציב אגף ת.ב.ל 2020 '!E16</f>
        <v>815000</v>
      </c>
      <c r="F16" s="4">
        <f>'תקציב אגף ת.ב.ל 2020 '!F16</f>
        <v>0</v>
      </c>
      <c r="G16" s="4">
        <f>'תקציב אגף ת.ב.ל 2020 '!G16</f>
        <v>815000</v>
      </c>
      <c r="H16" s="4">
        <f>'תקציב אגף ת.ב.ל 2020 '!H16</f>
        <v>271204.53999999998</v>
      </c>
      <c r="I16" s="4">
        <f>'תקציב אגף ת.ב.ל 2020 '!I16</f>
        <v>0</v>
      </c>
      <c r="J16" s="4">
        <f>'תקציב אגף ת.ב.ל 2020 '!J16</f>
        <v>400000</v>
      </c>
      <c r="K16" s="4">
        <f>'תקציב אגף ת.ב.ל 2020 '!K16</f>
        <v>400000</v>
      </c>
      <c r="L16" s="4">
        <f>'תקציב אגף ת.ב.ל 2020 '!L16</f>
        <v>671204.54</v>
      </c>
      <c r="M16" s="4">
        <f>'תקציב אגף ת.ב.ל 2020 '!M16</f>
        <v>143795.45999999996</v>
      </c>
      <c r="N16" s="4">
        <f>'תקציב אגף ת.ב.ל 2020 '!N16</f>
        <v>0</v>
      </c>
      <c r="O16" s="4">
        <f>'תקציב אגף ת.ב.ל 2020 '!O16</f>
        <v>0</v>
      </c>
      <c r="P16" s="4">
        <f>'תקציב אגף ת.ב.ל 2020 '!P16</f>
        <v>143795.45999999996</v>
      </c>
      <c r="Q16" s="4">
        <f>'תקציב אגף ת.ב.ל 2020 '!Q16</f>
        <v>0</v>
      </c>
      <c r="R16" s="4">
        <f>'תקציב אגף ת.ב.ל 2020 '!R16</f>
        <v>0</v>
      </c>
      <c r="S16" s="4">
        <f>'תקציב אגף ת.ב.ל 2020 '!S16</f>
        <v>0</v>
      </c>
      <c r="T16" s="4">
        <f>'תקציב אגף ת.ב.ל 2020 '!T16</f>
        <v>0</v>
      </c>
      <c r="U16" s="4">
        <f>'תקציב אגף ת.ב.ל 2020 '!U16</f>
        <v>0</v>
      </c>
      <c r="V16" s="4">
        <f>'תקציב אגף ת.ב.ל 2020 '!V16</f>
        <v>0</v>
      </c>
      <c r="W16" s="4">
        <f>'תקציב אגף ת.ב.ל 2020 '!W16</f>
        <v>0</v>
      </c>
      <c r="X16" s="4">
        <f>'תקציב אגף ת.ב.ל 2020 '!X16</f>
        <v>0</v>
      </c>
      <c r="Y16" s="4">
        <f>'תקציב אגף ת.ב.ל 2020 '!Y16</f>
        <v>0</v>
      </c>
      <c r="Z16" s="4">
        <f>'תקציב אגף ת.ב.ל 2020 '!Z16</f>
        <v>0</v>
      </c>
      <c r="AA16" s="87">
        <f>'תקציב אגף ת.ב.ל 2020 '!AA16</f>
        <v>0</v>
      </c>
      <c r="AB16" s="706">
        <f>'תקציב אגף ת.ב.ל 2020 '!AB16</f>
        <v>870000</v>
      </c>
      <c r="AC16" s="191"/>
      <c r="AD16" s="191"/>
      <c r="AE16" s="31"/>
      <c r="AF16" s="28"/>
      <c r="AG16" s="358"/>
      <c r="AH16" s="359"/>
      <c r="AI16" s="360"/>
      <c r="AJ16" s="29"/>
      <c r="AK16" s="29"/>
      <c r="AL16" s="29"/>
      <c r="AM16" s="29"/>
      <c r="AN16" s="28"/>
    </row>
    <row r="17" spans="1:40" s="5" customFormat="1" ht="30" customHeight="1">
      <c r="A17" s="3">
        <f t="shared" si="0"/>
        <v>12</v>
      </c>
      <c r="B17" s="706">
        <f>'תקציב אגף ת.ב.ל 2020 '!B17</f>
        <v>1677</v>
      </c>
      <c r="C17" s="87" t="str">
        <f>'תקציב אגף ת.ב.ל 2020 '!C17</f>
        <v>שיפוצים מוס"ח 2014</v>
      </c>
      <c r="D17" s="4">
        <f>'תקציב אגף ת.ב.ל 2020 '!D17</f>
        <v>18500000</v>
      </c>
      <c r="E17" s="4">
        <f>'תקציב אגף ת.ב.ל 2020 '!E17</f>
        <v>18500000</v>
      </c>
      <c r="F17" s="4">
        <f>'תקציב אגף ת.ב.ל 2020 '!F17</f>
        <v>0</v>
      </c>
      <c r="G17" s="4">
        <f>'תקציב אגף ת.ב.ל 2020 '!G17</f>
        <v>18500000</v>
      </c>
      <c r="H17" s="4">
        <f>'תקציב אגף ת.ב.ל 2020 '!H17</f>
        <v>18167039.149999999</v>
      </c>
      <c r="I17" s="4">
        <f>'תקציב אגף ת.ב.ל 2020 '!I17</f>
        <v>302080</v>
      </c>
      <c r="J17" s="4">
        <f>'תקציב אגף ת.ב.ל 2020 '!J17</f>
        <v>0</v>
      </c>
      <c r="K17" s="4">
        <f>'תקציב אגף ת.ב.ל 2020 '!K17</f>
        <v>302080</v>
      </c>
      <c r="L17" s="4">
        <f>'תקציב אגף ת.ב.ל 2020 '!L17</f>
        <v>18469119.149999999</v>
      </c>
      <c r="M17" s="4">
        <f>'תקציב אגף ת.ב.ל 2020 '!M17</f>
        <v>30880.85000000149</v>
      </c>
      <c r="N17" s="4">
        <f>'תקציב אגף ת.ב.ל 2020 '!N17</f>
        <v>0</v>
      </c>
      <c r="O17" s="4">
        <f>'תקציב אגף ת.ב.ל 2020 '!O17</f>
        <v>0</v>
      </c>
      <c r="P17" s="4">
        <f>'תקציב אגף ת.ב.ל 2020 '!P17</f>
        <v>30880.85000000149</v>
      </c>
      <c r="Q17" s="4">
        <f>'תקציב אגף ת.ב.ל 2020 '!Q17</f>
        <v>0</v>
      </c>
      <c r="R17" s="4">
        <f>'תקציב אגף ת.ב.ל 2020 '!R17</f>
        <v>0</v>
      </c>
      <c r="S17" s="4">
        <f>'תקציב אגף ת.ב.ל 2020 '!S17</f>
        <v>0</v>
      </c>
      <c r="T17" s="4">
        <f>'תקציב אגף ת.ב.ל 2020 '!T17</f>
        <v>0</v>
      </c>
      <c r="U17" s="4">
        <f>'תקציב אגף ת.ב.ל 2020 '!U17</f>
        <v>0</v>
      </c>
      <c r="V17" s="4">
        <f>'תקציב אגף ת.ב.ל 2020 '!V17</f>
        <v>0</v>
      </c>
      <c r="W17" s="4">
        <f>'תקציב אגף ת.ב.ל 2020 '!W17</f>
        <v>0</v>
      </c>
      <c r="X17" s="4">
        <f>'תקציב אגף ת.ב.ל 2020 '!X17</f>
        <v>0</v>
      </c>
      <c r="Y17" s="4">
        <f>'תקציב אגף ת.ב.ל 2020 '!Y17</f>
        <v>0</v>
      </c>
      <c r="Z17" s="4">
        <f>'תקציב אגף ת.ב.ל 2020 '!Z17</f>
        <v>0</v>
      </c>
      <c r="AA17" s="87">
        <f>'תקציב אגף ת.ב.ל 2020 '!AA17</f>
        <v>0</v>
      </c>
      <c r="AB17" s="706">
        <f>'תקציב אגף ת.ב.ל 2020 '!AB17</f>
        <v>810000</v>
      </c>
      <c r="AC17" s="191"/>
      <c r="AD17" s="191"/>
      <c r="AE17" s="31"/>
      <c r="AF17" s="28"/>
      <c r="AG17" s="358"/>
      <c r="AH17" s="359"/>
      <c r="AI17" s="360"/>
      <c r="AJ17" s="29"/>
      <c r="AK17" s="29"/>
      <c r="AL17" s="29"/>
      <c r="AM17" s="29"/>
      <c r="AN17" s="28"/>
    </row>
    <row r="18" spans="1:40" s="5" customFormat="1" ht="30" customHeight="1">
      <c r="A18" s="3">
        <f t="shared" si="0"/>
        <v>13</v>
      </c>
      <c r="B18" s="706">
        <f>'תקציב אגף ת.ב.ל 2020 '!B18</f>
        <v>1691</v>
      </c>
      <c r="C18" s="87" t="str">
        <f>'תקציב אגף ת.ב.ל 2020 '!C18</f>
        <v>נגישות ליקויי שמיעה (מ.החינוך)</v>
      </c>
      <c r="D18" s="4">
        <f>'תקציב אגף ת.ב.ל 2020 '!D18</f>
        <v>210000</v>
      </c>
      <c r="E18" s="4">
        <f>'תקציב אגף ת.ב.ל 2020 '!E18</f>
        <v>210000</v>
      </c>
      <c r="F18" s="4">
        <f>'תקציב אגף ת.ב.ל 2020 '!F18</f>
        <v>0</v>
      </c>
      <c r="G18" s="4">
        <f>'תקציב אגף ת.ב.ל 2020 '!G18</f>
        <v>210000</v>
      </c>
      <c r="H18" s="4">
        <f>'תקציב אגף ת.ב.ל 2020 '!H18</f>
        <v>184253.53</v>
      </c>
      <c r="I18" s="4">
        <f>'תקציב אגף ת.ב.ל 2020 '!I18</f>
        <v>0</v>
      </c>
      <c r="J18" s="4">
        <f>'תקציב אגף ת.ב.ל 2020 '!J18</f>
        <v>0</v>
      </c>
      <c r="K18" s="4">
        <f>'תקציב אגף ת.ב.ל 2020 '!K18</f>
        <v>0</v>
      </c>
      <c r="L18" s="4">
        <f>'תקציב אגף ת.ב.ל 2020 '!L18</f>
        <v>184253.53</v>
      </c>
      <c r="M18" s="4">
        <f>'תקציב אגף ת.ב.ל 2020 '!M18</f>
        <v>25746.47</v>
      </c>
      <c r="N18" s="4">
        <f>'תקציב אגף ת.ב.ל 2020 '!N18</f>
        <v>0</v>
      </c>
      <c r="O18" s="4">
        <f>'תקציב אגף ת.ב.ל 2020 '!O18</f>
        <v>0</v>
      </c>
      <c r="P18" s="4">
        <f>'תקציב אגף ת.ב.ל 2020 '!P18</f>
        <v>25746.47</v>
      </c>
      <c r="Q18" s="4">
        <f>'תקציב אגף ת.ב.ל 2020 '!Q18</f>
        <v>0</v>
      </c>
      <c r="R18" s="4">
        <f>'תקציב אגף ת.ב.ל 2020 '!R18</f>
        <v>0</v>
      </c>
      <c r="S18" s="4">
        <f>'תקציב אגף ת.ב.ל 2020 '!S18</f>
        <v>0</v>
      </c>
      <c r="T18" s="4">
        <f>'תקציב אגף ת.ב.ל 2020 '!T18</f>
        <v>0</v>
      </c>
      <c r="U18" s="4">
        <f>'תקציב אגף ת.ב.ל 2020 '!U18</f>
        <v>0</v>
      </c>
      <c r="V18" s="4">
        <f>'תקציב אגף ת.ב.ל 2020 '!V18</f>
        <v>0</v>
      </c>
      <c r="W18" s="4">
        <f>'תקציב אגף ת.ב.ל 2020 '!W18</f>
        <v>0</v>
      </c>
      <c r="X18" s="4">
        <f>'תקציב אגף ת.ב.ל 2020 '!X18</f>
        <v>0</v>
      </c>
      <c r="Y18" s="4">
        <f>'תקציב אגף ת.ב.ל 2020 '!Y18</f>
        <v>0</v>
      </c>
      <c r="Z18" s="4">
        <f>'תקציב אגף ת.ב.ל 2020 '!Z18</f>
        <v>0</v>
      </c>
      <c r="AA18" s="87" t="str">
        <f>'תקציב אגף ת.ב.ל 2020 '!AA18</f>
        <v>מימון מ. החינוך. ממתין לתקבול סופי.</v>
      </c>
      <c r="AB18" s="706">
        <f>'תקציב אגף ת.ב.ל 2020 '!AB18</f>
        <v>810000</v>
      </c>
      <c r="AC18" s="191"/>
      <c r="AD18" s="191"/>
      <c r="AE18" s="31"/>
      <c r="AF18" s="28"/>
      <c r="AG18" s="358"/>
      <c r="AH18" s="359"/>
      <c r="AI18" s="360"/>
      <c r="AJ18" s="29"/>
      <c r="AK18" s="29"/>
      <c r="AL18" s="29"/>
      <c r="AM18" s="29"/>
      <c r="AN18" s="28"/>
    </row>
    <row r="19" spans="1:40" s="5" customFormat="1" ht="30" customHeight="1">
      <c r="A19" s="3">
        <f t="shared" si="0"/>
        <v>14</v>
      </c>
      <c r="B19" s="706">
        <f>'תקציב אגף ת.ב.ל 2020 '!B19</f>
        <v>1770</v>
      </c>
      <c r="C19" s="87" t="str">
        <f>'תקציב אגף ת.ב.ל 2020 '!C19</f>
        <v>שיפוצי מוסדות חינוך שונים  (לב טוב ,גורדון)</v>
      </c>
      <c r="D19" s="4">
        <f>'תקציב אגף ת.ב.ל 2020 '!D19</f>
        <v>29752105</v>
      </c>
      <c r="E19" s="4">
        <f>'תקציב אגף ת.ב.ל 2020 '!E19</f>
        <v>29752105</v>
      </c>
      <c r="F19" s="4">
        <f>'תקציב אגף ת.ב.ל 2020 '!F19</f>
        <v>0</v>
      </c>
      <c r="G19" s="4">
        <f>'תקציב אגף ת.ב.ל 2020 '!G19</f>
        <v>29752105</v>
      </c>
      <c r="H19" s="4">
        <f>'תקציב אגף ת.ב.ל 2020 '!H19</f>
        <v>28089675.219999999</v>
      </c>
      <c r="I19" s="4">
        <f>'תקציב אגף ת.ב.ל 2020 '!I19</f>
        <v>0</v>
      </c>
      <c r="J19" s="4">
        <f>'תקציב אגף ת.ב.ל 2020 '!J19</f>
        <v>1289309.68</v>
      </c>
      <c r="K19" s="4">
        <f>'תקציב אגף ת.ב.ל 2020 '!K19</f>
        <v>1289309.68</v>
      </c>
      <c r="L19" s="4">
        <f>'תקציב אגף ת.ב.ל 2020 '!L19</f>
        <v>29378984.899999999</v>
      </c>
      <c r="M19" s="4">
        <f>'תקציב אגף ת.ב.ל 2020 '!M19</f>
        <v>373120.10000000149</v>
      </c>
      <c r="N19" s="4">
        <f>'תקציב אגף ת.ב.ל 2020 '!N19</f>
        <v>0</v>
      </c>
      <c r="O19" s="4">
        <f>'תקציב אגף ת.ב.ל 2020 '!O19</f>
        <v>0</v>
      </c>
      <c r="P19" s="4">
        <f>'תקציב אגף ת.ב.ל 2020 '!P19</f>
        <v>373120.10000000149</v>
      </c>
      <c r="Q19" s="4">
        <f>'תקציב אגף ת.ב.ל 2020 '!Q19</f>
        <v>0</v>
      </c>
      <c r="R19" s="4">
        <f>'תקציב אגף ת.ב.ל 2020 '!R19</f>
        <v>0</v>
      </c>
      <c r="S19" s="4">
        <f>'תקציב אגף ת.ב.ל 2020 '!S19</f>
        <v>0</v>
      </c>
      <c r="T19" s="4">
        <f>'תקציב אגף ת.ב.ל 2020 '!T19</f>
        <v>0</v>
      </c>
      <c r="U19" s="4">
        <f>'תקציב אגף ת.ב.ל 2020 '!U19</f>
        <v>0</v>
      </c>
      <c r="V19" s="4">
        <f>'תקציב אגף ת.ב.ל 2020 '!V19</f>
        <v>0</v>
      </c>
      <c r="W19" s="4">
        <f>'תקציב אגף ת.ב.ל 2020 '!W19</f>
        <v>0</v>
      </c>
      <c r="X19" s="4">
        <f>'תקציב אגף ת.ב.ל 2020 '!X19</f>
        <v>0</v>
      </c>
      <c r="Y19" s="4">
        <f>'תקציב אגף ת.ב.ל 2020 '!Y19</f>
        <v>0</v>
      </c>
      <c r="Z19" s="4">
        <f>'תקציב אגף ת.ב.ל 2020 '!Z19</f>
        <v>0</v>
      </c>
      <c r="AA19" s="87" t="str">
        <f>'תקציב אגף ת.ב.ל 2020 '!AA19</f>
        <v>מימון מ. החינוך. ממתין לתקבול סופי.</v>
      </c>
      <c r="AB19" s="706">
        <f>'תקציב אגף ת.ב.ל 2020 '!AB19</f>
        <v>810000</v>
      </c>
      <c r="AC19" s="191"/>
      <c r="AD19" s="191"/>
      <c r="AE19" s="31"/>
      <c r="AF19" s="28"/>
      <c r="AG19" s="358"/>
      <c r="AH19" s="359"/>
      <c r="AI19" s="360"/>
      <c r="AJ19" s="29"/>
      <c r="AK19" s="29"/>
      <c r="AL19" s="29"/>
      <c r="AM19" s="29"/>
      <c r="AN19" s="28"/>
    </row>
    <row r="20" spans="1:40" s="5" customFormat="1" ht="30" customHeight="1">
      <c r="A20" s="3">
        <f t="shared" si="0"/>
        <v>15</v>
      </c>
      <c r="B20" s="706">
        <f>'תקציב אגף ת.ב.ל 2020 '!B20</f>
        <v>1773</v>
      </c>
      <c r="C20" s="87" t="str">
        <f>'תקציב אגף ת.ב.ל 2020 '!C20</f>
        <v>שיקום האגם בפארק</v>
      </c>
      <c r="D20" s="4">
        <f>'תקציב אגף ת.ב.ל 2020 '!D20</f>
        <v>1500000</v>
      </c>
      <c r="E20" s="4">
        <f>'תקציב אגף ת.ב.ל 2020 '!E20</f>
        <v>1500000</v>
      </c>
      <c r="F20" s="4">
        <f>'תקציב אגף ת.ב.ל 2020 '!F20</f>
        <v>0</v>
      </c>
      <c r="G20" s="4">
        <f>'תקציב אגף ת.ב.ל 2020 '!G20</f>
        <v>1500000</v>
      </c>
      <c r="H20" s="4">
        <f>'תקציב אגף ת.ב.ל 2020 '!H20</f>
        <v>119925</v>
      </c>
      <c r="I20" s="4">
        <f>'תקציב אגף ת.ב.ל 2020 '!I20</f>
        <v>58000</v>
      </c>
      <c r="J20" s="4">
        <f>'תקציב אגף ת.ב.ל 2020 '!J20</f>
        <v>0</v>
      </c>
      <c r="K20" s="4">
        <f>'תקציב אגף ת.ב.ל 2020 '!K20</f>
        <v>58000</v>
      </c>
      <c r="L20" s="4">
        <f>'תקציב אגף ת.ב.ל 2020 '!L20</f>
        <v>177925</v>
      </c>
      <c r="M20" s="4">
        <f>'תקציב אגף ת.ב.ל 2020 '!M20</f>
        <v>522075</v>
      </c>
      <c r="N20" s="4">
        <f>'תקציב אגף ת.ב.ל 2020 '!N20</f>
        <v>800000</v>
      </c>
      <c r="O20" s="4">
        <f>'תקציב אגף ת.ב.ל 2020 '!O20</f>
        <v>0</v>
      </c>
      <c r="P20" s="4">
        <f>'תקציב אגף ת.ב.ל 2020 '!P20</f>
        <v>1322075</v>
      </c>
      <c r="Q20" s="4">
        <f>'תקציב אגף ת.ב.ל 2020 '!Q20</f>
        <v>0</v>
      </c>
      <c r="R20" s="4">
        <f>'תקציב אגף ת.ב.ל 2020 '!R20</f>
        <v>0</v>
      </c>
      <c r="S20" s="4">
        <f>'תקציב אגף ת.ב.ל 2020 '!S20</f>
        <v>0</v>
      </c>
      <c r="T20" s="4">
        <f>'תקציב אגף ת.ב.ל 2020 '!T20</f>
        <v>800000</v>
      </c>
      <c r="U20" s="4">
        <f>'תקציב אגף ת.ב.ל 2020 '!U20</f>
        <v>0</v>
      </c>
      <c r="V20" s="4">
        <f>'תקציב אגף ת.ב.ל 2020 '!V20</f>
        <v>0</v>
      </c>
      <c r="W20" s="4">
        <f>'תקציב אגף ת.ב.ל 2020 '!W20</f>
        <v>0</v>
      </c>
      <c r="X20" s="4">
        <f>'תקציב אגף ת.ב.ל 2020 '!X20</f>
        <v>0</v>
      </c>
      <c r="Y20" s="4">
        <f>'תקציב אגף ת.ב.ל 2020 '!Y20</f>
        <v>0</v>
      </c>
      <c r="Z20" s="4">
        <f>'תקציב אגף ת.ב.ל 2020 '!Z20</f>
        <v>0</v>
      </c>
      <c r="AA20" s="87" t="str">
        <f>'תקציב אגף ת.ב.ל 2020 '!AA20</f>
        <v>עבודות שיקום לשיפור איכות ומראה המים באגם.</v>
      </c>
      <c r="AB20" s="706">
        <f>'תקציב אגף ת.ב.ל 2020 '!AB20</f>
        <v>746000</v>
      </c>
      <c r="AC20" s="191"/>
      <c r="AD20" s="191"/>
      <c r="AE20" s="31"/>
      <c r="AF20" s="28"/>
      <c r="AG20" s="358"/>
      <c r="AH20" s="359"/>
      <c r="AI20" s="28"/>
      <c r="AJ20" s="29"/>
      <c r="AK20" s="29"/>
      <c r="AL20" s="29"/>
      <c r="AM20" s="29"/>
      <c r="AN20" s="28"/>
    </row>
    <row r="21" spans="1:40" s="5" customFormat="1" ht="30" customHeight="1">
      <c r="A21" s="3">
        <f t="shared" si="0"/>
        <v>16</v>
      </c>
      <c r="B21" s="706">
        <f>'תקציב אגף ת.ב.ל 2020 '!B21</f>
        <v>1794</v>
      </c>
      <c r="C21" s="87" t="str">
        <f>'תקציב אגף ת.ב.ל 2020 '!C21</f>
        <v>שיפוץ המקווה העירוני</v>
      </c>
      <c r="D21" s="4">
        <f>'תקציב אגף ת.ב.ל 2020 '!D21</f>
        <v>1100000</v>
      </c>
      <c r="E21" s="4">
        <f>'תקציב אגף ת.ב.ל 2020 '!E21</f>
        <v>1100000</v>
      </c>
      <c r="F21" s="4">
        <f>'תקציב אגף ת.ב.ל 2020 '!F21</f>
        <v>0</v>
      </c>
      <c r="G21" s="4">
        <f>'תקציב אגף ת.ב.ל 2020 '!G21</f>
        <v>1100000</v>
      </c>
      <c r="H21" s="4">
        <f>'תקציב אגף ת.ב.ל 2020 '!H21</f>
        <v>949008.68</v>
      </c>
      <c r="I21" s="4">
        <f>'תקציב אגף ת.ב.ל 2020 '!I21</f>
        <v>20093.060000000001</v>
      </c>
      <c r="J21" s="4">
        <f>'תקציב אגף ת.ב.ל 2020 '!J21</f>
        <v>0</v>
      </c>
      <c r="K21" s="4">
        <f>'תקציב אגף ת.ב.ל 2020 '!K21</f>
        <v>20093.060000000001</v>
      </c>
      <c r="L21" s="4">
        <f>'תקציב אגף ת.ב.ל 2020 '!L21</f>
        <v>969101.74000000011</v>
      </c>
      <c r="M21" s="4">
        <f>'תקציב אגף ת.ב.ל 2020 '!M21</f>
        <v>130898.25999999989</v>
      </c>
      <c r="N21" s="4">
        <f>'תקציב אגף ת.ב.ל 2020 '!N21</f>
        <v>0</v>
      </c>
      <c r="O21" s="4">
        <f>'תקציב אגף ת.ב.ל 2020 '!O21</f>
        <v>0</v>
      </c>
      <c r="P21" s="4">
        <f>'תקציב אגף ת.ב.ל 2020 '!P21</f>
        <v>130898.25999999989</v>
      </c>
      <c r="Q21" s="4">
        <f>'תקציב אגף ת.ב.ל 2020 '!Q21</f>
        <v>0</v>
      </c>
      <c r="R21" s="4">
        <f>'תקציב אגף ת.ב.ל 2020 '!R21</f>
        <v>0</v>
      </c>
      <c r="S21" s="4">
        <f>'תקציב אגף ת.ב.ל 2020 '!S21</f>
        <v>0</v>
      </c>
      <c r="T21" s="4">
        <f>'תקציב אגף ת.ב.ל 2020 '!T21</f>
        <v>0</v>
      </c>
      <c r="U21" s="4">
        <f>'תקציב אגף ת.ב.ל 2020 '!U21</f>
        <v>0</v>
      </c>
      <c r="V21" s="4">
        <f>'תקציב אגף ת.ב.ל 2020 '!V21</f>
        <v>0</v>
      </c>
      <c r="W21" s="4">
        <f>'תקציב אגף ת.ב.ל 2020 '!W21</f>
        <v>0</v>
      </c>
      <c r="X21" s="4">
        <f>'תקציב אגף ת.ב.ל 2020 '!X21</f>
        <v>0</v>
      </c>
      <c r="Y21" s="4">
        <f>'תקציב אגף ת.ב.ל 2020 '!Y21</f>
        <v>0</v>
      </c>
      <c r="Z21" s="4">
        <f>'תקציב אגף ת.ב.ל 2020 '!Z21</f>
        <v>0</v>
      </c>
      <c r="AA21" s="87" t="str">
        <f>'תקציב אגף ת.ב.ל 2020 '!AA21</f>
        <v>עבודות שיקום חזיתות המקווה.</v>
      </c>
      <c r="AB21" s="706">
        <f>'תקציב אגף ת.ב.ל 2020 '!AB21</f>
        <v>850000</v>
      </c>
      <c r="AC21" s="191"/>
      <c r="AD21" s="191"/>
      <c r="AE21" s="31"/>
      <c r="AF21" s="28"/>
      <c r="AG21" s="358"/>
      <c r="AH21" s="359"/>
      <c r="AI21" s="360"/>
      <c r="AJ21" s="29"/>
      <c r="AK21" s="29"/>
      <c r="AL21" s="29"/>
      <c r="AM21" s="29"/>
      <c r="AN21" s="28"/>
    </row>
    <row r="22" spans="1:40" s="5" customFormat="1" ht="30" customHeight="1">
      <c r="A22" s="3">
        <f t="shared" si="0"/>
        <v>17</v>
      </c>
      <c r="B22" s="706">
        <f>'תקציב אגף ת.ב.ל 2020 '!B22</f>
        <v>1804</v>
      </c>
      <c r="C22" s="87" t="str">
        <f>'תקציב אגף ת.ב.ל 2020 '!C22</f>
        <v>פית' מדרגות קיר תומך פנחס רוזן</v>
      </c>
      <c r="D22" s="4">
        <f>'תקציב אגף ת.ב.ל 2020 '!D22</f>
        <v>200000</v>
      </c>
      <c r="E22" s="4">
        <f>'תקציב אגף ת.ב.ל 2020 '!E22</f>
        <v>200000</v>
      </c>
      <c r="F22" s="4">
        <f>'תקציב אגף ת.ב.ל 2020 '!F22</f>
        <v>0</v>
      </c>
      <c r="G22" s="4">
        <f>'תקציב אגף ת.ב.ל 2020 '!G22</f>
        <v>200000</v>
      </c>
      <c r="H22" s="4">
        <f>'תקציב אגף ת.ב.ל 2020 '!H22</f>
        <v>18830.330000000002</v>
      </c>
      <c r="I22" s="4">
        <f>'תקציב אגף ת.ב.ל 2020 '!I22</f>
        <v>0</v>
      </c>
      <c r="J22" s="4">
        <f>'תקציב אגף ת.ב.ל 2020 '!J22</f>
        <v>28242.87</v>
      </c>
      <c r="K22" s="4">
        <f>'תקציב אגף ת.ב.ל 2020 '!K22</f>
        <v>28242.87</v>
      </c>
      <c r="L22" s="4">
        <f>'תקציב אגף ת.ב.ל 2020 '!L22</f>
        <v>47073.2</v>
      </c>
      <c r="M22" s="4">
        <f>'תקציב אגף ת.ב.ל 2020 '!M22</f>
        <v>152926.79999999999</v>
      </c>
      <c r="N22" s="4">
        <f>'תקציב אגף ת.ב.ל 2020 '!N22</f>
        <v>0</v>
      </c>
      <c r="O22" s="4">
        <f>'תקציב אגף ת.ב.ל 2020 '!O22</f>
        <v>0</v>
      </c>
      <c r="P22" s="4">
        <f>'תקציב אגף ת.ב.ל 2020 '!P22</f>
        <v>152926.79999999999</v>
      </c>
      <c r="Q22" s="4">
        <f>'תקציב אגף ת.ב.ל 2020 '!Q22</f>
        <v>0</v>
      </c>
      <c r="R22" s="4">
        <f>'תקציב אגף ת.ב.ל 2020 '!R22</f>
        <v>0</v>
      </c>
      <c r="S22" s="4">
        <f>'תקציב אגף ת.ב.ל 2020 '!S22</f>
        <v>0</v>
      </c>
      <c r="T22" s="4">
        <f>'תקציב אגף ת.ב.ל 2020 '!T22</f>
        <v>0</v>
      </c>
      <c r="U22" s="4">
        <f>'תקציב אגף ת.ב.ל 2020 '!U22</f>
        <v>0</v>
      </c>
      <c r="V22" s="4">
        <f>'תקציב אגף ת.ב.ל 2020 '!V22</f>
        <v>0</v>
      </c>
      <c r="W22" s="4">
        <f>'תקציב אגף ת.ב.ל 2020 '!W22</f>
        <v>0</v>
      </c>
      <c r="X22" s="4">
        <f>'תקציב אגף ת.ב.ל 2020 '!X22</f>
        <v>0</v>
      </c>
      <c r="Y22" s="4">
        <f>'תקציב אגף ת.ב.ל 2020 '!Y22</f>
        <v>0</v>
      </c>
      <c r="Z22" s="4">
        <f>'תקציב אגף ת.ב.ל 2020 '!Z22</f>
        <v>0</v>
      </c>
      <c r="AA22" s="87" t="str">
        <f>'תקציב אגף ת.ב.ל 2020 '!AA22</f>
        <v>עבר מהנדסה.</v>
      </c>
      <c r="AB22" s="706">
        <f>'תקציב אגף ת.ב.ל 2020 '!AB22</f>
        <v>742000</v>
      </c>
      <c r="AC22" s="619"/>
      <c r="AD22" s="52"/>
    </row>
    <row r="23" spans="1:40" s="5" customFormat="1" ht="30" customHeight="1">
      <c r="A23" s="3">
        <f t="shared" si="0"/>
        <v>18</v>
      </c>
      <c r="B23" s="706">
        <f>'תקציב אגף ת.ב.ל 2020 '!B23</f>
        <v>1848</v>
      </c>
      <c r="C23" s="87" t="str">
        <f>'תקציב אגף ת.ב.ל 2020 '!C23</f>
        <v>פרויקטים קטנים רזרבה אגפית</v>
      </c>
      <c r="D23" s="4">
        <f>'תקציב אגף ת.ב.ל 2020 '!D23</f>
        <v>1200000</v>
      </c>
      <c r="E23" s="4">
        <f>'תקציב אגף ת.ב.ל 2020 '!E23</f>
        <v>700000</v>
      </c>
      <c r="F23" s="4">
        <f>'תקציב אגף ת.ב.ל 2020 '!F23</f>
        <v>500000</v>
      </c>
      <c r="G23" s="4">
        <f>'תקציב אגף ת.ב.ל 2020 '!G23</f>
        <v>700000</v>
      </c>
      <c r="H23" s="4">
        <f>'תקציב אגף ת.ב.ל 2020 '!H23</f>
        <v>510383.99</v>
      </c>
      <c r="I23" s="4">
        <f>'תקציב אגף ת.ב.ל 2020 '!I23</f>
        <v>0</v>
      </c>
      <c r="J23" s="4">
        <f>'תקציב אגף ת.ב.ל 2020 '!J23</f>
        <v>145636.89000000001</v>
      </c>
      <c r="K23" s="4">
        <f>'תקציב אגף ת.ב.ל 2020 '!K23</f>
        <v>145636.89000000001</v>
      </c>
      <c r="L23" s="4">
        <f>'תקציב אגף ת.ב.ל 2020 '!L23</f>
        <v>656020.88</v>
      </c>
      <c r="M23" s="4">
        <f>'תקציב אגף ת.ב.ל 2020 '!M23</f>
        <v>43979.119999999995</v>
      </c>
      <c r="N23" s="4">
        <f>'תקציב אגף ת.ב.ל 2020 '!N23</f>
        <v>500000</v>
      </c>
      <c r="O23" s="4">
        <f>'תקציב אגף ת.ב.ל 2020 '!O23</f>
        <v>0</v>
      </c>
      <c r="P23" s="4">
        <f>'תקציב אגף ת.ב.ל 2020 '!P23</f>
        <v>43979.119999999995</v>
      </c>
      <c r="Q23" s="4">
        <f>'תקציב אגף ת.ב.ל 2020 '!Q23</f>
        <v>0</v>
      </c>
      <c r="R23" s="4">
        <f>'תקציב אגף ת.ב.ל 2020 '!R23</f>
        <v>0</v>
      </c>
      <c r="S23" s="4">
        <f>'תקציב אגף ת.ב.ל 2020 '!S23</f>
        <v>0</v>
      </c>
      <c r="T23" s="4">
        <f>'תקציב אגף ת.ב.ל 2020 '!T23</f>
        <v>0</v>
      </c>
      <c r="U23" s="4">
        <f>'תקציב אגף ת.ב.ל 2020 '!U23</f>
        <v>500000</v>
      </c>
      <c r="V23" s="4">
        <f>'תקציב אגף ת.ב.ל 2020 '!V23</f>
        <v>0</v>
      </c>
      <c r="W23" s="4">
        <f>'תקציב אגף ת.ב.ל 2020 '!W23</f>
        <v>500000</v>
      </c>
      <c r="X23" s="4">
        <f>'תקציב אגף ת.ב.ל 2020 '!X23</f>
        <v>0</v>
      </c>
      <c r="Y23" s="4">
        <f>'תקציב אגף ת.ב.ל 2020 '!Y23</f>
        <v>0</v>
      </c>
      <c r="Z23" s="4">
        <f>'תקציב אגף ת.ב.ל 2020 '!Z23</f>
        <v>0</v>
      </c>
      <c r="AA23" s="87" t="str">
        <f>'תקציב אגף ת.ב.ל 2020 '!AA23</f>
        <v>סל לביצוע עבודות פרויקטים קטנים הנדרשים ע"י האגף מעת לעת.</v>
      </c>
      <c r="AB23" s="706">
        <f>'תקציב אגף ת.ב.ל 2020 '!AB23</f>
        <v>742000</v>
      </c>
      <c r="AC23" s="191"/>
      <c r="AD23" s="191"/>
      <c r="AE23" s="31"/>
      <c r="AF23" s="28"/>
      <c r="AG23" s="358"/>
      <c r="AH23" s="359"/>
      <c r="AI23" s="360"/>
      <c r="AJ23" s="29"/>
      <c r="AK23" s="29"/>
      <c r="AL23" s="29"/>
      <c r="AM23" s="29"/>
      <c r="AN23" s="28"/>
    </row>
    <row r="24" spans="1:40" s="5" customFormat="1" ht="30" customHeight="1">
      <c r="A24" s="3">
        <f t="shared" si="0"/>
        <v>19</v>
      </c>
      <c r="B24" s="706">
        <f>'תקציב אגף ת.ב.ל 2020 '!B24</f>
        <v>1849</v>
      </c>
      <c r="C24" s="87" t="str">
        <f>'תקציב אגף ת.ב.ל 2020 '!C24</f>
        <v xml:space="preserve"> התקנת גופי תאורה בטכנולוגיה מתקדמת במגרשי הספורט</v>
      </c>
      <c r="D24" s="4">
        <f>'תקציב אגף ת.ב.ל 2020 '!D24</f>
        <v>1400000</v>
      </c>
      <c r="E24" s="4">
        <f>'תקציב אגף ת.ב.ל 2020 '!E24</f>
        <v>1400000</v>
      </c>
      <c r="F24" s="4">
        <f>'תקציב אגף ת.ב.ל 2020 '!F24</f>
        <v>0</v>
      </c>
      <c r="G24" s="4">
        <f>'תקציב אגף ת.ב.ל 2020 '!G24</f>
        <v>1400000</v>
      </c>
      <c r="H24" s="4">
        <f>'תקציב אגף ת.ב.ל 2020 '!H24</f>
        <v>459810.04</v>
      </c>
      <c r="I24" s="4">
        <f>'תקציב אגף ת.ב.ל 2020 '!I24</f>
        <v>0</v>
      </c>
      <c r="J24" s="4">
        <f>'תקציב אגף ת.ב.ל 2020 '!J24</f>
        <v>636855</v>
      </c>
      <c r="K24" s="4">
        <f>'תקציב אגף ת.ב.ל 2020 '!K24</f>
        <v>636855</v>
      </c>
      <c r="L24" s="4">
        <f>'תקציב אגף ת.ב.ל 2020 '!L24</f>
        <v>1096665.04</v>
      </c>
      <c r="M24" s="4">
        <f>'תקציב אגף ת.ב.ל 2020 '!M24</f>
        <v>303334.95999999996</v>
      </c>
      <c r="N24" s="4">
        <f>'תקציב אגף ת.ב.ל 2020 '!N24</f>
        <v>0</v>
      </c>
      <c r="O24" s="4">
        <f>'תקציב אגף ת.ב.ל 2020 '!O24</f>
        <v>0</v>
      </c>
      <c r="P24" s="4">
        <f>'תקציב אגף ת.ב.ל 2020 '!P24</f>
        <v>303334.95999999996</v>
      </c>
      <c r="Q24" s="4">
        <f>'תקציב אגף ת.ב.ל 2020 '!Q24</f>
        <v>0</v>
      </c>
      <c r="R24" s="4">
        <f>'תקציב אגף ת.ב.ל 2020 '!R24</f>
        <v>0</v>
      </c>
      <c r="S24" s="4">
        <f>'תקציב אגף ת.ב.ל 2020 '!S24</f>
        <v>0</v>
      </c>
      <c r="T24" s="4">
        <f>'תקציב אגף ת.ב.ל 2020 '!T24</f>
        <v>0</v>
      </c>
      <c r="U24" s="4">
        <f>'תקציב אגף ת.ב.ל 2020 '!U24</f>
        <v>0</v>
      </c>
      <c r="V24" s="4">
        <f>'תקציב אגף ת.ב.ל 2020 '!V24</f>
        <v>0</v>
      </c>
      <c r="W24" s="4">
        <f>'תקציב אגף ת.ב.ל 2020 '!W24</f>
        <v>0</v>
      </c>
      <c r="X24" s="4">
        <f>'תקציב אגף ת.ב.ל 2020 '!X24</f>
        <v>0</v>
      </c>
      <c r="Y24" s="4">
        <f>'תקציב אגף ת.ב.ל 2020 '!Y24</f>
        <v>0</v>
      </c>
      <c r="Z24" s="4">
        <f>'תקציב אגף ת.ב.ל 2020 '!Z24</f>
        <v>0</v>
      </c>
      <c r="AA24" s="87" t="str">
        <f>'תקציב אגף ת.ב.ל 2020 '!AA24</f>
        <v>התקנת גופי תאורה בטכנולוגיה מתקדמת במגרשי ספורט.</v>
      </c>
      <c r="AB24" s="706">
        <f>'תקציב אגף ת.ב.ל 2020 '!AB24</f>
        <v>743000</v>
      </c>
      <c r="AC24" s="191"/>
      <c r="AD24" s="191"/>
      <c r="AE24" s="31"/>
      <c r="AF24" s="28"/>
      <c r="AG24" s="358"/>
      <c r="AH24" s="359"/>
      <c r="AI24" s="360"/>
      <c r="AJ24" s="29"/>
      <c r="AK24" s="29"/>
      <c r="AL24" s="28"/>
      <c r="AM24" s="28"/>
      <c r="AN24" s="28"/>
    </row>
    <row r="25" spans="1:40" s="5" customFormat="1" ht="30" customHeight="1">
      <c r="A25" s="3">
        <f t="shared" si="0"/>
        <v>20</v>
      </c>
      <c r="B25" s="706">
        <f>'תקציב אגף ת.ב.ל 2020 '!B25</f>
        <v>1850</v>
      </c>
      <c r="C25" s="87" t="str">
        <f>'תקציב אגף ת.ב.ל 2020 '!C25</f>
        <v>תיקון ליקויים סקר כיבוי אש מוס"ח  ועיריה</v>
      </c>
      <c r="D25" s="4">
        <f>'תקציב אגף ת.ב.ל 2020 '!D25</f>
        <v>14600000</v>
      </c>
      <c r="E25" s="4">
        <f>'תקציב אגף ת.ב.ל 2020 '!E25</f>
        <v>14600000</v>
      </c>
      <c r="F25" s="4">
        <f>'תקציב אגף ת.ב.ל 2020 '!F25</f>
        <v>0</v>
      </c>
      <c r="G25" s="4">
        <f>'תקציב אגף ת.ב.ל 2020 '!G25</f>
        <v>3780000</v>
      </c>
      <c r="H25" s="4">
        <f>'תקציב אגף ת.ב.ל 2020 '!H25</f>
        <v>2584412.12</v>
      </c>
      <c r="I25" s="4">
        <f>'תקציב אגף ת.ב.ל 2020 '!I25</f>
        <v>0</v>
      </c>
      <c r="J25" s="4">
        <f>'תקציב אגף ת.ב.ל 2020 '!J25</f>
        <v>1017036.53</v>
      </c>
      <c r="K25" s="4">
        <f>'תקציב אגף ת.ב.ל 2020 '!K25</f>
        <v>1017036.53</v>
      </c>
      <c r="L25" s="4">
        <f>'תקציב אגף ת.ב.ל 2020 '!L25</f>
        <v>3601448.6500000004</v>
      </c>
      <c r="M25" s="4">
        <f>'תקציב אגף ת.ב.ל 2020 '!M25</f>
        <v>528551.34999999963</v>
      </c>
      <c r="N25" s="4">
        <f>'תקציב אגף ת.ב.ל 2020 '!N25</f>
        <v>500000</v>
      </c>
      <c r="O25" s="4">
        <f>'תקציב אגף ת.ב.ל 2020 '!O25</f>
        <v>9970000</v>
      </c>
      <c r="P25" s="4">
        <f>'תקציב אגף ת.ב.ל 2020 '!P25</f>
        <v>178551.34999999963</v>
      </c>
      <c r="Q25" s="4">
        <f>'תקציב אגף ת.ב.ל 2020 '!Q25</f>
        <v>350000</v>
      </c>
      <c r="R25" s="4">
        <f>'תקציב אגף ת.ב.ל 2020 '!R25</f>
        <v>0</v>
      </c>
      <c r="S25" s="4">
        <f>'תקציב אגף ת.ב.ל 2020 '!S25</f>
        <v>350000</v>
      </c>
      <c r="T25" s="4">
        <f>'תקציב אגף ת.ב.ל 2020 '!T25</f>
        <v>0</v>
      </c>
      <c r="U25" s="4">
        <f>'תקציב אגף ת.ב.ל 2020 '!U25</f>
        <v>500000</v>
      </c>
      <c r="V25" s="4">
        <f>'תקציב אגף ת.ב.ל 2020 '!V25</f>
        <v>0</v>
      </c>
      <c r="W25" s="4">
        <f>'תקציב אגף ת.ב.ל 2020 '!W25</f>
        <v>500000</v>
      </c>
      <c r="X25" s="4">
        <f>'תקציב אגף ת.ב.ל 2020 '!X25</f>
        <v>0</v>
      </c>
      <c r="Y25" s="4">
        <f>'תקציב אגף ת.ב.ל 2020 '!Y25</f>
        <v>0</v>
      </c>
      <c r="Z25" s="4">
        <f>'תקציב אגף ת.ב.ל 2020 '!Z25</f>
        <v>0</v>
      </c>
      <c r="AA25" s="87" t="str">
        <f>'תקציב אגף ת.ב.ל 2020 '!AA25</f>
        <v>סל לעבודות הסדרת ליקויים כיבוי אש במוס"ח ובמוסדות עיריה  לפי סקר.</v>
      </c>
      <c r="AB25" s="706">
        <f>'תקציב אגף ת.ב.ל 2020 '!AB25</f>
        <v>810000</v>
      </c>
      <c r="AC25" s="191"/>
      <c r="AD25" s="191"/>
      <c r="AE25" s="31"/>
      <c r="AF25" s="28"/>
      <c r="AG25" s="358"/>
      <c r="AH25" s="359"/>
      <c r="AI25" s="360"/>
      <c r="AJ25" s="29"/>
      <c r="AK25" s="29"/>
      <c r="AL25" s="28"/>
      <c r="AM25" s="28"/>
      <c r="AN25" s="28"/>
    </row>
    <row r="26" spans="1:40" s="5" customFormat="1" ht="30" customHeight="1">
      <c r="A26" s="3">
        <f t="shared" si="0"/>
        <v>21</v>
      </c>
      <c r="B26" s="706">
        <f>'תקציב אגף ת.ב.ל 2020 '!B26</f>
        <v>1853</v>
      </c>
      <c r="C26" s="87" t="str">
        <f>'תקציב אגף ת.ב.ל 2020 '!C26</f>
        <v>שיפוצים שונים מתנ"ס יד התשעה</v>
      </c>
      <c r="D26" s="4">
        <f>'תקציב אגף ת.ב.ל 2020 '!D26</f>
        <v>410000</v>
      </c>
      <c r="E26" s="4">
        <f>'תקציב אגף ת.ב.ל 2020 '!E26</f>
        <v>410000</v>
      </c>
      <c r="F26" s="4">
        <f>'תקציב אגף ת.ב.ל 2020 '!F26</f>
        <v>0</v>
      </c>
      <c r="G26" s="4">
        <f>'תקציב אגף ת.ב.ל 2020 '!G26</f>
        <v>410000</v>
      </c>
      <c r="H26" s="4">
        <f>'תקציב אגף ת.ב.ל 2020 '!H26</f>
        <v>138353.79999999999</v>
      </c>
      <c r="I26" s="4">
        <f>'תקציב אגף ת.ב.ל 2020 '!I26</f>
        <v>5148</v>
      </c>
      <c r="J26" s="4">
        <f>'תקציב אגף ת.ב.ל 2020 '!J26</f>
        <v>173326.7</v>
      </c>
      <c r="K26" s="4">
        <f>'תקציב אגף ת.ב.ל 2020 '!K26</f>
        <v>178474.7</v>
      </c>
      <c r="L26" s="4">
        <f>'תקציב אגף ת.ב.ל 2020 '!L26</f>
        <v>316828.5</v>
      </c>
      <c r="M26" s="4">
        <f>'תקציב אגף ת.ב.ל 2020 '!M26</f>
        <v>93171.5</v>
      </c>
      <c r="N26" s="4">
        <f>'תקציב אגף ת.ב.ל 2020 '!N26</f>
        <v>0</v>
      </c>
      <c r="O26" s="4">
        <f>'תקציב אגף ת.ב.ל 2020 '!O26</f>
        <v>0</v>
      </c>
      <c r="P26" s="4">
        <f>'תקציב אגף ת.ב.ל 2020 '!P26</f>
        <v>93171.5</v>
      </c>
      <c r="Q26" s="4">
        <f>'תקציב אגף ת.ב.ל 2020 '!Q26</f>
        <v>0</v>
      </c>
      <c r="R26" s="4">
        <f>'תקציב אגף ת.ב.ל 2020 '!R26</f>
        <v>0</v>
      </c>
      <c r="S26" s="4">
        <f>'תקציב אגף ת.ב.ל 2020 '!S26</f>
        <v>0</v>
      </c>
      <c r="T26" s="4">
        <f>'תקציב אגף ת.ב.ל 2020 '!T26</f>
        <v>0</v>
      </c>
      <c r="U26" s="4">
        <f>'תקציב אגף ת.ב.ל 2020 '!U26</f>
        <v>0</v>
      </c>
      <c r="V26" s="4">
        <f>'תקציב אגף ת.ב.ל 2020 '!V26</f>
        <v>0</v>
      </c>
      <c r="W26" s="4">
        <f>'תקציב אגף ת.ב.ל 2020 '!W26</f>
        <v>0</v>
      </c>
      <c r="X26" s="4">
        <f>'תקציב אגף ת.ב.ל 2020 '!X26</f>
        <v>0</v>
      </c>
      <c r="Y26" s="4">
        <f>'תקציב אגף ת.ב.ל 2020 '!Y26</f>
        <v>0</v>
      </c>
      <c r="Z26" s="4">
        <f>'תקציב אגף ת.ב.ל 2020 '!Z26</f>
        <v>0</v>
      </c>
      <c r="AA26" s="87" t="str">
        <f>'תקציב אגף ת.ב.ל 2020 '!AA26</f>
        <v>עבודות השלמת קירוי הפטיו במתנ"ס.</v>
      </c>
      <c r="AB26" s="706">
        <f>'תקציב אגף ת.ב.ל 2020 '!AB26</f>
        <v>824000</v>
      </c>
      <c r="AC26" s="191"/>
      <c r="AD26" s="191"/>
      <c r="AE26" s="31"/>
      <c r="AF26" s="28"/>
      <c r="AG26" s="358"/>
      <c r="AH26" s="359"/>
      <c r="AI26" s="360"/>
      <c r="AJ26" s="29"/>
      <c r="AK26" s="29"/>
      <c r="AL26" s="29"/>
      <c r="AM26" s="29"/>
      <c r="AN26" s="28"/>
    </row>
    <row r="27" spans="1:40" s="5" customFormat="1" ht="30" customHeight="1">
      <c r="A27" s="3">
        <f t="shared" si="0"/>
        <v>22</v>
      </c>
      <c r="B27" s="706">
        <f>'תקציב אגף ת.ב.ל 2020 '!B27</f>
        <v>1883</v>
      </c>
      <c r="C27" s="87" t="str">
        <f>'תקציב אגף ת.ב.ל 2020 '!C27</f>
        <v>שיפוץ ותוספת בניה בי"ס בר אילן</v>
      </c>
      <c r="D27" s="4">
        <f>'תקציב אגף ת.ב.ל 2020 '!D27</f>
        <v>26215000</v>
      </c>
      <c r="E27" s="4">
        <f>'תקציב אגף ת.ב.ל 2020 '!E27</f>
        <v>26215000</v>
      </c>
      <c r="F27" s="4">
        <f>'תקציב אגף ת.ב.ל 2020 '!F27</f>
        <v>0</v>
      </c>
      <c r="G27" s="4">
        <f>'תקציב אגף ת.ב.ל 2020 '!G27</f>
        <v>26215000</v>
      </c>
      <c r="H27" s="4">
        <f>'תקציב אגף ת.ב.ל 2020 '!H27</f>
        <v>25106039.760000002</v>
      </c>
      <c r="I27" s="4">
        <f>'תקציב אגף ת.ב.ל 2020 '!I27</f>
        <v>927814.76</v>
      </c>
      <c r="J27" s="4">
        <f>'תקציב אגף ת.ב.ל 2020 '!J27</f>
        <v>114302</v>
      </c>
      <c r="K27" s="4">
        <f>'תקציב אגף ת.ב.ל 2020 '!K27</f>
        <v>1042116.76</v>
      </c>
      <c r="L27" s="4">
        <f>'תקציב אגף ת.ב.ל 2020 '!L27</f>
        <v>26148156.520000003</v>
      </c>
      <c r="M27" s="4">
        <f>'תקציב אגף ת.ב.ל 2020 '!M27</f>
        <v>66843.479999996722</v>
      </c>
      <c r="N27" s="4">
        <f>'תקציב אגף ת.ב.ל 2020 '!N27</f>
        <v>0</v>
      </c>
      <c r="O27" s="4">
        <f>'תקציב אגף ת.ב.ל 2020 '!O27</f>
        <v>0</v>
      </c>
      <c r="P27" s="4">
        <f>'תקציב אגף ת.ב.ל 2020 '!P27</f>
        <v>66843.479999996722</v>
      </c>
      <c r="Q27" s="4">
        <f>'תקציב אגף ת.ב.ל 2020 '!Q27</f>
        <v>0</v>
      </c>
      <c r="R27" s="4">
        <f>'תקציב אגף ת.ב.ל 2020 '!R27</f>
        <v>0</v>
      </c>
      <c r="S27" s="4">
        <f>'תקציב אגף ת.ב.ל 2020 '!S27</f>
        <v>0</v>
      </c>
      <c r="T27" s="4">
        <f>'תקציב אגף ת.ב.ל 2020 '!T27</f>
        <v>0</v>
      </c>
      <c r="U27" s="4">
        <f>'תקציב אגף ת.ב.ל 2020 '!U27</f>
        <v>0</v>
      </c>
      <c r="V27" s="4">
        <f>'תקציב אגף ת.ב.ל 2020 '!V27</f>
        <v>0</v>
      </c>
      <c r="W27" s="4">
        <f>'תקציב אגף ת.ב.ל 2020 '!W27</f>
        <v>0</v>
      </c>
      <c r="X27" s="4">
        <f>'תקציב אגף ת.ב.ל 2020 '!X27</f>
        <v>0</v>
      </c>
      <c r="Y27" s="4">
        <f>'תקציב אגף ת.ב.ל 2020 '!Y27</f>
        <v>0</v>
      </c>
      <c r="Z27" s="4">
        <f>'תקציב אגף ת.ב.ל 2020 '!Z27</f>
        <v>0</v>
      </c>
      <c r="AA27" s="87">
        <f>'תקציב אגף ת.ב.ל 2020 '!AA27</f>
        <v>0</v>
      </c>
      <c r="AB27" s="706">
        <f>'תקציב אגף ת.ב.ל 2020 '!AB27</f>
        <v>810000</v>
      </c>
      <c r="AC27" s="191"/>
      <c r="AD27" s="191"/>
      <c r="AE27" s="31"/>
      <c r="AF27" s="28"/>
      <c r="AG27" s="358"/>
      <c r="AH27" s="359"/>
      <c r="AI27" s="360"/>
      <c r="AJ27" s="29"/>
      <c r="AK27" s="29"/>
      <c r="AL27" s="28"/>
      <c r="AM27" s="28"/>
      <c r="AN27" s="28"/>
    </row>
    <row r="28" spans="1:40" s="5" customFormat="1" ht="41.4">
      <c r="A28" s="3">
        <f t="shared" si="0"/>
        <v>23</v>
      </c>
      <c r="B28" s="706">
        <f>'תקציב אגף ת.ב.ל 2020 '!B28</f>
        <v>1887</v>
      </c>
      <c r="C28" s="87" t="str">
        <f>'תקציב אגף ת.ב.ל 2020 '!C28</f>
        <v>שיפוץ בי"ס מפתן ארז</v>
      </c>
      <c r="D28" s="4">
        <f>'תקציב אגף ת.ב.ל 2020 '!D28</f>
        <v>5200000</v>
      </c>
      <c r="E28" s="4">
        <f>'תקציב אגף ת.ב.ל 2020 '!E28</f>
        <v>5200000</v>
      </c>
      <c r="F28" s="4">
        <f>'תקציב אגף ת.ב.ל 2020 '!F28</f>
        <v>0</v>
      </c>
      <c r="G28" s="4">
        <f>'תקציב אגף ת.ב.ל 2020 '!G28</f>
        <v>4200000</v>
      </c>
      <c r="H28" s="4">
        <f>'תקציב אגף ת.ב.ל 2020 '!H28</f>
        <v>1117190.22</v>
      </c>
      <c r="I28" s="4">
        <f>'תקציב אגף ת.ב.ל 2020 '!I28</f>
        <v>32262.75</v>
      </c>
      <c r="J28" s="4">
        <f>'תקציב אגף ת.ב.ל 2020 '!J28</f>
        <v>166759.23000000001</v>
      </c>
      <c r="K28" s="4">
        <f>'תקציב אגף ת.ב.ל 2020 '!K28</f>
        <v>199021.98</v>
      </c>
      <c r="L28" s="4">
        <f>'תקציב אגף ת.ב.ל 2020 '!L28</f>
        <v>1316212.2</v>
      </c>
      <c r="M28" s="4">
        <f>'תקציב אגף ת.ב.ל 2020 '!M28</f>
        <v>383787.79999999981</v>
      </c>
      <c r="N28" s="4">
        <f>'תקציב אגף ת.ב.ל 2020 '!N28</f>
        <v>0</v>
      </c>
      <c r="O28" s="4">
        <f>'תקציב אגף ת.ב.ל 2020 '!O28</f>
        <v>3500000</v>
      </c>
      <c r="P28" s="4">
        <f>'תקציב אגף ת.ב.ל 2020 '!P28</f>
        <v>2883787.8</v>
      </c>
      <c r="Q28" s="4">
        <f>'תקציב אגף ת.ב.ל 2020 '!Q28</f>
        <v>0</v>
      </c>
      <c r="R28" s="4">
        <f>'תקציב אגף ת.ב.ל 2020 '!R28</f>
        <v>0</v>
      </c>
      <c r="S28" s="4">
        <f>'תקציב אגף ת.ב.ל 2020 '!S28</f>
        <v>0</v>
      </c>
      <c r="T28" s="4">
        <f>'תקציב אגף ת.ב.ל 2020 '!T28</f>
        <v>2500000</v>
      </c>
      <c r="U28" s="4">
        <f>'תקציב אגף ת.ב.ל 2020 '!U28</f>
        <v>-2500000</v>
      </c>
      <c r="V28" s="4">
        <f>'תקציב אגף ת.ב.ל 2020 '!V28</f>
        <v>-1600000</v>
      </c>
      <c r="W28" s="4">
        <f>'תקציב אגף ת.ב.ל 2020 '!W28</f>
        <v>-900000</v>
      </c>
      <c r="X28" s="4">
        <f>'תקציב אגף ת.ב.ל 2020 '!X28</f>
        <v>0</v>
      </c>
      <c r="Y28" s="4">
        <f>'תקציב אגף ת.ב.ל 2020 '!Y28</f>
        <v>0</v>
      </c>
      <c r="Z28" s="4">
        <f>'תקציב אגף ת.ב.ל 2020 '!Z28</f>
        <v>0</v>
      </c>
      <c r="AA28" s="87" t="str">
        <f>'תקציב אגף ת.ב.ל 2020 '!AA28</f>
        <v>שלב ב' של עבודות שיפוצים יסודיים הרחבות בקומת הקרקע, מטבח, חזיתות. ממתין להיתר.</v>
      </c>
      <c r="AB28" s="706">
        <f>'תקציב אגף ת.ב.ל 2020 '!AB28</f>
        <v>810000</v>
      </c>
      <c r="AC28" s="191"/>
      <c r="AD28" s="191"/>
      <c r="AE28" s="31"/>
      <c r="AF28" s="28"/>
      <c r="AG28" s="358"/>
      <c r="AH28" s="359"/>
      <c r="AI28" s="28"/>
      <c r="AJ28" s="29"/>
      <c r="AK28" s="29"/>
      <c r="AL28" s="28"/>
      <c r="AM28" s="28"/>
      <c r="AN28" s="28"/>
    </row>
    <row r="29" spans="1:40" s="5" customFormat="1" ht="30" customHeight="1">
      <c r="A29" s="3">
        <f t="shared" si="0"/>
        <v>24</v>
      </c>
      <c r="B29" s="706">
        <f>'תקציב אגף ת.ב.ל 2020 '!B29</f>
        <v>1900</v>
      </c>
      <c r="C29" s="87" t="str">
        <f>'תקציב אגף ת.ב.ל 2020 '!C29</f>
        <v>התקנת מעלית בי"ס שז"ר</v>
      </c>
      <c r="D29" s="4">
        <f>'תקציב אגף ת.ב.ל 2020 '!D29</f>
        <v>700000</v>
      </c>
      <c r="E29" s="4">
        <f>'תקציב אגף ת.ב.ל 2020 '!E29</f>
        <v>700000</v>
      </c>
      <c r="F29" s="4">
        <f>'תקציב אגף ת.ב.ל 2020 '!F29</f>
        <v>0</v>
      </c>
      <c r="G29" s="4">
        <f>'תקציב אגף ת.ב.ל 2020 '!G29</f>
        <v>700000</v>
      </c>
      <c r="H29" s="4">
        <f>'תקציב אגף ת.ב.ל 2020 '!H29</f>
        <v>369198.41</v>
      </c>
      <c r="I29" s="4">
        <f>'תקציב אגף ת.ב.ל 2020 '!I29</f>
        <v>153212.19</v>
      </c>
      <c r="J29" s="4">
        <f>'תקציב אגף ת.ב.ל 2020 '!J29</f>
        <v>0</v>
      </c>
      <c r="K29" s="4">
        <f>'תקציב אגף ת.ב.ל 2020 '!K29</f>
        <v>153212.19</v>
      </c>
      <c r="L29" s="4">
        <f>'תקציב אגף ת.ב.ל 2020 '!L29</f>
        <v>522410.6</v>
      </c>
      <c r="M29" s="4">
        <f>'תקציב אגף ת.ב.ל 2020 '!M29</f>
        <v>177589.40000000002</v>
      </c>
      <c r="N29" s="4">
        <f>'תקציב אגף ת.ב.ל 2020 '!N29</f>
        <v>0</v>
      </c>
      <c r="O29" s="4">
        <f>'תקציב אגף ת.ב.ל 2020 '!O29</f>
        <v>0</v>
      </c>
      <c r="P29" s="4">
        <f>'תקציב אגף ת.ב.ל 2020 '!P29</f>
        <v>177589.40000000002</v>
      </c>
      <c r="Q29" s="4">
        <f>'תקציב אגף ת.ב.ל 2020 '!Q29</f>
        <v>0</v>
      </c>
      <c r="R29" s="4">
        <f>'תקציב אגף ת.ב.ל 2020 '!R29</f>
        <v>0</v>
      </c>
      <c r="S29" s="4">
        <f>'תקציב אגף ת.ב.ל 2020 '!S29</f>
        <v>0</v>
      </c>
      <c r="T29" s="4">
        <f>'תקציב אגף ת.ב.ל 2020 '!T29</f>
        <v>0</v>
      </c>
      <c r="U29" s="4">
        <f>'תקציב אגף ת.ב.ל 2020 '!U29</f>
        <v>0</v>
      </c>
      <c r="V29" s="4">
        <f>'תקציב אגף ת.ב.ל 2020 '!V29</f>
        <v>0</v>
      </c>
      <c r="W29" s="4">
        <f>'תקציב אגף ת.ב.ל 2020 '!W29</f>
        <v>0</v>
      </c>
      <c r="X29" s="4">
        <f>'תקציב אגף ת.ב.ל 2020 '!X29</f>
        <v>0</v>
      </c>
      <c r="Y29" s="4">
        <f>'תקציב אגף ת.ב.ל 2020 '!Y29</f>
        <v>0</v>
      </c>
      <c r="Z29" s="4">
        <f>'תקציב אגף ת.ב.ל 2020 '!Z29</f>
        <v>0</v>
      </c>
      <c r="AA29" s="87">
        <f>'תקציב אגף ת.ב.ל 2020 '!AA29</f>
        <v>0</v>
      </c>
      <c r="AB29" s="706">
        <f>'תקציב אגף ת.ב.ל 2020 '!AB29</f>
        <v>810000</v>
      </c>
      <c r="AC29" s="191"/>
      <c r="AD29" s="191"/>
      <c r="AE29" s="31"/>
      <c r="AF29" s="28"/>
      <c r="AG29" s="358"/>
      <c r="AH29" s="359"/>
      <c r="AI29" s="360"/>
      <c r="AJ29" s="29"/>
      <c r="AK29" s="29"/>
      <c r="AL29" s="29"/>
      <c r="AM29" s="29"/>
      <c r="AN29" s="28"/>
    </row>
    <row r="30" spans="1:40" s="5" customFormat="1" ht="41.4">
      <c r="A30" s="3">
        <f t="shared" si="0"/>
        <v>25</v>
      </c>
      <c r="B30" s="706">
        <f>'תקציב אגף ת.ב.ל 2020 '!B30</f>
        <v>1917</v>
      </c>
      <c r="C30" s="87" t="str">
        <f>'תקציב אגף ת.ב.ל 2020 '!C30</f>
        <v>מע. תאורה LED ברחבי העיר</v>
      </c>
      <c r="D30" s="4">
        <f>'תקציב אגף ת.ב.ל 2020 '!D30</f>
        <v>76800000</v>
      </c>
      <c r="E30" s="4">
        <f>'תקציב אגף ת.ב.ל 2020 '!E30</f>
        <v>76800000</v>
      </c>
      <c r="F30" s="4">
        <f>'תקציב אגף ת.ב.ל 2020 '!F30</f>
        <v>0</v>
      </c>
      <c r="G30" s="4">
        <f>'תקציב אגף ת.ב.ל 2020 '!G30</f>
        <v>33501000</v>
      </c>
      <c r="H30" s="4">
        <f>'תקציב אגף ת.ב.ל 2020 '!H30</f>
        <v>14941312.73</v>
      </c>
      <c r="I30" s="4">
        <f>'תקציב אגף ת.ב.ל 2020 '!I30</f>
        <v>0</v>
      </c>
      <c r="J30" s="4">
        <f>'תקציב אגף ת.ב.ל 2020 '!J30</f>
        <v>14067361.029999999</v>
      </c>
      <c r="K30" s="4">
        <f>'תקציב אגף ת.ב.ל 2020 '!K30</f>
        <v>14067361.029999999</v>
      </c>
      <c r="L30" s="4">
        <f>'תקציב אגף ת.ב.ל 2020 '!L30</f>
        <v>29008673.759999998</v>
      </c>
      <c r="M30" s="4">
        <f>'תקציב אגף ת.ב.ל 2020 '!M30</f>
        <v>4492326.2400000021</v>
      </c>
      <c r="N30" s="4">
        <f>'תקציב אגף ת.ב.ל 2020 '!N30</f>
        <v>1000000</v>
      </c>
      <c r="O30" s="4">
        <f>'תקציב אגף ת.ב.ל 2020 '!O30</f>
        <v>42299000</v>
      </c>
      <c r="P30" s="4">
        <f>'תקציב אגף ת.ב.ל 2020 '!P30</f>
        <v>4492326.2400000021</v>
      </c>
      <c r="Q30" s="4">
        <f>'תקציב אגף ת.ב.ל 2020 '!Q30</f>
        <v>0</v>
      </c>
      <c r="R30" s="4">
        <f>'תקציב אגף ת.ב.ל 2020 '!R30</f>
        <v>0</v>
      </c>
      <c r="S30" s="4">
        <f>'תקציב אגף ת.ב.ל 2020 '!S30</f>
        <v>0</v>
      </c>
      <c r="T30" s="4">
        <f>'תקציב אגף ת.ב.ל 2020 '!T30</f>
        <v>0</v>
      </c>
      <c r="U30" s="4">
        <f>'תקציב אגף ת.ב.ל 2020 '!U30</f>
        <v>1000000</v>
      </c>
      <c r="V30" s="4">
        <f>'תקציב אגף ת.ב.ל 2020 '!V30</f>
        <v>1000000</v>
      </c>
      <c r="W30" s="4">
        <f>'תקציב אגף ת.ב.ל 2020 '!W30</f>
        <v>0</v>
      </c>
      <c r="X30" s="4">
        <f>'תקציב אגף ת.ב.ל 2020 '!X30</f>
        <v>0</v>
      </c>
      <c r="Y30" s="4">
        <f>'תקציב אגף ת.ב.ל 2020 '!Y30</f>
        <v>0</v>
      </c>
      <c r="Z30" s="4">
        <f>'תקציב אגף ת.ב.ל 2020 '!Z30</f>
        <v>0</v>
      </c>
      <c r="AA30" s="87" t="str">
        <f>'תקציב אגף ת.ב.ל 2020 '!AA30</f>
        <v>סל להקמת ושדרוג תשתיות כולל עמודי תאורה והתקנת גופי תאורה בטכנולוגיה מתקדמת עפ"י תוכנית רב שנתית.</v>
      </c>
      <c r="AB30" s="706">
        <f>'תקציב אגף ת.ב.ל 2020 '!AB30</f>
        <v>743000</v>
      </c>
      <c r="AC30" s="191"/>
      <c r="AD30" s="191"/>
      <c r="AE30" s="31"/>
      <c r="AF30" s="28"/>
      <c r="AG30" s="358"/>
      <c r="AH30" s="359"/>
      <c r="AI30" s="360"/>
      <c r="AJ30" s="29"/>
      <c r="AK30" s="29"/>
      <c r="AL30" s="28"/>
      <c r="AM30" s="28"/>
      <c r="AN30" s="28"/>
    </row>
    <row r="31" spans="1:40" s="5" customFormat="1" ht="30" customHeight="1">
      <c r="A31" s="3">
        <f t="shared" si="0"/>
        <v>26</v>
      </c>
      <c r="B31" s="706">
        <f>'תקציב אגף ת.ב.ל 2020 '!B31</f>
        <v>1925</v>
      </c>
      <c r="C31" s="87" t="str">
        <f>'תקציב אגף ת.ב.ל 2020 '!C31</f>
        <v>שיפוץ בית הכנסת הגדול</v>
      </c>
      <c r="D31" s="4">
        <f>'תקציב אגף ת.ב.ל 2020 '!D31</f>
        <v>1000000</v>
      </c>
      <c r="E31" s="4">
        <f>'תקציב אגף ת.ב.ל 2020 '!E31</f>
        <v>1000000</v>
      </c>
      <c r="F31" s="4">
        <f>'תקציב אגף ת.ב.ל 2020 '!F31</f>
        <v>0</v>
      </c>
      <c r="G31" s="4">
        <f>'תקציב אגף ת.ב.ל 2020 '!G31</f>
        <v>1000000</v>
      </c>
      <c r="H31" s="4">
        <f>'תקציב אגף ת.ב.ל 2020 '!H31</f>
        <v>901633.83</v>
      </c>
      <c r="I31" s="4">
        <f>'תקציב אגף ת.ב.ל 2020 '!I31</f>
        <v>0</v>
      </c>
      <c r="J31" s="4">
        <f>'תקציב אגף ת.ב.ל 2020 '!J31</f>
        <v>19562.400000000001</v>
      </c>
      <c r="K31" s="4">
        <f>'תקציב אגף ת.ב.ל 2020 '!K31</f>
        <v>19562.400000000001</v>
      </c>
      <c r="L31" s="4">
        <f>'תקציב אגף ת.ב.ל 2020 '!L31</f>
        <v>921196.23</v>
      </c>
      <c r="M31" s="4">
        <f>'תקציב אגף ת.ב.ל 2020 '!M31</f>
        <v>78803.770000000019</v>
      </c>
      <c r="N31" s="4">
        <f>'תקציב אגף ת.ב.ל 2020 '!N31</f>
        <v>0</v>
      </c>
      <c r="O31" s="4">
        <f>'תקציב אגף ת.ב.ל 2020 '!O31</f>
        <v>0</v>
      </c>
      <c r="P31" s="4">
        <f>'תקציב אגף ת.ב.ל 2020 '!P31</f>
        <v>78803.770000000019</v>
      </c>
      <c r="Q31" s="4">
        <f>'תקציב אגף ת.ב.ל 2020 '!Q31</f>
        <v>0</v>
      </c>
      <c r="R31" s="4">
        <f>'תקציב אגף ת.ב.ל 2020 '!R31</f>
        <v>0</v>
      </c>
      <c r="S31" s="4">
        <f>'תקציב אגף ת.ב.ל 2020 '!S31</f>
        <v>0</v>
      </c>
      <c r="T31" s="4">
        <f>'תקציב אגף ת.ב.ל 2020 '!T31</f>
        <v>0</v>
      </c>
      <c r="U31" s="4">
        <f>'תקציב אגף ת.ב.ל 2020 '!U31</f>
        <v>0</v>
      </c>
      <c r="V31" s="4">
        <f>'תקציב אגף ת.ב.ל 2020 '!V31</f>
        <v>0</v>
      </c>
      <c r="W31" s="4">
        <f>'תקציב אגף ת.ב.ל 2020 '!W31</f>
        <v>0</v>
      </c>
      <c r="X31" s="4">
        <f>'תקציב אגף ת.ב.ל 2020 '!X31</f>
        <v>0</v>
      </c>
      <c r="Y31" s="4">
        <f>'תקציב אגף ת.ב.ל 2020 '!Y31</f>
        <v>0</v>
      </c>
      <c r="Z31" s="4">
        <f>'תקציב אגף ת.ב.ל 2020 '!Z31</f>
        <v>0</v>
      </c>
      <c r="AA31" s="87">
        <f>'תקציב אגף ת.ב.ל 2020 '!AA31</f>
        <v>0</v>
      </c>
      <c r="AB31" s="706">
        <f>'תקציב אגף ת.ב.ל 2020 '!AB31</f>
        <v>850000</v>
      </c>
      <c r="AC31" s="191"/>
      <c r="AD31" s="191"/>
      <c r="AE31" s="31"/>
      <c r="AF31" s="28"/>
      <c r="AG31" s="358"/>
      <c r="AH31" s="359"/>
      <c r="AI31" s="360"/>
      <c r="AJ31" s="29"/>
      <c r="AK31" s="29"/>
      <c r="AL31" s="29"/>
      <c r="AM31" s="29"/>
      <c r="AN31" s="28"/>
    </row>
    <row r="32" spans="1:40" s="5" customFormat="1" ht="30" customHeight="1">
      <c r="A32" s="3">
        <f t="shared" si="0"/>
        <v>27</v>
      </c>
      <c r="B32" s="706">
        <f>'תקציב אגף ת.ב.ל 2020 '!B32</f>
        <v>1933</v>
      </c>
      <c r="C32" s="87" t="str">
        <f>'תקציב אגף ת.ב.ל 2020 '!C32</f>
        <v>שיפוצים ובטיחות אש מוזיאון</v>
      </c>
      <c r="D32" s="4">
        <f>'תקציב אגף ת.ב.ל 2020 '!D32</f>
        <v>1420000</v>
      </c>
      <c r="E32" s="4">
        <f>'תקציב אגף ת.ב.ל 2020 '!E32</f>
        <v>1420000</v>
      </c>
      <c r="F32" s="4">
        <f>'תקציב אגף ת.ב.ל 2020 '!F32</f>
        <v>0</v>
      </c>
      <c r="G32" s="4">
        <f>'תקציב אגף ת.ב.ל 2020 '!G32</f>
        <v>1420000</v>
      </c>
      <c r="H32" s="4">
        <f>'תקציב אגף ת.ב.ל 2020 '!H32</f>
        <v>176058</v>
      </c>
      <c r="I32" s="4">
        <f>'תקציב אגף ת.ב.ל 2020 '!I32</f>
        <v>0</v>
      </c>
      <c r="J32" s="4">
        <f>'תקציב אגף ת.ב.ל 2020 '!J32</f>
        <v>895264.37</v>
      </c>
      <c r="K32" s="4">
        <f>'תקציב אגף ת.ב.ל 2020 '!K32</f>
        <v>895264.37</v>
      </c>
      <c r="L32" s="4">
        <f>'תקציב אגף ת.ב.ל 2020 '!L32</f>
        <v>1071322.3700000001</v>
      </c>
      <c r="M32" s="4">
        <f>'תקציב אגף ת.ב.ל 2020 '!M32</f>
        <v>348677.62999999989</v>
      </c>
      <c r="N32" s="4">
        <f>'תקציב אגף ת.ב.ל 2020 '!N32</f>
        <v>0</v>
      </c>
      <c r="O32" s="4">
        <f>'תקציב אגף ת.ב.ל 2020 '!O32</f>
        <v>0</v>
      </c>
      <c r="P32" s="4">
        <f>'תקציב אגף ת.ב.ל 2020 '!P32</f>
        <v>348677.62999999989</v>
      </c>
      <c r="Q32" s="4">
        <f>'תקציב אגף ת.ב.ל 2020 '!Q32</f>
        <v>0</v>
      </c>
      <c r="R32" s="4">
        <f>'תקציב אגף ת.ב.ל 2020 '!R32</f>
        <v>0</v>
      </c>
      <c r="S32" s="4">
        <f>'תקציב אגף ת.ב.ל 2020 '!S32</f>
        <v>0</v>
      </c>
      <c r="T32" s="4">
        <f>'תקציב אגף ת.ב.ל 2020 '!T32</f>
        <v>0</v>
      </c>
      <c r="U32" s="4">
        <f>'תקציב אגף ת.ב.ל 2020 '!U32</f>
        <v>0</v>
      </c>
      <c r="V32" s="4">
        <f>'תקציב אגף ת.ב.ל 2020 '!V32</f>
        <v>0</v>
      </c>
      <c r="W32" s="4">
        <f>'תקציב אגף ת.ב.ל 2020 '!W32</f>
        <v>0</v>
      </c>
      <c r="X32" s="4">
        <f>'תקציב אגף ת.ב.ל 2020 '!X32</f>
        <v>0</v>
      </c>
      <c r="Y32" s="4">
        <f>'תקציב אגף ת.ב.ל 2020 '!Y32</f>
        <v>0</v>
      </c>
      <c r="Z32" s="4">
        <f>'תקציב אגף ת.ב.ל 2020 '!Z32</f>
        <v>0</v>
      </c>
      <c r="AA32" s="87" t="str">
        <f>'תקציב אגף ת.ב.ל 2020 '!AA32</f>
        <v xml:space="preserve">עבודות במסגרת מערכות כיבוי אש והמשך שדרוג מערכת מיזוג במוזיאון. </v>
      </c>
      <c r="AB32" s="706">
        <f>'תקציב אגף ת.ב.ל 2020 '!AB32</f>
        <v>826000</v>
      </c>
      <c r="AC32" s="191"/>
      <c r="AD32" s="191"/>
      <c r="AE32" s="31"/>
      <c r="AF32" s="28"/>
      <c r="AG32" s="358"/>
      <c r="AH32" s="359"/>
      <c r="AI32" s="28"/>
      <c r="AJ32" s="29"/>
      <c r="AK32" s="29"/>
      <c r="AL32" s="29"/>
      <c r="AM32" s="29"/>
      <c r="AN32" s="28"/>
    </row>
    <row r="33" spans="1:40" s="5" customFormat="1" ht="30" customHeight="1">
      <c r="A33" s="3">
        <f t="shared" si="0"/>
        <v>28</v>
      </c>
      <c r="B33" s="706">
        <f>'תקציב אגף ת.ב.ל 2020 '!B33</f>
        <v>1942</v>
      </c>
      <c r="C33" s="87" t="str">
        <f>'תקציב אגף ת.ב.ל 2020 '!C33</f>
        <v>התקנת מע. גילוי אש א.ס. היובל</v>
      </c>
      <c r="D33" s="4">
        <f>'תקציב אגף ת.ב.ל 2020 '!D33</f>
        <v>972000</v>
      </c>
      <c r="E33" s="4">
        <f>'תקציב אגף ת.ב.ל 2020 '!E33</f>
        <v>972000</v>
      </c>
      <c r="F33" s="4">
        <f>'תקציב אגף ת.ב.ל 2020 '!F33</f>
        <v>0</v>
      </c>
      <c r="G33" s="4">
        <f>'תקציב אגף ת.ב.ל 2020 '!G33</f>
        <v>972000</v>
      </c>
      <c r="H33" s="4">
        <f>'תקציב אגף ת.ב.ל 2020 '!H33</f>
        <v>498681.01</v>
      </c>
      <c r="I33" s="4">
        <f>'תקציב אגף ת.ב.ל 2020 '!I33</f>
        <v>0</v>
      </c>
      <c r="J33" s="4">
        <f>'תקציב אגף ת.ב.ל 2020 '!J33</f>
        <v>0</v>
      </c>
      <c r="K33" s="4">
        <f>'תקציב אגף ת.ב.ל 2020 '!K33</f>
        <v>0</v>
      </c>
      <c r="L33" s="4">
        <f>'תקציב אגף ת.ב.ל 2020 '!L33</f>
        <v>498681.01</v>
      </c>
      <c r="M33" s="4">
        <f>'תקציב אגף ת.ב.ל 2020 '!M33</f>
        <v>473318.99</v>
      </c>
      <c r="N33" s="4">
        <f>'תקציב אגף ת.ב.ל 2020 '!N33</f>
        <v>0</v>
      </c>
      <c r="O33" s="4">
        <f>'תקציב אגף ת.ב.ל 2020 '!O33</f>
        <v>0</v>
      </c>
      <c r="P33" s="4">
        <f>'תקציב אגף ת.ב.ל 2020 '!P33</f>
        <v>473318.99</v>
      </c>
      <c r="Q33" s="4">
        <f>'תקציב אגף ת.ב.ל 2020 '!Q33</f>
        <v>0</v>
      </c>
      <c r="R33" s="4">
        <f>'תקציב אגף ת.ב.ל 2020 '!R33</f>
        <v>0</v>
      </c>
      <c r="S33" s="4">
        <f>'תקציב אגף ת.ב.ל 2020 '!S33</f>
        <v>0</v>
      </c>
      <c r="T33" s="4">
        <f>'תקציב אגף ת.ב.ל 2020 '!T33</f>
        <v>0</v>
      </c>
      <c r="U33" s="4">
        <f>'תקציב אגף ת.ב.ל 2020 '!U33</f>
        <v>0</v>
      </c>
      <c r="V33" s="4">
        <f>'תקציב אגף ת.ב.ל 2020 '!V33</f>
        <v>0</v>
      </c>
      <c r="W33" s="4">
        <f>'תקציב אגף ת.ב.ל 2020 '!W33</f>
        <v>0</v>
      </c>
      <c r="X33" s="4">
        <f>'תקציב אגף ת.ב.ל 2020 '!X33</f>
        <v>0</v>
      </c>
      <c r="Y33" s="4">
        <f>'תקציב אגף ת.ב.ל 2020 '!Y33</f>
        <v>0</v>
      </c>
      <c r="Z33" s="4">
        <f>'תקציב אגף ת.ב.ל 2020 '!Z33</f>
        <v>0</v>
      </c>
      <c r="AA33" s="87" t="str">
        <f>'תקציב אגף ת.ב.ל 2020 '!AA33</f>
        <v>המשך עבודות שדרוג לוחות חשמל והוספת מפסקי חירום עפ"י הצורך.</v>
      </c>
      <c r="AB33" s="706">
        <f>'תקציב אגף ת.ב.ל 2020 '!AB33</f>
        <v>724000</v>
      </c>
      <c r="AC33" s="191"/>
      <c r="AD33" s="191"/>
      <c r="AE33" s="31"/>
      <c r="AF33" s="28"/>
      <c r="AG33" s="358"/>
      <c r="AH33" s="359"/>
      <c r="AI33" s="360"/>
      <c r="AJ33" s="29"/>
      <c r="AK33" s="29"/>
      <c r="AL33" s="29"/>
      <c r="AM33" s="29"/>
      <c r="AN33" s="28"/>
    </row>
    <row r="34" spans="1:40" s="5" customFormat="1" ht="30" customHeight="1">
      <c r="A34" s="3">
        <f t="shared" si="0"/>
        <v>29</v>
      </c>
      <c r="B34" s="706">
        <f>'תקציב אגף ת.ב.ל 2020 '!B34</f>
        <v>1946</v>
      </c>
      <c r="C34" s="87" t="str">
        <f>'תקציב אגף ת.ב.ל 2020 '!C34</f>
        <v xml:space="preserve">הצבת קרוואנים ופיתוח </v>
      </c>
      <c r="D34" s="4">
        <f>'תקציב אגף ת.ב.ל 2020 '!D34</f>
        <v>890000</v>
      </c>
      <c r="E34" s="4">
        <f>'תקציב אגף ת.ב.ל 2020 '!E34</f>
        <v>890000</v>
      </c>
      <c r="F34" s="4">
        <f>'תקציב אגף ת.ב.ל 2020 '!F34</f>
        <v>0</v>
      </c>
      <c r="G34" s="4">
        <f>'תקציב אגף ת.ב.ל 2020 '!G34</f>
        <v>890000</v>
      </c>
      <c r="H34" s="4">
        <f>'תקציב אגף ת.ב.ל 2020 '!H34</f>
        <v>668799.36</v>
      </c>
      <c r="I34" s="4">
        <f>'תקציב אגף ת.ב.ל 2020 '!I34</f>
        <v>0</v>
      </c>
      <c r="J34" s="4">
        <f>'תקציב אגף ת.ב.ל 2020 '!J34</f>
        <v>10000</v>
      </c>
      <c r="K34" s="4">
        <f>'תקציב אגף ת.ב.ל 2020 '!K34</f>
        <v>10000</v>
      </c>
      <c r="L34" s="4">
        <f>'תקציב אגף ת.ב.ל 2020 '!L34</f>
        <v>678799.35999999999</v>
      </c>
      <c r="M34" s="4">
        <f>'תקציב אגף ת.ב.ל 2020 '!M34</f>
        <v>211200.64000000001</v>
      </c>
      <c r="N34" s="4">
        <f>'תקציב אגף ת.ב.ל 2020 '!N34</f>
        <v>0</v>
      </c>
      <c r="O34" s="4">
        <f>'תקציב אגף ת.ב.ל 2020 '!O34</f>
        <v>0</v>
      </c>
      <c r="P34" s="4">
        <f>'תקציב אגף ת.ב.ל 2020 '!P34</f>
        <v>211200.64000000001</v>
      </c>
      <c r="Q34" s="4">
        <f>'תקציב אגף ת.ב.ל 2020 '!Q34</f>
        <v>0</v>
      </c>
      <c r="R34" s="4">
        <f>'תקציב אגף ת.ב.ל 2020 '!R34</f>
        <v>0</v>
      </c>
      <c r="S34" s="4">
        <f>'תקציב אגף ת.ב.ל 2020 '!S34</f>
        <v>0</v>
      </c>
      <c r="T34" s="4">
        <f>'תקציב אגף ת.ב.ל 2020 '!T34</f>
        <v>0</v>
      </c>
      <c r="U34" s="4">
        <f>'תקציב אגף ת.ב.ל 2020 '!U34</f>
        <v>0</v>
      </c>
      <c r="V34" s="4">
        <f>'תקציב אגף ת.ב.ל 2020 '!V34</f>
        <v>0</v>
      </c>
      <c r="W34" s="4">
        <f>'תקציב אגף ת.ב.ל 2020 '!W34</f>
        <v>0</v>
      </c>
      <c r="X34" s="4">
        <f>'תקציב אגף ת.ב.ל 2020 '!X34</f>
        <v>0</v>
      </c>
      <c r="Y34" s="4">
        <f>'תקציב אגף ת.ב.ל 2020 '!Y34</f>
        <v>0</v>
      </c>
      <c r="Z34" s="4">
        <f>'תקציב אגף ת.ב.ל 2020 '!Z34</f>
        <v>0</v>
      </c>
      <c r="AA34" s="87">
        <f>'תקציב אגף ת.ב.ל 2020 '!AA34</f>
        <v>0</v>
      </c>
      <c r="AB34" s="706">
        <f>'תקציב אגף ת.ב.ל 2020 '!AB34</f>
        <v>810000</v>
      </c>
      <c r="AC34" s="191"/>
      <c r="AD34" s="191"/>
      <c r="AE34" s="31"/>
      <c r="AF34" s="28"/>
      <c r="AG34" s="358"/>
      <c r="AH34" s="359"/>
      <c r="AI34" s="360"/>
      <c r="AJ34" s="29"/>
      <c r="AK34" s="29"/>
      <c r="AL34" s="29"/>
      <c r="AM34" s="29"/>
      <c r="AN34" s="28"/>
    </row>
    <row r="35" spans="1:40" s="5" customFormat="1" ht="41.4">
      <c r="A35" s="3">
        <f t="shared" si="0"/>
        <v>30</v>
      </c>
      <c r="B35" s="706">
        <f>'תקציב אגף ת.ב.ל 2020 '!B35</f>
        <v>1947</v>
      </c>
      <c r="C35" s="87" t="str">
        <f>'תקציב אגף ת.ב.ל 2020 '!C35</f>
        <v xml:space="preserve">פיר מעלית ומעלית בנין המועצה הדתית </v>
      </c>
      <c r="D35" s="4">
        <f>'תקציב אגף ת.ב.ל 2020 '!D35</f>
        <v>2500000</v>
      </c>
      <c r="E35" s="4">
        <f>'תקציב אגף ת.ב.ל 2020 '!E35</f>
        <v>2500000</v>
      </c>
      <c r="F35" s="4">
        <f>'תקציב אגף ת.ב.ל 2020 '!F35</f>
        <v>0</v>
      </c>
      <c r="G35" s="4">
        <f>'תקציב אגף ת.ב.ל 2020 '!G35</f>
        <v>1950000</v>
      </c>
      <c r="H35" s="4">
        <f>'תקציב אגף ת.ב.ל 2020 '!H35</f>
        <v>19880.57</v>
      </c>
      <c r="I35" s="4">
        <f>'תקציב אגף ת.ב.ל 2020 '!I35</f>
        <v>204750</v>
      </c>
      <c r="J35" s="4">
        <f>'תקציב אגף ת.ב.ל 2020 '!J35</f>
        <v>0</v>
      </c>
      <c r="K35" s="4">
        <f>'תקציב אגף ת.ב.ל 2020 '!K35</f>
        <v>204750</v>
      </c>
      <c r="L35" s="4">
        <f>'תקציב אגף ת.ב.ל 2020 '!L35</f>
        <v>224630.57</v>
      </c>
      <c r="M35" s="4">
        <f>'תקציב אגף ת.ב.ל 2020 '!M35</f>
        <v>1725369.43</v>
      </c>
      <c r="N35" s="4">
        <f>'תקציב אגף ת.ב.ל 2020 '!N35</f>
        <v>550000</v>
      </c>
      <c r="O35" s="4">
        <f>'תקציב אגף ת.ב.ל 2020 '!O35</f>
        <v>0</v>
      </c>
      <c r="P35" s="4">
        <f>'תקציב אגף ת.ב.ל 2020 '!P35</f>
        <v>1725369.43</v>
      </c>
      <c r="Q35" s="4">
        <f>'תקציב אגף ת.ב.ל 2020 '!Q35</f>
        <v>0</v>
      </c>
      <c r="R35" s="4">
        <f>'תקציב אגף ת.ב.ל 2020 '!R35</f>
        <v>0</v>
      </c>
      <c r="S35" s="4">
        <f>'תקציב אגף ת.ב.ל 2020 '!S35</f>
        <v>0</v>
      </c>
      <c r="T35" s="4">
        <f>'תקציב אגף ת.ב.ל 2020 '!T35</f>
        <v>0</v>
      </c>
      <c r="U35" s="4">
        <f>'תקציב אגף ת.ב.ל 2020 '!U35</f>
        <v>550000</v>
      </c>
      <c r="V35" s="4">
        <f>'תקציב אגף ת.ב.ל 2020 '!V35</f>
        <v>550000</v>
      </c>
      <c r="W35" s="4">
        <f>'תקציב אגף ת.ב.ל 2020 '!W35</f>
        <v>0</v>
      </c>
      <c r="X35" s="4">
        <f>'תקציב אגף ת.ב.ל 2020 '!X35</f>
        <v>0</v>
      </c>
      <c r="Y35" s="4">
        <f>'תקציב אגף ת.ב.ל 2020 '!Y35</f>
        <v>0</v>
      </c>
      <c r="Z35" s="4">
        <f>'תקציב אגף ת.ב.ל 2020 '!Z35</f>
        <v>0</v>
      </c>
      <c r="AA35" s="87" t="str">
        <f>'תקציב אגף ת.ב.ל 2020 '!AA35</f>
        <v>בנית פיר מעלית חיצוני בעקבות ביקורת של יועץ נגישות וקושי הנדסי לבנות את הפיר בתוך המבנה.</v>
      </c>
      <c r="AB35" s="706">
        <f>'תקציב אגף ת.ב.ל 2020 '!AB35</f>
        <v>850000</v>
      </c>
      <c r="AC35" s="191"/>
      <c r="AD35" s="191"/>
      <c r="AE35" s="31"/>
      <c r="AF35" s="28"/>
      <c r="AG35" s="358"/>
      <c r="AH35" s="359"/>
      <c r="AI35" s="360"/>
      <c r="AJ35" s="29"/>
      <c r="AK35" s="29"/>
      <c r="AL35" s="29"/>
      <c r="AM35" s="29"/>
      <c r="AN35" s="28"/>
    </row>
    <row r="36" spans="1:40" s="5" customFormat="1" ht="30" customHeight="1">
      <c r="A36" s="3">
        <f t="shared" si="0"/>
        <v>31</v>
      </c>
      <c r="B36" s="706">
        <f>'תקציב אגף ת.ב.ל 2020 '!B36</f>
        <v>1966</v>
      </c>
      <c r="C36" s="87" t="str">
        <f>'תקציב אגף ת.ב.ל 2020 '!C36</f>
        <v>החלפת צילרים אולמות ספורט נ. ישראל,סמדר ,נוף ים</v>
      </c>
      <c r="D36" s="4">
        <f>'תקציב אגף ת.ב.ל 2020 '!D36</f>
        <v>1700000</v>
      </c>
      <c r="E36" s="4">
        <f>'תקציב אגף ת.ב.ל 2020 '!E36</f>
        <v>1700000</v>
      </c>
      <c r="F36" s="4">
        <f>'תקציב אגף ת.ב.ל 2020 '!F36</f>
        <v>0</v>
      </c>
      <c r="G36" s="4">
        <f>'תקציב אגף ת.ב.ל 2020 '!G36</f>
        <v>1700000</v>
      </c>
      <c r="H36" s="4">
        <f>'תקציב אגף ת.ב.ל 2020 '!H36</f>
        <v>0</v>
      </c>
      <c r="I36" s="4">
        <f>'תקציב אגף ת.ב.ל 2020 '!I36</f>
        <v>0</v>
      </c>
      <c r="J36" s="4">
        <f>'תקציב אגף ת.ב.ל 2020 '!J36</f>
        <v>0</v>
      </c>
      <c r="K36" s="4">
        <f>'תקציב אגף ת.ב.ל 2020 '!K36</f>
        <v>0</v>
      </c>
      <c r="L36" s="4">
        <f>'תקציב אגף ת.ב.ל 2020 '!L36</f>
        <v>0</v>
      </c>
      <c r="M36" s="4">
        <f>'תקציב אגף ת.ב.ל 2020 '!M36</f>
        <v>1700000</v>
      </c>
      <c r="N36" s="4">
        <f>'תקציב אגף ת.ב.ל 2020 '!N36</f>
        <v>0</v>
      </c>
      <c r="O36" s="4">
        <f>'תקציב אגף ת.ב.ל 2020 '!O36</f>
        <v>0</v>
      </c>
      <c r="P36" s="4">
        <f>'תקציב אגף ת.ב.ל 2020 '!P36</f>
        <v>1700000</v>
      </c>
      <c r="Q36" s="4">
        <f>'תקציב אגף ת.ב.ל 2020 '!Q36</f>
        <v>0</v>
      </c>
      <c r="R36" s="4">
        <f>'תקציב אגף ת.ב.ל 2020 '!R36</f>
        <v>0</v>
      </c>
      <c r="S36" s="4">
        <f>'תקציב אגף ת.ב.ל 2020 '!S36</f>
        <v>0</v>
      </c>
      <c r="T36" s="4">
        <f>'תקציב אגף ת.ב.ל 2020 '!T36</f>
        <v>0</v>
      </c>
      <c r="U36" s="4">
        <f>'תקציב אגף ת.ב.ל 2020 '!U36</f>
        <v>0</v>
      </c>
      <c r="V36" s="4">
        <f>'תקציב אגף ת.ב.ל 2020 '!V36</f>
        <v>0</v>
      </c>
      <c r="W36" s="4">
        <f>'תקציב אגף ת.ב.ל 2020 '!W36</f>
        <v>0</v>
      </c>
      <c r="X36" s="4">
        <f>'תקציב אגף ת.ב.ל 2020 '!X36</f>
        <v>0</v>
      </c>
      <c r="Y36" s="4">
        <f>'תקציב אגף ת.ב.ל 2020 '!Y36</f>
        <v>0</v>
      </c>
      <c r="Z36" s="4">
        <f>'תקציב אגף ת.ב.ל 2020 '!Z36</f>
        <v>0</v>
      </c>
      <c r="AA36" s="87" t="str">
        <f>'תקציב אגף ת.ב.ל 2020 '!AA36</f>
        <v>החלפת מערכות צ'לרים באולמות הספורט מימון מ. האנרגיה.</v>
      </c>
      <c r="AB36" s="706">
        <f>'תקציב אגף ת.ב.ל 2020 '!AB36</f>
        <v>870000</v>
      </c>
      <c r="AC36" s="191"/>
      <c r="AD36" s="191"/>
      <c r="AE36" s="31"/>
      <c r="AF36" s="28"/>
      <c r="AG36" s="358"/>
      <c r="AH36" s="359"/>
      <c r="AI36" s="360"/>
      <c r="AJ36" s="29"/>
      <c r="AK36" s="29"/>
      <c r="AL36" s="28"/>
      <c r="AM36" s="28"/>
      <c r="AN36" s="28"/>
    </row>
    <row r="37" spans="1:40" s="5" customFormat="1" ht="41.4">
      <c r="A37" s="3">
        <f t="shared" si="0"/>
        <v>32</v>
      </c>
      <c r="B37" s="706">
        <f>'תקציב אגף ת.ב.ל 2020 '!B37</f>
        <v>1967</v>
      </c>
      <c r="C37" s="87" t="str">
        <f>'תקציב אגף ת.ב.ל 2020 '!C37</f>
        <v>התאמות נגישות מוסדות חינוך</v>
      </c>
      <c r="D37" s="4">
        <f>'תקציב אגף ת.ב.ל 2020 '!D37</f>
        <v>12929000</v>
      </c>
      <c r="E37" s="4">
        <f>'תקציב אגף ת.ב.ל 2020 '!E37</f>
        <v>12929000</v>
      </c>
      <c r="F37" s="4">
        <f>'תקציב אגף ת.ב.ל 2020 '!F37</f>
        <v>0</v>
      </c>
      <c r="G37" s="4">
        <f>'תקציב אגף ת.ב.ל 2020 '!G37</f>
        <v>4929000</v>
      </c>
      <c r="H37" s="4">
        <f>'תקציב אגף ת.ב.ל 2020 '!H37</f>
        <v>2039172.46</v>
      </c>
      <c r="I37" s="4">
        <f>'תקציב אגף ת.ב.ל 2020 '!I37</f>
        <v>388411.46</v>
      </c>
      <c r="J37" s="4">
        <f>'תקציב אגף ת.ב.ל 2020 '!J37</f>
        <v>65859.34</v>
      </c>
      <c r="K37" s="4">
        <f>'תקציב אגף ת.ב.ל 2020 '!K37</f>
        <v>454270.80000000005</v>
      </c>
      <c r="L37" s="4">
        <f>'תקציב אגף ת.ב.ל 2020 '!L37</f>
        <v>2493443.2599999998</v>
      </c>
      <c r="M37" s="4">
        <f>'תקציב אגף ת.ב.ל 2020 '!M37</f>
        <v>3205556.74</v>
      </c>
      <c r="N37" s="4">
        <f>'תקציב אגף ת.ב.ל 2020 '!N37</f>
        <v>5230000</v>
      </c>
      <c r="O37" s="4">
        <f>'תקציב אגף ת.ב.ל 2020 '!O37</f>
        <v>2000000</v>
      </c>
      <c r="P37" s="4">
        <f>'תקציב אגף ת.ב.ל 2020 '!P37</f>
        <v>2435556.7400000002</v>
      </c>
      <c r="Q37" s="4">
        <f>'תקציב אגף ת.ב.ל 2020 '!Q37</f>
        <v>770000</v>
      </c>
      <c r="R37" s="4">
        <f>'תקציב אגף ת.ב.ל 2020 '!R37</f>
        <v>0</v>
      </c>
      <c r="S37" s="4">
        <f>'תקציב אגף ת.ב.ל 2020 '!S37</f>
        <v>770000</v>
      </c>
      <c r="T37" s="4">
        <f>'תקציב אגף ת.ב.ל 2020 '!T37</f>
        <v>0</v>
      </c>
      <c r="U37" s="4">
        <f>'תקציב אגף ת.ב.ל 2020 '!U37</f>
        <v>5230000</v>
      </c>
      <c r="V37" s="4">
        <f>'תקציב אגף ת.ב.ל 2020 '!V37</f>
        <v>2500000</v>
      </c>
      <c r="W37" s="4">
        <f>'תקציב אגף ת.ב.ל 2020 '!W37</f>
        <v>2620000</v>
      </c>
      <c r="X37" s="4">
        <f>'תקציב אגף ת.ב.ל 2020 '!X37</f>
        <v>0</v>
      </c>
      <c r="Y37" s="4">
        <f>'תקציב אגף ת.ב.ל 2020 '!Y37</f>
        <v>0</v>
      </c>
      <c r="Z37" s="4">
        <f>'תקציב אגף ת.ב.ל 2020 '!Z37</f>
        <v>110000</v>
      </c>
      <c r="AA37" s="87" t="str">
        <f>'תקציב אגף ת.ב.ל 2020 '!AA37</f>
        <v>התקנת מעליות, שרותים ,רמפות בבי"ס עפ"י תוכנית רב שנתית. מימון מ. החינוך בי"ס רמב"ם.</v>
      </c>
      <c r="AB37" s="706">
        <f>'תקציב אגף ת.ב.ל 2020 '!AB37</f>
        <v>810000</v>
      </c>
      <c r="AC37" s="191"/>
      <c r="AD37" s="191"/>
      <c r="AE37" s="31"/>
      <c r="AF37" s="28"/>
      <c r="AG37" s="358"/>
      <c r="AH37" s="359"/>
      <c r="AI37" s="28"/>
      <c r="AJ37" s="29"/>
      <c r="AK37" s="29"/>
      <c r="AL37" s="29"/>
      <c r="AM37" s="29"/>
      <c r="AN37" s="28"/>
    </row>
    <row r="38" spans="1:40" s="5" customFormat="1" ht="30" customHeight="1">
      <c r="A38" s="3">
        <f t="shared" si="0"/>
        <v>33</v>
      </c>
      <c r="B38" s="706">
        <f>'תקציב אגף ת.ב.ל 2020 '!B38</f>
        <v>1968</v>
      </c>
      <c r="C38" s="87" t="str">
        <f>'תקציב אגף ת.ב.ל 2020 '!C38</f>
        <v>שדרוג המרחב הציבורי</v>
      </c>
      <c r="D38" s="4">
        <f>'תקציב אגף ת.ב.ל 2020 '!D38</f>
        <v>1950000</v>
      </c>
      <c r="E38" s="4">
        <f>'תקציב אגף ת.ב.ל 2020 '!E38</f>
        <v>1650000</v>
      </c>
      <c r="F38" s="4">
        <f>'תקציב אגף ת.ב.ל 2020 '!F38</f>
        <v>300000</v>
      </c>
      <c r="G38" s="4">
        <f>'תקציב אגף ת.ב.ל 2020 '!G38</f>
        <v>1650000</v>
      </c>
      <c r="H38" s="4">
        <f>'תקציב אגף ת.ב.ל 2020 '!H38</f>
        <v>1262412.33</v>
      </c>
      <c r="I38" s="4">
        <f>'תקציב אגף ת.ב.ל 2020 '!I38</f>
        <v>0</v>
      </c>
      <c r="J38" s="4">
        <f>'תקציב אגף ת.ב.ל 2020 '!J38</f>
        <v>32638.41</v>
      </c>
      <c r="K38" s="4">
        <f>'תקציב אגף ת.ב.ל 2020 '!K38</f>
        <v>32638.41</v>
      </c>
      <c r="L38" s="4">
        <f>'תקציב אגף ת.ב.ל 2020 '!L38</f>
        <v>1295050.74</v>
      </c>
      <c r="M38" s="4">
        <f>'תקציב אגף ת.ב.ל 2020 '!M38</f>
        <v>354949.26</v>
      </c>
      <c r="N38" s="4">
        <f>'תקציב אגף ת.ב.ל 2020 '!N38</f>
        <v>300000</v>
      </c>
      <c r="O38" s="4">
        <f>'תקציב אגף ת.ב.ל 2020 '!O38</f>
        <v>0</v>
      </c>
      <c r="P38" s="4">
        <f>'תקציב אגף ת.ב.ל 2020 '!P38</f>
        <v>354949.26</v>
      </c>
      <c r="Q38" s="4">
        <f>'תקציב אגף ת.ב.ל 2020 '!Q38</f>
        <v>0</v>
      </c>
      <c r="R38" s="4">
        <f>'תקציב אגף ת.ב.ל 2020 '!R38</f>
        <v>0</v>
      </c>
      <c r="S38" s="4">
        <f>'תקציב אגף ת.ב.ל 2020 '!S38</f>
        <v>0</v>
      </c>
      <c r="T38" s="4">
        <f>'תקציב אגף ת.ב.ל 2020 '!T38</f>
        <v>0</v>
      </c>
      <c r="U38" s="4">
        <f>'תקציב אגף ת.ב.ל 2020 '!U38</f>
        <v>300000</v>
      </c>
      <c r="V38" s="4">
        <f>'תקציב אגף ת.ב.ל 2020 '!V38</f>
        <v>0</v>
      </c>
      <c r="W38" s="4">
        <f>'תקציב אגף ת.ב.ל 2020 '!W38</f>
        <v>300000</v>
      </c>
      <c r="X38" s="4">
        <f>'תקציב אגף ת.ב.ל 2020 '!X38</f>
        <v>0</v>
      </c>
      <c r="Y38" s="4">
        <f>'תקציב אגף ת.ב.ל 2020 '!Y38</f>
        <v>0</v>
      </c>
      <c r="Z38" s="4">
        <f>'תקציב אגף ת.ב.ל 2020 '!Z38</f>
        <v>0</v>
      </c>
      <c r="AA38" s="87" t="str">
        <f>'תקציב אגף ת.ב.ל 2020 '!AA38</f>
        <v>מסגרת עבודות במרחב הציבורי.</v>
      </c>
      <c r="AB38" s="706">
        <f>'תקציב אגף ת.ב.ל 2020 '!AB38</f>
        <v>848500</v>
      </c>
      <c r="AC38" s="191"/>
      <c r="AD38" s="191"/>
      <c r="AE38" s="31"/>
      <c r="AF38" s="28"/>
      <c r="AG38" s="358"/>
      <c r="AH38" s="359"/>
      <c r="AI38" s="360"/>
      <c r="AJ38" s="29"/>
      <c r="AK38" s="29"/>
      <c r="AL38" s="29"/>
      <c r="AM38" s="29"/>
      <c r="AN38" s="28"/>
    </row>
    <row r="39" spans="1:40" s="5" customFormat="1" ht="41.4">
      <c r="A39" s="3">
        <f t="shared" si="0"/>
        <v>34</v>
      </c>
      <c r="B39" s="706">
        <f>'תקציב אגף ת.ב.ל 2020 '!B39</f>
        <v>1970</v>
      </c>
      <c r="C39" s="87" t="str">
        <f>'תקציב אגף ת.ב.ל 2020 '!C39</f>
        <v xml:space="preserve">שיפוצים שונים מוס"ח </v>
      </c>
      <c r="D39" s="4">
        <f>'תקציב אגף ת.ב.ל 2020 '!D39</f>
        <v>36519000</v>
      </c>
      <c r="E39" s="4">
        <f>'תקציב אגף ת.ב.ל 2020 '!E39</f>
        <v>21500000</v>
      </c>
      <c r="F39" s="4">
        <f>'תקציב אגף ת.ב.ל 2020 '!F39</f>
        <v>15019000</v>
      </c>
      <c r="G39" s="4">
        <f>'תקציב אגף ת.ב.ל 2020 '!G39</f>
        <v>21519000</v>
      </c>
      <c r="H39" s="4">
        <f>'תקציב אגף ת.ב.ל 2020 '!H39</f>
        <v>12855863.859999999</v>
      </c>
      <c r="I39" s="4">
        <f>'תקציב אגף ת.ב.ל 2020 '!I39</f>
        <v>0</v>
      </c>
      <c r="J39" s="4">
        <f>'תקציב אגף ת.ב.ל 2020 '!J39</f>
        <v>8022659.0599999996</v>
      </c>
      <c r="K39" s="4">
        <f>'תקציב אגף ת.ב.ל 2020 '!K39</f>
        <v>8022659.0599999996</v>
      </c>
      <c r="L39" s="4">
        <f>'תקציב אגף ת.ב.ל 2020 '!L39</f>
        <v>20878522.919999998</v>
      </c>
      <c r="M39" s="4">
        <f>'תקציב אגף ת.ב.ל 2020 '!M39</f>
        <v>2140477.0800000019</v>
      </c>
      <c r="N39" s="4">
        <f>'תקציב אגף ת.ב.ל 2020 '!N39</f>
        <v>5000000</v>
      </c>
      <c r="O39" s="4">
        <f>'תקציב אגף ת.ב.ל 2020 '!O39</f>
        <v>8500000</v>
      </c>
      <c r="P39" s="4">
        <f>'תקציב אגף ת.ב.ל 2020 '!P39</f>
        <v>640477.08000000194</v>
      </c>
      <c r="Q39" s="4">
        <f>'תקציב אגף ת.ב.ל 2020 '!Q39</f>
        <v>0</v>
      </c>
      <c r="R39" s="4">
        <f>'תקציב אגף ת.ב.ל 2020 '!R39</f>
        <v>1500000</v>
      </c>
      <c r="S39" s="4">
        <f>'תקציב אגף ת.ב.ל 2020 '!S39</f>
        <v>1500000</v>
      </c>
      <c r="T39" s="4">
        <f>'תקציב אגף ת.ב.ל 2020 '!T39</f>
        <v>0</v>
      </c>
      <c r="U39" s="4">
        <f>'תקציב אגף ת.ב.ל 2020 '!U39</f>
        <v>5000000</v>
      </c>
      <c r="V39" s="4">
        <f>'תקציב אגף ת.ב.ל 2020 '!V39</f>
        <v>0</v>
      </c>
      <c r="W39" s="4">
        <f>'תקציב אגף ת.ב.ל 2020 '!W39</f>
        <v>5000000</v>
      </c>
      <c r="X39" s="4">
        <f>'תקציב אגף ת.ב.ל 2020 '!X39</f>
        <v>0</v>
      </c>
      <c r="Y39" s="4">
        <f>'תקציב אגף ת.ב.ל 2020 '!Y39</f>
        <v>0</v>
      </c>
      <c r="Z39" s="4">
        <f>'תקציב אגף ת.ב.ל 2020 '!Z39</f>
        <v>0</v>
      </c>
      <c r="AA39" s="87" t="str">
        <f>'תקציב אגף ת.ב.ל 2020 '!AA39</f>
        <v>סל עבודות שיפוצים שונות במוס"ח לרבות שיפוצים יסודיים והתאמת מבנים גנ"י  על פי רשימה שתאושר ע"י הנהלת העיר.</v>
      </c>
      <c r="AB39" s="706">
        <f>'תקציב אגף ת.ב.ל 2020 '!AB39</f>
        <v>810000</v>
      </c>
      <c r="AC39" s="191"/>
      <c r="AD39" s="191"/>
      <c r="AE39" s="31"/>
      <c r="AF39" s="28"/>
      <c r="AG39" s="358"/>
      <c r="AH39" s="359"/>
      <c r="AI39" s="360"/>
      <c r="AJ39" s="29"/>
      <c r="AK39" s="29"/>
      <c r="AL39" s="29"/>
      <c r="AM39" s="29"/>
      <c r="AN39" s="28"/>
    </row>
    <row r="40" spans="1:40" s="5" customFormat="1" ht="41.4">
      <c r="A40" s="3">
        <f t="shared" si="0"/>
        <v>35</v>
      </c>
      <c r="B40" s="706">
        <f>'תקציב אגף ת.ב.ל 2020 '!B40</f>
        <v>2001</v>
      </c>
      <c r="C40" s="87" t="str">
        <f>'תקציב אגף ת.ב.ל 2020 '!C40</f>
        <v>בניית בי"ס ברחוב משה (ירוק)</v>
      </c>
      <c r="D40" s="4">
        <f>'תקציב אגף ת.ב.ל 2020 '!D40</f>
        <v>18500000</v>
      </c>
      <c r="E40" s="4">
        <f>'תקציב אגף ת.ב.ל 2020 '!E40</f>
        <v>18500000</v>
      </c>
      <c r="F40" s="4">
        <f>'תקציב אגף ת.ב.ל 2020 '!F40</f>
        <v>0</v>
      </c>
      <c r="G40" s="4">
        <f>'תקציב אגף ת.ב.ל 2020 '!G40</f>
        <v>998700</v>
      </c>
      <c r="H40" s="4">
        <f>'תקציב אגף ת.ב.ל 2020 '!H40</f>
        <v>198537</v>
      </c>
      <c r="I40" s="4">
        <f>'תקציב אגף ת.ב.ל 2020 '!I40</f>
        <v>626186.59</v>
      </c>
      <c r="J40" s="4">
        <f>'תקציב אגף ת.ב.ל 2020 '!J40</f>
        <v>4866.1499999999996</v>
      </c>
      <c r="K40" s="4">
        <f>'תקציב אגף ת.ב.ל 2020 '!K40</f>
        <v>631052.74</v>
      </c>
      <c r="L40" s="4">
        <f>'תקציב אגף ת.ב.ל 2020 '!L40</f>
        <v>829589.74</v>
      </c>
      <c r="M40" s="4">
        <f>'תקציב אגף ת.ב.ל 2020 '!M40</f>
        <v>169110.26</v>
      </c>
      <c r="N40" s="4">
        <f>'תקציב אגף ת.ב.ל 2020 '!N40</f>
        <v>17501300</v>
      </c>
      <c r="O40" s="4">
        <f>'תקציב אגף ת.ב.ל 2020 '!O40</f>
        <v>0</v>
      </c>
      <c r="P40" s="4">
        <f>'תקציב אגף ת.ב.ל 2020 '!P40</f>
        <v>169110.26</v>
      </c>
      <c r="Q40" s="4">
        <f>'תקציב אגף ת.ב.ל 2020 '!Q40</f>
        <v>0</v>
      </c>
      <c r="R40" s="4">
        <f>'תקציב אגף ת.ב.ל 2020 '!R40</f>
        <v>0</v>
      </c>
      <c r="S40" s="4">
        <f>'תקציב אגף ת.ב.ל 2020 '!S40</f>
        <v>0</v>
      </c>
      <c r="T40" s="4">
        <f>'תקציב אגף ת.ב.ל 2020 '!T40</f>
        <v>0</v>
      </c>
      <c r="U40" s="4">
        <f>'תקציב אגף ת.ב.ל 2020 '!U40</f>
        <v>17501300</v>
      </c>
      <c r="V40" s="4">
        <f>'תקציב אגף ת.ב.ל 2020 '!V40</f>
        <v>8500000</v>
      </c>
      <c r="W40" s="4">
        <f>'תקציב אגף ת.ב.ל 2020 '!W40</f>
        <v>0</v>
      </c>
      <c r="X40" s="4">
        <f>'תקציב אגף ת.ב.ל 2020 '!X40</f>
        <v>0</v>
      </c>
      <c r="Y40" s="4">
        <f>'תקציב אגף ת.ב.ל 2020 '!Y40</f>
        <v>0</v>
      </c>
      <c r="Z40" s="4">
        <f>'תקציב אגף ת.ב.ל 2020 '!Z40</f>
        <v>9001300</v>
      </c>
      <c r="AA40" s="87" t="str">
        <f>'תקציב אגף ת.ב.ל 2020 '!AA40</f>
        <v>בניית בית ספר ברח' משה-12 כתות. מימון מ. החינוך. היתר בשלב סופי. ממתין להרשאה מ. החינוך.</v>
      </c>
      <c r="AB40" s="706">
        <f>'תקציב אגף ת.ב.ל 2020 '!AB40</f>
        <v>810000</v>
      </c>
      <c r="AC40" s="191"/>
      <c r="AD40" s="191"/>
      <c r="AE40" s="31"/>
      <c r="AF40" s="28"/>
      <c r="AG40" s="358"/>
      <c r="AH40" s="359"/>
      <c r="AI40" s="28"/>
      <c r="AJ40" s="29"/>
      <c r="AK40" s="29"/>
      <c r="AL40" s="29"/>
      <c r="AM40" s="29"/>
      <c r="AN40" s="28"/>
    </row>
    <row r="41" spans="1:40" s="5" customFormat="1" ht="30" customHeight="1">
      <c r="A41" s="3">
        <f t="shared" si="0"/>
        <v>36</v>
      </c>
      <c r="B41" s="706">
        <f>'תקציב אגף ת.ב.ל 2020 '!B41</f>
        <v>2027</v>
      </c>
      <c r="C41" s="87" t="str">
        <f>'תקציב אגף ת.ב.ל 2020 '!C41</f>
        <v>שיפוץ יסודי מעון בן סרוק כולל הצטיידות</v>
      </c>
      <c r="D41" s="4">
        <f>'תקציב אגף ת.ב.ל 2020 '!D41</f>
        <v>1930000</v>
      </c>
      <c r="E41" s="4">
        <f>'תקציב אגף ת.ב.ל 2020 '!E41</f>
        <v>1930000</v>
      </c>
      <c r="F41" s="4">
        <f>'תקציב אגף ת.ב.ל 2020 '!F41</f>
        <v>0</v>
      </c>
      <c r="G41" s="4">
        <f>'תקציב אגף ת.ב.ל 2020 '!G41</f>
        <v>1930000</v>
      </c>
      <c r="H41" s="4">
        <f>'תקציב אגף ת.ב.ל 2020 '!H41</f>
        <v>1798656.39</v>
      </c>
      <c r="I41" s="4">
        <f>'תקציב אגף ת.ב.ל 2020 '!I41</f>
        <v>0</v>
      </c>
      <c r="J41" s="4">
        <f>'תקציב אגף ת.ב.ל 2020 '!J41</f>
        <v>102241.56</v>
      </c>
      <c r="K41" s="4">
        <f>'תקציב אגף ת.ב.ל 2020 '!K41</f>
        <v>102241.56</v>
      </c>
      <c r="L41" s="4">
        <f>'תקציב אגף ת.ב.ל 2020 '!L41</f>
        <v>1900897.95</v>
      </c>
      <c r="M41" s="4">
        <f>'תקציב אגף ת.ב.ל 2020 '!M41</f>
        <v>29102.050000000047</v>
      </c>
      <c r="N41" s="4">
        <f>'תקציב אגף ת.ב.ל 2020 '!N41</f>
        <v>0</v>
      </c>
      <c r="O41" s="4">
        <f>'תקציב אגף ת.ב.ל 2020 '!O41</f>
        <v>0</v>
      </c>
      <c r="P41" s="4">
        <f>'תקציב אגף ת.ב.ל 2020 '!P41</f>
        <v>29102.050000000047</v>
      </c>
      <c r="Q41" s="4">
        <f>'תקציב אגף ת.ב.ל 2020 '!Q41</f>
        <v>0</v>
      </c>
      <c r="R41" s="4">
        <f>'תקציב אגף ת.ב.ל 2020 '!R41</f>
        <v>0</v>
      </c>
      <c r="S41" s="4">
        <f>'תקציב אגף ת.ב.ל 2020 '!S41</f>
        <v>0</v>
      </c>
      <c r="T41" s="4">
        <f>'תקציב אגף ת.ב.ל 2020 '!T41</f>
        <v>0</v>
      </c>
      <c r="U41" s="4">
        <f>'תקציב אגף ת.ב.ל 2020 '!U41</f>
        <v>0</v>
      </c>
      <c r="V41" s="4">
        <f>'תקציב אגף ת.ב.ל 2020 '!V41</f>
        <v>0</v>
      </c>
      <c r="W41" s="4">
        <f>'תקציב אגף ת.ב.ל 2020 '!W41</f>
        <v>0</v>
      </c>
      <c r="X41" s="4">
        <f>'תקציב אגף ת.ב.ל 2020 '!X41</f>
        <v>0</v>
      </c>
      <c r="Y41" s="4">
        <f>'תקציב אגף ת.ב.ל 2020 '!Y41</f>
        <v>0</v>
      </c>
      <c r="Z41" s="4">
        <f>'תקציב אגף ת.ב.ל 2020 '!Z41</f>
        <v>0</v>
      </c>
      <c r="AA41" s="87">
        <f>'תקציב אגף ת.ב.ל 2020 '!AA41</f>
        <v>0</v>
      </c>
      <c r="AB41" s="706">
        <f>'תקציב אגף ת.ב.ל 2020 '!AB41</f>
        <v>810000</v>
      </c>
      <c r="AC41" s="191"/>
      <c r="AD41" s="191"/>
      <c r="AE41" s="31"/>
      <c r="AF41" s="28"/>
      <c r="AG41" s="358"/>
      <c r="AH41" s="359"/>
      <c r="AI41" s="360"/>
      <c r="AJ41" s="29"/>
      <c r="AK41" s="29"/>
      <c r="AL41" s="29"/>
      <c r="AM41" s="29"/>
      <c r="AN41" s="28"/>
    </row>
    <row r="42" spans="1:40" s="5" customFormat="1" ht="30" customHeight="1">
      <c r="A42" s="3">
        <f t="shared" si="0"/>
        <v>37</v>
      </c>
      <c r="B42" s="706">
        <f>'תקציב אגף ת.ב.ל 2020 '!B42</f>
        <v>2028</v>
      </c>
      <c r="C42" s="87" t="str">
        <f>'תקציב אגף ת.ב.ל 2020 '!C42</f>
        <v>שיפוץ מעבדת רובוטיקה בהנדסאים</v>
      </c>
      <c r="D42" s="4">
        <f>'תקציב אגף ת.ב.ל 2020 '!D42</f>
        <v>2200000</v>
      </c>
      <c r="E42" s="4">
        <f>'תקציב אגף ת.ב.ל 2020 '!E42</f>
        <v>1800000</v>
      </c>
      <c r="F42" s="4">
        <f>'תקציב אגף ת.ב.ל 2020 '!F42</f>
        <v>400000</v>
      </c>
      <c r="G42" s="4">
        <f>'תקציב אגף ת.ב.ל 2020 '!G42</f>
        <v>1800000</v>
      </c>
      <c r="H42" s="4">
        <f>'תקציב אגף ת.ב.ל 2020 '!H42</f>
        <v>433605.55</v>
      </c>
      <c r="I42" s="4">
        <f>'תקציב אגף ת.ב.ל 2020 '!I42</f>
        <v>1320644.7</v>
      </c>
      <c r="J42" s="4">
        <f>'תקציב אגף ת.ב.ל 2020 '!J42</f>
        <v>5382</v>
      </c>
      <c r="K42" s="4">
        <f>'תקציב אגף ת.ב.ל 2020 '!K42</f>
        <v>1326026.7</v>
      </c>
      <c r="L42" s="4">
        <f>'תקציב אגף ת.ב.ל 2020 '!L42</f>
        <v>1759632.25</v>
      </c>
      <c r="M42" s="4">
        <f>'תקציב אגף ת.ב.ל 2020 '!M42</f>
        <v>40367.75</v>
      </c>
      <c r="N42" s="4">
        <f>'תקציב אגף ת.ב.ל 2020 '!N42</f>
        <v>400000</v>
      </c>
      <c r="O42" s="4">
        <f>'תקציב אגף ת.ב.ל 2020 '!O42</f>
        <v>0</v>
      </c>
      <c r="P42" s="4">
        <f>'תקציב אגף ת.ב.ל 2020 '!P42</f>
        <v>40367.75</v>
      </c>
      <c r="Q42" s="4">
        <f>'תקציב אגף ת.ב.ל 2020 '!Q42</f>
        <v>0</v>
      </c>
      <c r="R42" s="4">
        <f>'תקציב אגף ת.ב.ל 2020 '!R42</f>
        <v>0</v>
      </c>
      <c r="S42" s="4">
        <f>'תקציב אגף ת.ב.ל 2020 '!S42</f>
        <v>0</v>
      </c>
      <c r="T42" s="4">
        <f>'תקציב אגף ת.ב.ל 2020 '!T42</f>
        <v>0</v>
      </c>
      <c r="U42" s="4">
        <f>'תקציב אגף ת.ב.ל 2020 '!U42</f>
        <v>400000</v>
      </c>
      <c r="V42" s="4">
        <f>'תקציב אגף ת.ב.ל 2020 '!V42</f>
        <v>0</v>
      </c>
      <c r="W42" s="4">
        <f>'תקציב אגף ת.ב.ל 2020 '!W42</f>
        <v>400000</v>
      </c>
      <c r="X42" s="4">
        <f>'תקציב אגף ת.ב.ל 2020 '!X42</f>
        <v>0</v>
      </c>
      <c r="Y42" s="4">
        <f>'תקציב אגף ת.ב.ל 2020 '!Y42</f>
        <v>0</v>
      </c>
      <c r="Z42" s="4">
        <f>'תקציב אגף ת.ב.ל 2020 '!Z42</f>
        <v>0</v>
      </c>
      <c r="AA42" s="87" t="str">
        <f>'תקציב אגף ת.ב.ל 2020 '!AA42</f>
        <v>עבודות חיפוי חיצוני עפ"י דרישת מינהל הנדסה.</v>
      </c>
      <c r="AB42" s="706">
        <f>'תקציב אגף ת.ב.ל 2020 '!AB42</f>
        <v>810000</v>
      </c>
      <c r="AC42" s="191"/>
      <c r="AD42" s="191"/>
      <c r="AE42" s="31"/>
      <c r="AF42" s="28"/>
      <c r="AG42" s="358"/>
      <c r="AH42" s="359"/>
      <c r="AI42" s="28"/>
      <c r="AJ42" s="29"/>
      <c r="AK42" s="29"/>
      <c r="AL42" s="29"/>
      <c r="AM42" s="29"/>
      <c r="AN42" s="28"/>
    </row>
    <row r="43" spans="1:40" s="5" customFormat="1" ht="41.4">
      <c r="A43" s="3">
        <f t="shared" si="0"/>
        <v>38</v>
      </c>
      <c r="B43" s="706">
        <f>'תקציב אגף ת.ב.ל 2020 '!B43</f>
        <v>2029</v>
      </c>
      <c r="C43" s="87" t="str">
        <f>'תקציב אגף ת.ב.ל 2020 '!C43</f>
        <v>שיפוץ אולם אירועים, מרפסת,מדרגות  מועצה דתית</v>
      </c>
      <c r="D43" s="4">
        <f>'תקציב אגף ת.ב.ל 2020 '!D43</f>
        <v>300000</v>
      </c>
      <c r="E43" s="4">
        <f>'תקציב אגף ת.ב.ל 2020 '!E43</f>
        <v>300000</v>
      </c>
      <c r="F43" s="4">
        <f>'תקציב אגף ת.ב.ל 2020 '!F43</f>
        <v>0</v>
      </c>
      <c r="G43" s="4">
        <f>'תקציב אגף ת.ב.ל 2020 '!G43</f>
        <v>300000</v>
      </c>
      <c r="H43" s="4">
        <f>'תקציב אגף ת.ב.ל 2020 '!H43</f>
        <v>0</v>
      </c>
      <c r="I43" s="4">
        <f>'תקציב אגף ת.ב.ל 2020 '!I43</f>
        <v>0</v>
      </c>
      <c r="J43" s="4">
        <f>'תקציב אגף ת.ב.ל 2020 '!J43</f>
        <v>0</v>
      </c>
      <c r="K43" s="4">
        <f>'תקציב אגף ת.ב.ל 2020 '!K43</f>
        <v>0</v>
      </c>
      <c r="L43" s="4">
        <f>'תקציב אגף ת.ב.ל 2020 '!L43</f>
        <v>0</v>
      </c>
      <c r="M43" s="4">
        <f>'תקציב אגף ת.ב.ל 2020 '!M43</f>
        <v>50000</v>
      </c>
      <c r="N43" s="4">
        <f>'תקציב אגף ת.ב.ל 2020 '!N43</f>
        <v>250000</v>
      </c>
      <c r="O43" s="4">
        <f>'תקציב אגף ת.ב.ל 2020 '!O43</f>
        <v>0</v>
      </c>
      <c r="P43" s="4">
        <f>'תקציב אגף ת.ב.ל 2020 '!P43</f>
        <v>300000</v>
      </c>
      <c r="Q43" s="4">
        <f>'תקציב אגף ת.ב.ל 2020 '!Q43</f>
        <v>0</v>
      </c>
      <c r="R43" s="4">
        <f>'תקציב אגף ת.ב.ל 2020 '!R43</f>
        <v>0</v>
      </c>
      <c r="S43" s="4">
        <f>'תקציב אגף ת.ב.ל 2020 '!S43</f>
        <v>0</v>
      </c>
      <c r="T43" s="4">
        <f>'תקציב אגף ת.ב.ל 2020 '!T43</f>
        <v>250000</v>
      </c>
      <c r="U43" s="4">
        <f>'תקציב אגף ת.ב.ל 2020 '!U43</f>
        <v>0</v>
      </c>
      <c r="V43" s="4">
        <f>'תקציב אגף ת.ב.ל 2020 '!V43</f>
        <v>0</v>
      </c>
      <c r="W43" s="4">
        <f>'תקציב אגף ת.ב.ל 2020 '!W43</f>
        <v>0</v>
      </c>
      <c r="X43" s="4">
        <f>'תקציב אגף ת.ב.ל 2020 '!X43</f>
        <v>0</v>
      </c>
      <c r="Y43" s="4">
        <f>'תקציב אגף ת.ב.ל 2020 '!Y43</f>
        <v>0</v>
      </c>
      <c r="Z43" s="4">
        <f>'תקציב אגף ת.ב.ל 2020 '!Z43</f>
        <v>0</v>
      </c>
      <c r="AA43" s="87" t="str">
        <f>'תקציב אגף ת.ב.ל 2020 '!AA43</f>
        <v>עבודות הנגשה כולל מעלית ושיפוץ אולם והכשרת היתר הבניה לכל המבנה. ממתין להיתר.</v>
      </c>
      <c r="AB43" s="706">
        <f>'תקציב אגף ת.ב.ל 2020 '!AB43</f>
        <v>850000</v>
      </c>
      <c r="AC43" s="191"/>
      <c r="AD43" s="191"/>
      <c r="AE43" s="31"/>
      <c r="AF43" s="28"/>
      <c r="AG43" s="358"/>
      <c r="AH43" s="359"/>
      <c r="AI43" s="28"/>
      <c r="AJ43" s="29"/>
      <c r="AK43" s="29"/>
      <c r="AL43" s="29"/>
      <c r="AM43" s="29"/>
      <c r="AN43" s="28"/>
    </row>
    <row r="44" spans="1:40" s="5" customFormat="1" ht="27.6">
      <c r="A44" s="3">
        <f t="shared" si="0"/>
        <v>39</v>
      </c>
      <c r="B44" s="706">
        <f>'תקציב אגף ת.ב.ל 2020 '!B44</f>
        <v>2030</v>
      </c>
      <c r="C44" s="87" t="str">
        <f>'תקציב אגף ת.ב.ל 2020 '!C44</f>
        <v>תיכון ראשונים</v>
      </c>
      <c r="D44" s="4">
        <f>'תקציב אגף ת.ב.ל 2020 '!D44</f>
        <v>31500000</v>
      </c>
      <c r="E44" s="4">
        <f>'תקציב אגף ת.ב.ל 2020 '!E44</f>
        <v>31500000</v>
      </c>
      <c r="F44" s="4">
        <f>'תקציב אגף ת.ב.ל 2020 '!F44</f>
        <v>0</v>
      </c>
      <c r="G44" s="4">
        <f>'תקציב אגף ת.ב.ל 2020 '!G44</f>
        <v>11000000</v>
      </c>
      <c r="H44" s="4">
        <f>'תקציב אגף ת.ב.ל 2020 '!H44</f>
        <v>2019372.78</v>
      </c>
      <c r="I44" s="4">
        <f>'תקציב אגף ת.ב.ל 2020 '!I44</f>
        <v>5480195.0999999996</v>
      </c>
      <c r="J44" s="4">
        <f>'תקציב אגף ת.ב.ל 2020 '!J44</f>
        <v>43146.38</v>
      </c>
      <c r="K44" s="4">
        <f>'תקציב אגף ת.ב.ל 2020 '!K44</f>
        <v>5523341.4799999995</v>
      </c>
      <c r="L44" s="4">
        <f>'תקציב אגף ת.ב.ל 2020 '!L44</f>
        <v>7542714.2599999998</v>
      </c>
      <c r="M44" s="4">
        <f>'תקציב אגף ת.ב.ל 2020 '!M44</f>
        <v>3457285.74</v>
      </c>
      <c r="N44" s="4">
        <f>'תקציב אגף ת.ב.ל 2020 '!N44</f>
        <v>8000000</v>
      </c>
      <c r="O44" s="4">
        <f>'תקציב אגף ת.ב.ל 2020 '!O44</f>
        <v>12500000</v>
      </c>
      <c r="P44" s="4">
        <f>'תקציב אגף ת.ב.ל 2020 '!P44</f>
        <v>3457285.74</v>
      </c>
      <c r="Q44" s="4">
        <f>'תקציב אגף ת.ב.ל 2020 '!Q44</f>
        <v>0</v>
      </c>
      <c r="R44" s="4">
        <f>'תקציב אגף ת.ב.ל 2020 '!R44</f>
        <v>0</v>
      </c>
      <c r="S44" s="4">
        <f>'תקציב אגף ת.ב.ל 2020 '!S44</f>
        <v>0</v>
      </c>
      <c r="T44" s="4">
        <f>'תקציב אגף ת.ב.ל 2020 '!T44</f>
        <v>0</v>
      </c>
      <c r="U44" s="4">
        <f>'תקציב אגף ת.ב.ל 2020 '!U44</f>
        <v>8000000</v>
      </c>
      <c r="V44" s="4">
        <f>'תקציב אגף ת.ב.ל 2020 '!V44</f>
        <v>8000000</v>
      </c>
      <c r="W44" s="4">
        <f>'תקציב אגף ת.ב.ל 2020 '!W44</f>
        <v>0</v>
      </c>
      <c r="X44" s="4">
        <f>'תקציב אגף ת.ב.ל 2020 '!X44</f>
        <v>0</v>
      </c>
      <c r="Y44" s="4">
        <f>'תקציב אגף ת.ב.ל 2020 '!Y44</f>
        <v>0</v>
      </c>
      <c r="Z44" s="4">
        <f>'תקציב אגף ת.ב.ל 2020 '!Z44</f>
        <v>0</v>
      </c>
      <c r="AA44" s="87" t="str">
        <f>'תקציב אגף ת.ב.ל 2020 '!AA44</f>
        <v>פרויקט  בניית אודיטוריום ,תוספת 6 כתות ו-2 ממ"דים , שיפוץ כללי.</v>
      </c>
      <c r="AB44" s="706">
        <f>'תקציב אגף ת.ב.ל 2020 '!AB44</f>
        <v>810000</v>
      </c>
      <c r="AC44" s="191"/>
      <c r="AD44" s="191"/>
      <c r="AE44" s="31"/>
      <c r="AF44" s="28"/>
      <c r="AG44" s="358"/>
      <c r="AH44" s="359"/>
      <c r="AI44" s="28"/>
      <c r="AJ44" s="29"/>
      <c r="AK44" s="29"/>
      <c r="AL44" s="28"/>
      <c r="AM44" s="28"/>
      <c r="AN44" s="28"/>
    </row>
    <row r="45" spans="1:40" s="5" customFormat="1" ht="30" customHeight="1">
      <c r="A45" s="3">
        <f t="shared" si="0"/>
        <v>40</v>
      </c>
      <c r="B45" s="706">
        <f>'תקציב אגף ת.ב.ל 2020 '!B45</f>
        <v>2061</v>
      </c>
      <c r="C45" s="87" t="str">
        <f>'תקציב אגף ת.ב.ל 2020 '!C45</f>
        <v>שיפוץ קומת  קרקע בעלות עיריה מוהליבר פינת הדר</v>
      </c>
      <c r="D45" s="4">
        <f>'תקציב אגף ת.ב.ל 2020 '!D45</f>
        <v>290000</v>
      </c>
      <c r="E45" s="4">
        <f>'תקציב אגף ת.ב.ל 2020 '!E45</f>
        <v>290000</v>
      </c>
      <c r="F45" s="4">
        <f>'תקציב אגף ת.ב.ל 2020 '!F45</f>
        <v>0</v>
      </c>
      <c r="G45" s="4">
        <f>'תקציב אגף ת.ב.ל 2020 '!G45</f>
        <v>290000</v>
      </c>
      <c r="H45" s="4">
        <f>'תקציב אגף ת.ב.ל 2020 '!H45</f>
        <v>256348.76</v>
      </c>
      <c r="I45" s="4">
        <f>'תקציב אגף ת.ב.ל 2020 '!I45</f>
        <v>0</v>
      </c>
      <c r="J45" s="4">
        <f>'תקציב אגף ת.ב.ל 2020 '!J45</f>
        <v>32643</v>
      </c>
      <c r="K45" s="4">
        <f>'תקציב אגף ת.ב.ל 2020 '!K45</f>
        <v>32643</v>
      </c>
      <c r="L45" s="4">
        <f>'תקציב אגף ת.ב.ל 2020 '!L45</f>
        <v>288991.76</v>
      </c>
      <c r="M45" s="4">
        <f>'תקציב אגף ת.ב.ל 2020 '!M45</f>
        <v>1008.2399999999907</v>
      </c>
      <c r="N45" s="4">
        <f>'תקציב אגף ת.ב.ל 2020 '!N45</f>
        <v>0</v>
      </c>
      <c r="O45" s="4">
        <f>'תקציב אגף ת.ב.ל 2020 '!O45</f>
        <v>0</v>
      </c>
      <c r="P45" s="4">
        <f>'תקציב אגף ת.ב.ל 2020 '!P45</f>
        <v>1008.2399999999907</v>
      </c>
      <c r="Q45" s="4">
        <f>'תקציב אגף ת.ב.ל 2020 '!Q45</f>
        <v>0</v>
      </c>
      <c r="R45" s="4">
        <f>'תקציב אגף ת.ב.ל 2020 '!R45</f>
        <v>0</v>
      </c>
      <c r="S45" s="4">
        <f>'תקציב אגף ת.ב.ל 2020 '!S45</f>
        <v>0</v>
      </c>
      <c r="T45" s="4">
        <f>'תקציב אגף ת.ב.ל 2020 '!T45</f>
        <v>0</v>
      </c>
      <c r="U45" s="4">
        <f>'תקציב אגף ת.ב.ל 2020 '!U45</f>
        <v>0</v>
      </c>
      <c r="V45" s="4">
        <f>'תקציב אגף ת.ב.ל 2020 '!V45</f>
        <v>0</v>
      </c>
      <c r="W45" s="4">
        <f>'תקציב אגף ת.ב.ל 2020 '!W45</f>
        <v>0</v>
      </c>
      <c r="X45" s="4">
        <f>'תקציב אגף ת.ב.ל 2020 '!X45</f>
        <v>0</v>
      </c>
      <c r="Y45" s="4">
        <f>'תקציב אגף ת.ב.ל 2020 '!Y45</f>
        <v>0</v>
      </c>
      <c r="Z45" s="4">
        <f>'תקציב אגף ת.ב.ל 2020 '!Z45</f>
        <v>0</v>
      </c>
      <c r="AA45" s="87" t="str">
        <f>'תקציב אגף ת.ב.ל 2020 '!AA45</f>
        <v>שיפוץ קומת הקרקע במבנה לטובת פעילות  יחידת הבריאות העירונית.</v>
      </c>
      <c r="AB45" s="706">
        <f>'תקציב אגף ת.ב.ל 2020 '!AB45</f>
        <v>930000</v>
      </c>
      <c r="AC45" s="191"/>
      <c r="AD45" s="191"/>
      <c r="AE45" s="31"/>
      <c r="AF45" s="28"/>
      <c r="AG45" s="358"/>
      <c r="AH45" s="359"/>
      <c r="AI45" s="28"/>
      <c r="AJ45" s="29"/>
      <c r="AK45" s="29"/>
      <c r="AL45" s="29"/>
      <c r="AM45" s="29"/>
      <c r="AN45" s="28"/>
    </row>
    <row r="46" spans="1:40" s="5" customFormat="1" ht="30" customHeight="1">
      <c r="A46" s="3">
        <f t="shared" si="0"/>
        <v>41</v>
      </c>
      <c r="B46" s="706">
        <f>'תקציב אגף ת.ב.ל 2020 '!B46</f>
        <v>2063</v>
      </c>
      <c r="C46" s="87" t="str">
        <f>'תקציב אגף ת.ב.ל 2020 '!C46</f>
        <v>תוספת כיתות /חדרי ספח ברנדיס</v>
      </c>
      <c r="D46" s="4">
        <f>'תקציב אגף ת.ב.ל 2020 '!D46</f>
        <v>1490000</v>
      </c>
      <c r="E46" s="4">
        <f>'תקציב אגף ת.ב.ל 2020 '!E46</f>
        <v>1490000</v>
      </c>
      <c r="F46" s="4">
        <f>'תקציב אגף ת.ב.ל 2020 '!F46</f>
        <v>0</v>
      </c>
      <c r="G46" s="4">
        <f>'תקציב אגף ת.ב.ל 2020 '!G46</f>
        <v>1490000</v>
      </c>
      <c r="H46" s="4">
        <f>'תקציב אגף ת.ב.ל 2020 '!H46</f>
        <v>60470.12</v>
      </c>
      <c r="I46" s="4">
        <f>'תקציב אגף ת.ב.ל 2020 '!I46</f>
        <v>38680.199999999997</v>
      </c>
      <c r="J46" s="4">
        <f>'תקציב אגף ת.ב.ל 2020 '!J46</f>
        <v>31297.5</v>
      </c>
      <c r="K46" s="4">
        <f>'תקציב אגף ת.ב.ל 2020 '!K46</f>
        <v>69977.7</v>
      </c>
      <c r="L46" s="4">
        <f>'תקציב אגף ת.ב.ל 2020 '!L46</f>
        <v>130447.82</v>
      </c>
      <c r="M46" s="4">
        <f>'תקציב אגף ת.ב.ל 2020 '!M46</f>
        <v>359552.17999999993</v>
      </c>
      <c r="N46" s="4">
        <f>'תקציב אגף ת.ב.ל 2020 '!N46</f>
        <v>1000000</v>
      </c>
      <c r="O46" s="4">
        <f>'תקציב אגף ת.ב.ל 2020 '!O46</f>
        <v>0</v>
      </c>
      <c r="P46" s="4">
        <f>'תקציב אגף ת.ב.ל 2020 '!P46</f>
        <v>1359552.18</v>
      </c>
      <c r="Q46" s="4">
        <f>'תקציב אגף ת.ב.ל 2020 '!Q46</f>
        <v>0</v>
      </c>
      <c r="R46" s="4">
        <f>'תקציב אגף ת.ב.ל 2020 '!R46</f>
        <v>0</v>
      </c>
      <c r="S46" s="4">
        <f>'תקציב אגף ת.ב.ל 2020 '!S46</f>
        <v>0</v>
      </c>
      <c r="T46" s="4">
        <f>'תקציב אגף ת.ב.ל 2020 '!T46</f>
        <v>1000000</v>
      </c>
      <c r="U46" s="4">
        <f>'תקציב אגף ת.ב.ל 2020 '!U46</f>
        <v>0</v>
      </c>
      <c r="V46" s="4">
        <f>'תקציב אגף ת.ב.ל 2020 '!V46</f>
        <v>0</v>
      </c>
      <c r="W46" s="4">
        <f>'תקציב אגף ת.ב.ל 2020 '!W46</f>
        <v>0</v>
      </c>
      <c r="X46" s="4">
        <f>'תקציב אגף ת.ב.ל 2020 '!X46</f>
        <v>0</v>
      </c>
      <c r="Y46" s="4">
        <f>'תקציב אגף ת.ב.ל 2020 '!Y46</f>
        <v>0</v>
      </c>
      <c r="Z46" s="4">
        <f>'תקציב אגף ת.ב.ל 2020 '!Z46</f>
        <v>0</v>
      </c>
      <c r="AA46" s="87" t="str">
        <f>'תקציב אגף ת.ב.ל 2020 '!AA46</f>
        <v>תוספת כיתות וחדרי ספח בקומת המסד בבי"ס ברנדיס. ממתין להיתר.</v>
      </c>
      <c r="AB46" s="706">
        <f>'תקציב אגף ת.ב.ל 2020 '!AB46</f>
        <v>810000</v>
      </c>
      <c r="AC46" s="191"/>
      <c r="AD46" s="191"/>
      <c r="AE46" s="31"/>
      <c r="AF46" s="28"/>
      <c r="AG46" s="358"/>
      <c r="AH46" s="359"/>
      <c r="AI46" s="28"/>
      <c r="AJ46" s="29"/>
      <c r="AK46" s="29"/>
      <c r="AL46" s="29"/>
      <c r="AM46" s="29"/>
      <c r="AN46" s="28"/>
    </row>
    <row r="47" spans="1:40" s="5" customFormat="1" ht="30" customHeight="1">
      <c r="A47" s="3">
        <f t="shared" si="0"/>
        <v>42</v>
      </c>
      <c r="B47" s="706">
        <f>'תקציב אגף ת.ב.ל 2020 '!B47</f>
        <v>2065</v>
      </c>
      <c r="C47" s="87" t="str">
        <f>'תקציב אגף ת.ב.ל 2020 '!C47</f>
        <v>התאמת מבנה שיפוץ גנ"י לאה גולדברג 1</v>
      </c>
      <c r="D47" s="4">
        <f>'תקציב אגף ת.ב.ל 2020 '!D47</f>
        <v>700000</v>
      </c>
      <c r="E47" s="4">
        <f>'תקציב אגף ת.ב.ל 2020 '!E47</f>
        <v>700000</v>
      </c>
      <c r="F47" s="4">
        <f>'תקציב אגף ת.ב.ל 2020 '!F47</f>
        <v>0</v>
      </c>
      <c r="G47" s="4">
        <f>'תקציב אגף ת.ב.ל 2020 '!G47</f>
        <v>700000</v>
      </c>
      <c r="H47" s="4">
        <f>'תקציב אגף ת.ב.ל 2020 '!H47</f>
        <v>675328.1</v>
      </c>
      <c r="I47" s="4">
        <f>'תקציב אגף ת.ב.ל 2020 '!I47</f>
        <v>0</v>
      </c>
      <c r="J47" s="4">
        <f>'תקציב אגף ת.ב.ל 2020 '!J47</f>
        <v>24618.63</v>
      </c>
      <c r="K47" s="4">
        <f>'תקציב אגף ת.ב.ל 2020 '!K47</f>
        <v>24618.63</v>
      </c>
      <c r="L47" s="4">
        <f>'תקציב אגף ת.ב.ל 2020 '!L47</f>
        <v>699946.73</v>
      </c>
      <c r="M47" s="4">
        <f>'תקציב אגף ת.ב.ל 2020 '!M47</f>
        <v>53.270000000018626</v>
      </c>
      <c r="N47" s="4">
        <f>'תקציב אגף ת.ב.ל 2020 '!N47</f>
        <v>0</v>
      </c>
      <c r="O47" s="4">
        <f>'תקציב אגף ת.ב.ל 2020 '!O47</f>
        <v>0</v>
      </c>
      <c r="P47" s="4">
        <f>'תקציב אגף ת.ב.ל 2020 '!P47</f>
        <v>53.270000000018626</v>
      </c>
      <c r="Q47" s="4">
        <f>'תקציב אגף ת.ב.ל 2020 '!Q47</f>
        <v>0</v>
      </c>
      <c r="R47" s="4">
        <f>'תקציב אגף ת.ב.ל 2020 '!R47</f>
        <v>0</v>
      </c>
      <c r="S47" s="4">
        <f>'תקציב אגף ת.ב.ל 2020 '!S47</f>
        <v>0</v>
      </c>
      <c r="T47" s="4">
        <f>'תקציב אגף ת.ב.ל 2020 '!T47</f>
        <v>0</v>
      </c>
      <c r="U47" s="4">
        <f>'תקציב אגף ת.ב.ל 2020 '!U47</f>
        <v>0</v>
      </c>
      <c r="V47" s="4">
        <f>'תקציב אגף ת.ב.ל 2020 '!V47</f>
        <v>0</v>
      </c>
      <c r="W47" s="4">
        <f>'תקציב אגף ת.ב.ל 2020 '!W47</f>
        <v>0</v>
      </c>
      <c r="X47" s="4">
        <f>'תקציב אגף ת.ב.ל 2020 '!X47</f>
        <v>0</v>
      </c>
      <c r="Y47" s="4">
        <f>'תקציב אגף ת.ב.ל 2020 '!Y47</f>
        <v>0</v>
      </c>
      <c r="Z47" s="4">
        <f>'תקציב אגף ת.ב.ל 2020 '!Z47</f>
        <v>0</v>
      </c>
      <c r="AA47" s="87" t="str">
        <f>'תקציב אגף ת.ב.ל 2020 '!AA47</f>
        <v>התאמת מבנה ושיפוץ יסודי של 2 גנ"י.</v>
      </c>
      <c r="AB47" s="706">
        <f>'תקציב אגף ת.ב.ל 2020 '!AB47</f>
        <v>810000</v>
      </c>
      <c r="AC47" s="191"/>
      <c r="AD47" s="191"/>
      <c r="AE47" s="351"/>
      <c r="AF47" s="28"/>
      <c r="AG47" s="358"/>
      <c r="AH47" s="359"/>
      <c r="AI47" s="28"/>
      <c r="AJ47" s="29"/>
      <c r="AK47" s="29"/>
      <c r="AL47" s="29"/>
      <c r="AM47" s="29"/>
      <c r="AN47" s="28"/>
    </row>
    <row r="48" spans="1:40" s="5" customFormat="1" ht="30" customHeight="1">
      <c r="A48" s="3">
        <f t="shared" si="0"/>
        <v>43</v>
      </c>
      <c r="B48" s="706">
        <f>'תקציב אגף ת.ב.ל 2020 '!B48</f>
        <v>2068</v>
      </c>
      <c r="C48" s="87" t="str">
        <f>'תקציב אגף ת.ב.ל 2020 '!C48</f>
        <v>התקנת ספרינקלרים אולם ספורט ראשונים</v>
      </c>
      <c r="D48" s="4">
        <f>'תקציב אגף ת.ב.ל 2020 '!D48</f>
        <v>280000</v>
      </c>
      <c r="E48" s="4">
        <f>'תקציב אגף ת.ב.ל 2020 '!E48</f>
        <v>280000</v>
      </c>
      <c r="F48" s="4">
        <f>'תקציב אגף ת.ב.ל 2020 '!F48</f>
        <v>0</v>
      </c>
      <c r="G48" s="4">
        <f>'תקציב אגף ת.ב.ל 2020 '!G48</f>
        <v>280000</v>
      </c>
      <c r="H48" s="4">
        <f>'תקציב אגף ת.ב.ל 2020 '!H48</f>
        <v>261600.54</v>
      </c>
      <c r="I48" s="4">
        <f>'תקציב אגף ת.ב.ל 2020 '!I48</f>
        <v>0</v>
      </c>
      <c r="J48" s="4">
        <f>'תקציב אגף ת.ב.ל 2020 '!J48</f>
        <v>0</v>
      </c>
      <c r="K48" s="4">
        <f>'תקציב אגף ת.ב.ל 2020 '!K48</f>
        <v>0</v>
      </c>
      <c r="L48" s="4">
        <f>'תקציב אגף ת.ב.ל 2020 '!L48</f>
        <v>261600.54</v>
      </c>
      <c r="M48" s="4">
        <f>'תקציב אגף ת.ב.ל 2020 '!M48</f>
        <v>18399.459999999992</v>
      </c>
      <c r="N48" s="4">
        <f>'תקציב אגף ת.ב.ל 2020 '!N48</f>
        <v>0</v>
      </c>
      <c r="O48" s="4">
        <f>'תקציב אגף ת.ב.ל 2020 '!O48</f>
        <v>0</v>
      </c>
      <c r="P48" s="4">
        <f>'תקציב אגף ת.ב.ל 2020 '!P48</f>
        <v>18399.459999999992</v>
      </c>
      <c r="Q48" s="4">
        <f>'תקציב אגף ת.ב.ל 2020 '!Q48</f>
        <v>0</v>
      </c>
      <c r="R48" s="4">
        <f>'תקציב אגף ת.ב.ל 2020 '!R48</f>
        <v>0</v>
      </c>
      <c r="S48" s="4">
        <f>'תקציב אגף ת.ב.ל 2020 '!S48</f>
        <v>0</v>
      </c>
      <c r="T48" s="4">
        <f>'תקציב אגף ת.ב.ל 2020 '!T48</f>
        <v>0</v>
      </c>
      <c r="U48" s="4">
        <f>'תקציב אגף ת.ב.ל 2020 '!U48</f>
        <v>0</v>
      </c>
      <c r="V48" s="4">
        <f>'תקציב אגף ת.ב.ל 2020 '!V48</f>
        <v>0</v>
      </c>
      <c r="W48" s="4">
        <f>'תקציב אגף ת.ב.ל 2020 '!W48</f>
        <v>0</v>
      </c>
      <c r="X48" s="4">
        <f>'תקציב אגף ת.ב.ל 2020 '!X48</f>
        <v>0</v>
      </c>
      <c r="Y48" s="4">
        <f>'תקציב אגף ת.ב.ל 2020 '!Y48</f>
        <v>0</v>
      </c>
      <c r="Z48" s="4">
        <f>'תקציב אגף ת.ב.ל 2020 '!Z48</f>
        <v>0</v>
      </c>
      <c r="AA48" s="87" t="str">
        <f>'תקציב אגף ת.ב.ל 2020 '!AA48</f>
        <v>התקנת מערכת ספרינקלרים באולם הספורט עפ"י דרישות רשות כיבוי אש.</v>
      </c>
      <c r="AB48" s="706">
        <f>'תקציב אגף ת.ב.ל 2020 '!AB48</f>
        <v>829000</v>
      </c>
      <c r="AC48" s="191"/>
      <c r="AD48" s="191"/>
      <c r="AE48" s="31"/>
      <c r="AF48" s="28"/>
      <c r="AG48" s="358"/>
      <c r="AH48" s="359"/>
      <c r="AI48" s="28"/>
      <c r="AJ48" s="29"/>
      <c r="AK48" s="29"/>
      <c r="AL48" s="29"/>
      <c r="AM48" s="29"/>
      <c r="AN48" s="28"/>
    </row>
    <row r="49" spans="1:40" s="636" customFormat="1" ht="30" customHeight="1">
      <c r="A49" s="3">
        <f t="shared" si="0"/>
        <v>44</v>
      </c>
      <c r="B49" s="706">
        <f>'תקציב אגף ת.ב.ל 2020 '!B49</f>
        <v>2071</v>
      </c>
      <c r="C49" s="87" t="str">
        <f>'תקציב אגף ת.ב.ל 2020 '!C49</f>
        <v>נגישות אקוסטית מ.החינוך 2017</v>
      </c>
      <c r="D49" s="4">
        <f>'תקציב אגף ת.ב.ל 2020 '!D49</f>
        <v>300000</v>
      </c>
      <c r="E49" s="4">
        <f>'תקציב אגף ת.ב.ל 2020 '!E49</f>
        <v>300000</v>
      </c>
      <c r="F49" s="4">
        <f>'תקציב אגף ת.ב.ל 2020 '!F49</f>
        <v>0</v>
      </c>
      <c r="G49" s="4">
        <f>'תקציב אגף ת.ב.ל 2020 '!G49</f>
        <v>300000</v>
      </c>
      <c r="H49" s="4">
        <f>'תקציב אגף ת.ב.ל 2020 '!H49</f>
        <v>270457.13</v>
      </c>
      <c r="I49" s="4">
        <f>'תקציב אגף ת.ב.ל 2020 '!I49</f>
        <v>0</v>
      </c>
      <c r="J49" s="4">
        <f>'תקציב אגף ת.ב.ל 2020 '!J49</f>
        <v>0</v>
      </c>
      <c r="K49" s="4">
        <f>'תקציב אגף ת.ב.ל 2020 '!K49</f>
        <v>0</v>
      </c>
      <c r="L49" s="4">
        <f>'תקציב אגף ת.ב.ל 2020 '!L49</f>
        <v>270457.13</v>
      </c>
      <c r="M49" s="4">
        <f>'תקציב אגף ת.ב.ל 2020 '!M49</f>
        <v>29542.869999999995</v>
      </c>
      <c r="N49" s="4">
        <f>'תקציב אגף ת.ב.ל 2020 '!N49</f>
        <v>0</v>
      </c>
      <c r="O49" s="4">
        <f>'תקציב אגף ת.ב.ל 2020 '!O49</f>
        <v>0</v>
      </c>
      <c r="P49" s="4">
        <f>'תקציב אגף ת.ב.ל 2020 '!P49</f>
        <v>29542.869999999995</v>
      </c>
      <c r="Q49" s="4">
        <f>'תקציב אגף ת.ב.ל 2020 '!Q49</f>
        <v>0</v>
      </c>
      <c r="R49" s="4">
        <f>'תקציב אגף ת.ב.ל 2020 '!R49</f>
        <v>0</v>
      </c>
      <c r="S49" s="4">
        <f>'תקציב אגף ת.ב.ל 2020 '!S49</f>
        <v>0</v>
      </c>
      <c r="T49" s="4">
        <f>'תקציב אגף ת.ב.ל 2020 '!T49</f>
        <v>0</v>
      </c>
      <c r="U49" s="4">
        <f>'תקציב אגף ת.ב.ל 2020 '!U49</f>
        <v>0</v>
      </c>
      <c r="V49" s="4">
        <f>'תקציב אגף ת.ב.ל 2020 '!V49</f>
        <v>0</v>
      </c>
      <c r="W49" s="4">
        <f>'תקציב אגף ת.ב.ל 2020 '!W49</f>
        <v>0</v>
      </c>
      <c r="X49" s="4">
        <f>'תקציב אגף ת.ב.ל 2020 '!X49</f>
        <v>0</v>
      </c>
      <c r="Y49" s="4">
        <f>'תקציב אגף ת.ב.ל 2020 '!Y49</f>
        <v>0</v>
      </c>
      <c r="Z49" s="4">
        <f>'תקציב אגף ת.ב.ל 2020 '!Z49</f>
        <v>0</v>
      </c>
      <c r="AA49" s="87" t="str">
        <f>'תקציב אגף ת.ב.ל 2020 '!AA49</f>
        <v>מימון מ. החינוך. ממתין לתקבול סופי.</v>
      </c>
      <c r="AB49" s="706">
        <f>'תקציב אגף ת.ב.ל 2020 '!AB49</f>
        <v>810000</v>
      </c>
      <c r="AC49" s="633"/>
      <c r="AD49" s="634"/>
      <c r="AE49" s="634"/>
      <c r="AF49" s="634"/>
      <c r="AG49" s="634"/>
      <c r="AH49" s="635"/>
    </row>
    <row r="50" spans="1:40" s="5" customFormat="1" ht="30" customHeight="1">
      <c r="A50" s="3">
        <f t="shared" si="0"/>
        <v>45</v>
      </c>
      <c r="B50" s="706">
        <f>'תקציב אגף ת.ב.ל 2020 '!B50</f>
        <v>2074</v>
      </c>
      <c r="C50" s="87" t="str">
        <f>'תקציב אגף ת.ב.ל 2020 '!C50</f>
        <v>שיפוץ מבנה אגף תבל ואגף הבטחון</v>
      </c>
      <c r="D50" s="4">
        <f>'תקציב אגף ת.ב.ל 2020 '!D50</f>
        <v>2000000</v>
      </c>
      <c r="E50" s="4">
        <f>'תקציב אגף ת.ב.ל 2020 '!E50</f>
        <v>2000000</v>
      </c>
      <c r="F50" s="4">
        <f>'תקציב אגף ת.ב.ל 2020 '!F50</f>
        <v>0</v>
      </c>
      <c r="G50" s="4">
        <f>'תקציב אגף ת.ב.ל 2020 '!G50</f>
        <v>2000000</v>
      </c>
      <c r="H50" s="4">
        <f>'תקציב אגף ת.ב.ל 2020 '!H50</f>
        <v>134261.41</v>
      </c>
      <c r="I50" s="4">
        <f>'תקציב אגף ת.ב.ל 2020 '!I50</f>
        <v>0</v>
      </c>
      <c r="J50" s="4">
        <f>'תקציב אגף ת.ב.ל 2020 '!J50</f>
        <v>22256.37</v>
      </c>
      <c r="K50" s="4">
        <f>'תקציב אגף ת.ב.ל 2020 '!K50</f>
        <v>22256.37</v>
      </c>
      <c r="L50" s="4">
        <f>'תקציב אגף ת.ב.ל 2020 '!L50</f>
        <v>156517.78</v>
      </c>
      <c r="M50" s="4">
        <f>'תקציב אגף ת.ב.ל 2020 '!M50</f>
        <v>1843482.22</v>
      </c>
      <c r="N50" s="4">
        <f>'תקציב אגף ת.ב.ל 2020 '!N50</f>
        <v>0</v>
      </c>
      <c r="O50" s="4">
        <f>'תקציב אגף ת.ב.ל 2020 '!O50</f>
        <v>0</v>
      </c>
      <c r="P50" s="4">
        <f>'תקציב אגף ת.ב.ל 2020 '!P50</f>
        <v>1843482.22</v>
      </c>
      <c r="Q50" s="4">
        <f>'תקציב אגף ת.ב.ל 2020 '!Q50</f>
        <v>0</v>
      </c>
      <c r="R50" s="4">
        <f>'תקציב אגף ת.ב.ל 2020 '!R50</f>
        <v>0</v>
      </c>
      <c r="S50" s="4">
        <f>'תקציב אגף ת.ב.ל 2020 '!S50</f>
        <v>0</v>
      </c>
      <c r="T50" s="4">
        <f>'תקציב אגף ת.ב.ל 2020 '!T50</f>
        <v>0</v>
      </c>
      <c r="U50" s="4">
        <f>'תקציב אגף ת.ב.ל 2020 '!U50</f>
        <v>0</v>
      </c>
      <c r="V50" s="4">
        <f>'תקציב אגף ת.ב.ל 2020 '!V50</f>
        <v>0</v>
      </c>
      <c r="W50" s="4">
        <f>'תקציב אגף ת.ב.ל 2020 '!W50</f>
        <v>0</v>
      </c>
      <c r="X50" s="4">
        <f>'תקציב אגף ת.ב.ל 2020 '!X50</f>
        <v>0</v>
      </c>
      <c r="Y50" s="4">
        <f>'תקציב אגף ת.ב.ל 2020 '!Y50</f>
        <v>0</v>
      </c>
      <c r="Z50" s="4">
        <f>'תקציב אגף ת.ב.ל 2020 '!Z50</f>
        <v>0</v>
      </c>
      <c r="AA50" s="87" t="str">
        <f>'תקציב אגף ת.ב.ל 2020 '!AA50</f>
        <v>עבודות שיפוץ כללי למשרדי האגפים כולל חדר ישיבות.</v>
      </c>
      <c r="AB50" s="706">
        <f>'תקציב אגף ת.ב.ל 2020 '!AB50</f>
        <v>930000</v>
      </c>
      <c r="AC50" s="191"/>
      <c r="AD50" s="191"/>
      <c r="AE50" s="31"/>
      <c r="AF50" s="28"/>
      <c r="AG50" s="358"/>
      <c r="AH50" s="359"/>
      <c r="AI50" s="28"/>
      <c r="AJ50" s="29"/>
      <c r="AK50" s="29"/>
      <c r="AL50" s="29"/>
      <c r="AM50" s="29"/>
      <c r="AN50" s="28"/>
    </row>
    <row r="51" spans="1:40" s="5" customFormat="1" ht="30" customHeight="1">
      <c r="A51" s="3">
        <f t="shared" si="0"/>
        <v>46</v>
      </c>
      <c r="B51" s="706">
        <f>'תקציב אגף ת.ב.ל 2020 '!B51</f>
        <v>2095</v>
      </c>
      <c r="C51" s="87" t="str">
        <f>'תקציב אגף ת.ב.ל 2020 '!C51</f>
        <v>ספירת מלאי וסימון הרכוש העירוני</v>
      </c>
      <c r="D51" s="4">
        <f>'תקציב אגף ת.ב.ל 2020 '!D51</f>
        <v>160000</v>
      </c>
      <c r="E51" s="4">
        <f>'תקציב אגף ת.ב.ל 2020 '!E51</f>
        <v>160000</v>
      </c>
      <c r="F51" s="4">
        <f>'תקציב אגף ת.ב.ל 2020 '!F51</f>
        <v>0</v>
      </c>
      <c r="G51" s="4">
        <f>'תקציב אגף ת.ב.ל 2020 '!G51</f>
        <v>160000</v>
      </c>
      <c r="H51" s="4">
        <f>'תקציב אגף ת.ב.ל 2020 '!H51</f>
        <v>0</v>
      </c>
      <c r="I51" s="4">
        <f>'תקציב אגף ת.ב.ל 2020 '!I51</f>
        <v>0</v>
      </c>
      <c r="J51" s="4">
        <f>'תקציב אגף ת.ב.ל 2020 '!J51</f>
        <v>0</v>
      </c>
      <c r="K51" s="4">
        <f>'תקציב אגף ת.ב.ל 2020 '!K51</f>
        <v>0</v>
      </c>
      <c r="L51" s="4">
        <f>'תקציב אגף ת.ב.ל 2020 '!L51</f>
        <v>0</v>
      </c>
      <c r="M51" s="4">
        <f>'תקציב אגף ת.ב.ל 2020 '!M51</f>
        <v>160000</v>
      </c>
      <c r="N51" s="4">
        <f>'תקציב אגף ת.ב.ל 2020 '!N51</f>
        <v>0</v>
      </c>
      <c r="O51" s="4">
        <f>'תקציב אגף ת.ב.ל 2020 '!O51</f>
        <v>0</v>
      </c>
      <c r="P51" s="4">
        <f>'תקציב אגף ת.ב.ל 2020 '!P51</f>
        <v>160000</v>
      </c>
      <c r="Q51" s="4">
        <f>'תקציב אגף ת.ב.ל 2020 '!Q51</f>
        <v>0</v>
      </c>
      <c r="R51" s="4">
        <f>'תקציב אגף ת.ב.ל 2020 '!R51</f>
        <v>0</v>
      </c>
      <c r="S51" s="4">
        <f>'תקציב אגף ת.ב.ל 2020 '!S51</f>
        <v>0</v>
      </c>
      <c r="T51" s="4">
        <f>'תקציב אגף ת.ב.ל 2020 '!T51</f>
        <v>0</v>
      </c>
      <c r="U51" s="4">
        <f>'תקציב אגף ת.ב.ל 2020 '!U51</f>
        <v>0</v>
      </c>
      <c r="V51" s="4">
        <f>'תקציב אגף ת.ב.ל 2020 '!V51</f>
        <v>0</v>
      </c>
      <c r="W51" s="4">
        <f>'תקציב אגף ת.ב.ל 2020 '!W51</f>
        <v>0</v>
      </c>
      <c r="X51" s="4">
        <f>'תקציב אגף ת.ב.ל 2020 '!X51</f>
        <v>0</v>
      </c>
      <c r="Y51" s="4">
        <f>'תקציב אגף ת.ב.ל 2020 '!Y51</f>
        <v>0</v>
      </c>
      <c r="Z51" s="4">
        <f>'תקציב אגף ת.ב.ל 2020 '!Z51</f>
        <v>0</v>
      </c>
      <c r="AA51" s="87" t="str">
        <f>'תקציב אגף ת.ב.ל 2020 '!AA51</f>
        <v>ספירת רכוש במוסדות חינוך ויחידות עירוניות וסימון הרכוש העירוני.</v>
      </c>
      <c r="AB51" s="706">
        <f>'תקציב אגף ת.ב.ל 2020 '!AB51</f>
        <v>610000</v>
      </c>
      <c r="AC51" s="191"/>
      <c r="AD51" s="191"/>
      <c r="AE51" s="31"/>
      <c r="AF51" s="351"/>
      <c r="AG51" s="351"/>
      <c r="AH51" s="352"/>
      <c r="AI51" s="357"/>
      <c r="AJ51" s="29"/>
      <c r="AK51" s="29"/>
      <c r="AL51" s="29"/>
      <c r="AM51" s="29"/>
      <c r="AN51" s="28"/>
    </row>
    <row r="52" spans="1:40" s="5" customFormat="1" ht="30" customHeight="1">
      <c r="A52" s="3">
        <f t="shared" si="0"/>
        <v>47</v>
      </c>
      <c r="B52" s="706">
        <f>'תקציב אגף ת.ב.ל 2020 '!B52</f>
        <v>2096</v>
      </c>
      <c r="C52" s="87" t="str">
        <f>'תקציב אגף ת.ב.ל 2020 '!C52</f>
        <v>הצטיידות לחמ"ל החדש</v>
      </c>
      <c r="D52" s="4">
        <f>'תקציב אגף ת.ב.ל 2020 '!D52</f>
        <v>1215000</v>
      </c>
      <c r="E52" s="4">
        <f>'תקציב אגף ת.ב.ל 2020 '!E52</f>
        <v>1215000</v>
      </c>
      <c r="F52" s="4">
        <f>'תקציב אגף ת.ב.ל 2020 '!F52</f>
        <v>0</v>
      </c>
      <c r="G52" s="4">
        <f>'תקציב אגף ת.ב.ל 2020 '!G52</f>
        <v>800000</v>
      </c>
      <c r="H52" s="4">
        <f>'תקציב אגף ת.ב.ל 2020 '!H52</f>
        <v>1972</v>
      </c>
      <c r="I52" s="4">
        <f>'תקציב אגף ת.ב.ל 2020 '!I52</f>
        <v>0</v>
      </c>
      <c r="J52" s="4">
        <f>'תקציב אגף ת.ב.ל 2020 '!J52</f>
        <v>119593.84</v>
      </c>
      <c r="K52" s="4">
        <f>'תקציב אגף ת.ב.ל 2020 '!K52</f>
        <v>119593.84</v>
      </c>
      <c r="L52" s="4">
        <f>'תקציב אגף ת.ב.ל 2020 '!L52</f>
        <v>121565.84</v>
      </c>
      <c r="M52" s="4">
        <f>'תקציב אגף ת.ב.ל 2020 '!M52</f>
        <v>678434.16000000015</v>
      </c>
      <c r="N52" s="4">
        <f>'תקציב אגף ת.ב.ל 2020 '!N52</f>
        <v>415000</v>
      </c>
      <c r="O52" s="4">
        <f>'תקציב אגף ת.ב.ל 2020 '!O52</f>
        <v>0</v>
      </c>
      <c r="P52" s="4">
        <f>'תקציב אגף ת.ב.ל 2020 '!P52</f>
        <v>678434.16</v>
      </c>
      <c r="Q52" s="4">
        <f>'תקציב אגף ת.ב.ל 2020 '!Q52</f>
        <v>415000</v>
      </c>
      <c r="R52" s="4">
        <f>'תקציב אגף ת.ב.ל 2020 '!R52</f>
        <v>0</v>
      </c>
      <c r="S52" s="4">
        <f>'תקציב אגף ת.ב.ל 2020 '!S52</f>
        <v>415000</v>
      </c>
      <c r="T52" s="4">
        <f>'תקציב אגף ת.ב.ל 2020 '!T52</f>
        <v>414999.99999999988</v>
      </c>
      <c r="U52" s="4">
        <f>'תקציב אגף ת.ב.ל 2020 '!U52</f>
        <v>0</v>
      </c>
      <c r="V52" s="4">
        <f>'תקציב אגף ת.ב.ל 2020 '!V52</f>
        <v>0</v>
      </c>
      <c r="W52" s="4">
        <f>'תקציב אגף ת.ב.ל 2020 '!W52</f>
        <v>0</v>
      </c>
      <c r="X52" s="4">
        <f>'תקציב אגף ת.ב.ל 2020 '!X52</f>
        <v>0</v>
      </c>
      <c r="Y52" s="4">
        <f>'תקציב אגף ת.ב.ל 2020 '!Y52</f>
        <v>0</v>
      </c>
      <c r="Z52" s="4">
        <f>'תקציב אגף ת.ב.ל 2020 '!Z52</f>
        <v>0</v>
      </c>
      <c r="AA52" s="87" t="str">
        <f>'תקציב אגף ת.ב.ל 2020 '!AA52</f>
        <v>עבודות מיזוג, חשמל, נגרות תקשורת  והצטיידות לחמ"ל האחורי.</v>
      </c>
      <c r="AB52" s="706">
        <f>'תקציב אגף ת.ב.ל 2020 '!AB52</f>
        <v>930000</v>
      </c>
      <c r="AC52" s="191"/>
      <c r="AD52" s="191"/>
      <c r="AE52" s="31"/>
      <c r="AF52" s="351"/>
      <c r="AG52" s="351"/>
      <c r="AH52" s="352"/>
      <c r="AI52" s="357"/>
      <c r="AJ52" s="29"/>
      <c r="AK52" s="29"/>
      <c r="AL52" s="29"/>
      <c r="AM52" s="29"/>
      <c r="AN52" s="28"/>
    </row>
    <row r="53" spans="1:40" s="5" customFormat="1" ht="30" customHeight="1">
      <c r="A53" s="3">
        <f t="shared" si="0"/>
        <v>48</v>
      </c>
      <c r="B53" s="706">
        <f>'תקציב אגף ת.ב.ל 2020 '!B53</f>
        <v>2128</v>
      </c>
      <c r="C53" s="87" t="str">
        <f>'תקציב אגף ת.ב.ל 2020 '!C53</f>
        <v>תוכנית לניהול בטיחות</v>
      </c>
      <c r="D53" s="4">
        <f>'תקציב אגף ת.ב.ל 2020 '!D53</f>
        <v>450000</v>
      </c>
      <c r="E53" s="4">
        <f>'תקציב אגף ת.ב.ל 2020 '!E53</f>
        <v>450000</v>
      </c>
      <c r="F53" s="4">
        <f>'תקציב אגף ת.ב.ל 2020 '!F53</f>
        <v>0</v>
      </c>
      <c r="G53" s="4">
        <f>'תקציב אגף ת.ב.ל 2020 '!G53</f>
        <v>450000</v>
      </c>
      <c r="H53" s="4">
        <f>'תקציב אגף ת.ב.ל 2020 '!H53</f>
        <v>0</v>
      </c>
      <c r="I53" s="4">
        <f>'תקציב אגף ת.ב.ל 2020 '!I53</f>
        <v>0</v>
      </c>
      <c r="J53" s="4">
        <f>'תקציב אגף ת.ב.ל 2020 '!J53</f>
        <v>129870</v>
      </c>
      <c r="K53" s="4">
        <f>'תקציב אגף ת.ב.ל 2020 '!K53</f>
        <v>129870</v>
      </c>
      <c r="L53" s="4">
        <f>'תקציב אגף ת.ב.ל 2020 '!L53</f>
        <v>129870</v>
      </c>
      <c r="M53" s="4">
        <f>'תקציב אגף ת.ב.ל 2020 '!M53</f>
        <v>320130</v>
      </c>
      <c r="N53" s="4">
        <f>'תקציב אגף ת.ב.ל 2020 '!N53</f>
        <v>0</v>
      </c>
      <c r="O53" s="4">
        <f>'תקציב אגף ת.ב.ל 2020 '!O53</f>
        <v>0</v>
      </c>
      <c r="P53" s="4">
        <f>'תקציב אגף ת.ב.ל 2020 '!P53</f>
        <v>320130</v>
      </c>
      <c r="Q53" s="4">
        <f>'תקציב אגף ת.ב.ל 2020 '!Q53</f>
        <v>0</v>
      </c>
      <c r="R53" s="4">
        <f>'תקציב אגף ת.ב.ל 2020 '!R53</f>
        <v>0</v>
      </c>
      <c r="S53" s="4">
        <f>'תקציב אגף ת.ב.ל 2020 '!S53</f>
        <v>0</v>
      </c>
      <c r="T53" s="4">
        <f>'תקציב אגף ת.ב.ל 2020 '!T53</f>
        <v>0</v>
      </c>
      <c r="U53" s="4">
        <f>'תקציב אגף ת.ב.ל 2020 '!U53</f>
        <v>0</v>
      </c>
      <c r="V53" s="4">
        <f>'תקציב אגף ת.ב.ל 2020 '!V53</f>
        <v>0</v>
      </c>
      <c r="W53" s="4">
        <f>'תקציב אגף ת.ב.ל 2020 '!W53</f>
        <v>0</v>
      </c>
      <c r="X53" s="4">
        <f>'תקציב אגף ת.ב.ל 2020 '!X53</f>
        <v>0</v>
      </c>
      <c r="Y53" s="4">
        <f>'תקציב אגף ת.ב.ל 2020 '!Y53</f>
        <v>0</v>
      </c>
      <c r="Z53" s="4">
        <f>'תקציב אגף ת.ב.ל 2020 '!Z53</f>
        <v>0</v>
      </c>
      <c r="AA53" s="87" t="str">
        <f>'תקציב אגף ת.ב.ל 2020 '!AA53</f>
        <v>הכנת תוכנית לניהול הבטיחות בעיריה עפ"י דרישות החוק.</v>
      </c>
      <c r="AB53" s="706">
        <f>'תקציב אגף ת.ב.ל 2020 '!AB53</f>
        <v>720000</v>
      </c>
      <c r="AC53" s="191"/>
      <c r="AD53" s="191"/>
      <c r="AE53" s="31"/>
      <c r="AF53" s="28"/>
      <c r="AG53" s="358"/>
      <c r="AH53" s="359"/>
      <c r="AI53" s="28"/>
      <c r="AJ53" s="29"/>
      <c r="AK53" s="29"/>
      <c r="AL53" s="29"/>
      <c r="AM53" s="29"/>
      <c r="AN53" s="28"/>
    </row>
    <row r="54" spans="1:40" s="5" customFormat="1" ht="30" customHeight="1">
      <c r="A54" s="3">
        <f t="shared" si="0"/>
        <v>49</v>
      </c>
      <c r="B54" s="706">
        <f>'תקציב אגף ת.ב.ל 2020 '!B54</f>
        <v>2129</v>
      </c>
      <c r="C54" s="87" t="str">
        <f>'תקציב אגף ת.ב.ל 2020 '!C54</f>
        <v>שיפוצים מוס.רווחה</v>
      </c>
      <c r="D54" s="4">
        <f>'תקציב אגף ת.ב.ל 2020 '!D54</f>
        <v>624000</v>
      </c>
      <c r="E54" s="4">
        <f>'תקציב אגף ת.ב.ל 2020 '!E54</f>
        <v>624000</v>
      </c>
      <c r="F54" s="4">
        <f>'תקציב אגף ת.ב.ל 2020 '!F54</f>
        <v>0</v>
      </c>
      <c r="G54" s="4">
        <f>'תקציב אגף ת.ב.ל 2020 '!G54</f>
        <v>624000</v>
      </c>
      <c r="H54" s="4">
        <f>'תקציב אגף ת.ב.ל 2020 '!H54</f>
        <v>0</v>
      </c>
      <c r="I54" s="4">
        <f>'תקציב אגף ת.ב.ל 2020 '!I54</f>
        <v>0</v>
      </c>
      <c r="J54" s="4">
        <f>'תקציב אגף ת.ב.ל 2020 '!J54</f>
        <v>486170.87</v>
      </c>
      <c r="K54" s="4">
        <f>'תקציב אגף ת.ב.ל 2020 '!K54</f>
        <v>486170.87</v>
      </c>
      <c r="L54" s="4">
        <f>'תקציב אגף ת.ב.ל 2020 '!L54</f>
        <v>486170.87</v>
      </c>
      <c r="M54" s="4">
        <f>'תקציב אגף ת.ב.ל 2020 '!M54</f>
        <v>137829.13</v>
      </c>
      <c r="N54" s="4">
        <f>'תקציב אגף ת.ב.ל 2020 '!N54</f>
        <v>0</v>
      </c>
      <c r="O54" s="4">
        <f>'תקציב אגף ת.ב.ל 2020 '!O54</f>
        <v>0</v>
      </c>
      <c r="P54" s="4">
        <f>'תקציב אגף ת.ב.ל 2020 '!P54</f>
        <v>137829.13</v>
      </c>
      <c r="Q54" s="4">
        <f>'תקציב אגף ת.ב.ל 2020 '!Q54</f>
        <v>0</v>
      </c>
      <c r="R54" s="4">
        <f>'תקציב אגף ת.ב.ל 2020 '!R54</f>
        <v>0</v>
      </c>
      <c r="S54" s="4">
        <f>'תקציב אגף ת.ב.ל 2020 '!S54</f>
        <v>0</v>
      </c>
      <c r="T54" s="4">
        <f>'תקציב אגף ת.ב.ל 2020 '!T54</f>
        <v>0</v>
      </c>
      <c r="U54" s="4">
        <f>'תקציב אגף ת.ב.ל 2020 '!U54</f>
        <v>0</v>
      </c>
      <c r="V54" s="4">
        <f>'תקציב אגף ת.ב.ל 2020 '!V54</f>
        <v>0</v>
      </c>
      <c r="W54" s="4">
        <f>'תקציב אגף ת.ב.ל 2020 '!W54</f>
        <v>0</v>
      </c>
      <c r="X54" s="4">
        <f>'תקציב אגף ת.ב.ל 2020 '!X54</f>
        <v>0</v>
      </c>
      <c r="Y54" s="4">
        <f>'תקציב אגף ת.ב.ל 2020 '!Y54</f>
        <v>0</v>
      </c>
      <c r="Z54" s="4">
        <f>'תקציב אגף ת.ב.ל 2020 '!Z54</f>
        <v>0</v>
      </c>
      <c r="AA54" s="87" t="str">
        <f>'תקציב אגף ת.ב.ל 2020 '!AA54</f>
        <v>מרכז שלום המשפחה בהסתדרות 4 , נתיבים להורות בויצמן 19.</v>
      </c>
      <c r="AB54" s="706">
        <f>'תקציב אגף ת.ב.ל 2020 '!AB54</f>
        <v>840000</v>
      </c>
      <c r="AC54" s="191"/>
      <c r="AD54" s="191"/>
      <c r="AE54" s="31"/>
      <c r="AF54" s="28"/>
      <c r="AG54" s="358"/>
      <c r="AH54" s="359"/>
      <c r="AI54" s="28"/>
      <c r="AJ54" s="29"/>
      <c r="AK54" s="29"/>
      <c r="AL54" s="29"/>
      <c r="AM54" s="29"/>
      <c r="AN54" s="28"/>
    </row>
    <row r="55" spans="1:40" s="5" customFormat="1" ht="30" customHeight="1">
      <c r="A55" s="3">
        <f t="shared" si="0"/>
        <v>50</v>
      </c>
      <c r="B55" s="706">
        <f>'תקציב אגף ת.ב.ל 2020 '!B55</f>
        <v>2131</v>
      </c>
      <c r="C55" s="87" t="str">
        <f>'תקציב אגף ת.ב.ל 2020 '!C55</f>
        <v>חסכון,התייע' אנרגטית מוסח/ציבור</v>
      </c>
      <c r="D55" s="4">
        <f>'תקציב אגף ת.ב.ל 2020 '!D55</f>
        <v>7500000</v>
      </c>
      <c r="E55" s="4">
        <f>'תקציב אגף ת.ב.ל 2020 '!E55</f>
        <v>7500000</v>
      </c>
      <c r="F55" s="4">
        <f>'תקציב אגף ת.ב.ל 2020 '!F55</f>
        <v>0</v>
      </c>
      <c r="G55" s="4">
        <f>'תקציב אגף ת.ב.ל 2020 '!G55</f>
        <v>4020000</v>
      </c>
      <c r="H55" s="4">
        <f>'תקציב אגף ת.ב.ל 2020 '!H55</f>
        <v>0</v>
      </c>
      <c r="I55" s="4">
        <f>'תקציב אגף ת.ב.ל 2020 '!I55</f>
        <v>0</v>
      </c>
      <c r="J55" s="4">
        <f>'תקציב אגף ת.ב.ל 2020 '!J55</f>
        <v>377402.59</v>
      </c>
      <c r="K55" s="4">
        <f>'תקציב אגף ת.ב.ל 2020 '!K55</f>
        <v>377402.59</v>
      </c>
      <c r="L55" s="4">
        <f>'תקציב אגף ת.ב.ל 2020 '!L55</f>
        <v>377402.59</v>
      </c>
      <c r="M55" s="4">
        <f>'תקציב אגף ת.ב.ל 2020 '!M55</f>
        <v>3642597.41</v>
      </c>
      <c r="N55" s="4">
        <f>'תקציב אגף ת.ב.ל 2020 '!N55</f>
        <v>3480000</v>
      </c>
      <c r="O55" s="4">
        <f>'תקציב אגף ת.ב.ל 2020 '!O55</f>
        <v>0</v>
      </c>
      <c r="P55" s="4">
        <f>'תקציב אגף ת.ב.ל 2020 '!P55</f>
        <v>3642597.41</v>
      </c>
      <c r="Q55" s="4">
        <f>'תקציב אגף ת.ב.ל 2020 '!Q55</f>
        <v>0</v>
      </c>
      <c r="R55" s="4">
        <f>'תקציב אגף ת.ב.ל 2020 '!R55</f>
        <v>0</v>
      </c>
      <c r="S55" s="4">
        <f>'תקציב אגף ת.ב.ל 2020 '!S55</f>
        <v>0</v>
      </c>
      <c r="T55" s="4">
        <f>'תקציב אגף ת.ב.ל 2020 '!T55</f>
        <v>0</v>
      </c>
      <c r="U55" s="4">
        <f>'תקציב אגף ת.ב.ל 2020 '!U55</f>
        <v>3480000</v>
      </c>
      <c r="V55" s="4">
        <f>'תקציב אגף ת.ב.ל 2020 '!V55</f>
        <v>0</v>
      </c>
      <c r="W55" s="4">
        <f>'תקציב אגף ת.ב.ל 2020 '!W55</f>
        <v>3480000</v>
      </c>
      <c r="X55" s="4">
        <f>'תקציב אגף ת.ב.ל 2020 '!X55</f>
        <v>0</v>
      </c>
      <c r="Y55" s="4">
        <f>'תקציב אגף ת.ב.ל 2020 '!Y55</f>
        <v>0</v>
      </c>
      <c r="Z55" s="4">
        <f>'תקציב אגף ת.ב.ל 2020 '!Z55</f>
        <v>0</v>
      </c>
      <c r="AA55" s="87" t="str">
        <f>'תקציב אגף ת.ב.ל 2020 '!AA55</f>
        <v>החלפת מזגנים והחלפת תאורה ללדים במוס"ח. מומן מ. הכלכלה והתעשיה.</v>
      </c>
      <c r="AB55" s="706">
        <f>'תקציב אגף ת.ב.ל 2020 '!AB55</f>
        <v>870000</v>
      </c>
      <c r="AC55" s="191"/>
      <c r="AD55" s="191"/>
      <c r="AE55" s="31"/>
      <c r="AF55" s="351"/>
      <c r="AG55" s="351"/>
      <c r="AH55" s="352"/>
      <c r="AI55" s="357"/>
      <c r="AJ55" s="29"/>
      <c r="AK55" s="29"/>
      <c r="AL55" s="29"/>
      <c r="AM55" s="29"/>
      <c r="AN55" s="28"/>
    </row>
    <row r="56" spans="1:40" s="5" customFormat="1" ht="30" customHeight="1">
      <c r="A56" s="3">
        <f t="shared" si="0"/>
        <v>51</v>
      </c>
      <c r="B56" s="706">
        <f>'תקציב אגף ת.ב.ל 2020 '!B56</f>
        <v>2132</v>
      </c>
      <c r="C56" s="87" t="str">
        <f>'תקציב אגף ת.ב.ל 2020 '!C56</f>
        <v>שיפוץ ושדרוג תיכון אחיה</v>
      </c>
      <c r="D56" s="4">
        <f>'תקציב אגף ת.ב.ל 2020 '!D56</f>
        <v>700000</v>
      </c>
      <c r="E56" s="4">
        <f>'תקציב אגף ת.ב.ל 2020 '!E56</f>
        <v>700000</v>
      </c>
      <c r="F56" s="4">
        <f>'תקציב אגף ת.ב.ל 2020 '!F56</f>
        <v>0</v>
      </c>
      <c r="G56" s="4">
        <f>'תקציב אגף ת.ב.ל 2020 '!G56</f>
        <v>700000</v>
      </c>
      <c r="H56" s="4">
        <f>'תקציב אגף ת.ב.ל 2020 '!H56</f>
        <v>101790</v>
      </c>
      <c r="I56" s="4">
        <f>'תקציב אגף ת.ב.ל 2020 '!I56</f>
        <v>0</v>
      </c>
      <c r="J56" s="4">
        <f>'תקציב אגף ת.ב.ל 2020 '!J56</f>
        <v>5122.8500000000004</v>
      </c>
      <c r="K56" s="4">
        <f>'תקציב אגף ת.ב.ל 2020 '!K56</f>
        <v>5122.8500000000004</v>
      </c>
      <c r="L56" s="4">
        <f>'תקציב אגף ת.ב.ל 2020 '!L56</f>
        <v>106912.85</v>
      </c>
      <c r="M56" s="4">
        <f>'תקציב אגף ת.ב.ל 2020 '!M56</f>
        <v>593087.15</v>
      </c>
      <c r="N56" s="4">
        <f>'תקציב אגף ת.ב.ל 2020 '!N56</f>
        <v>0</v>
      </c>
      <c r="O56" s="4">
        <f>'תקציב אגף ת.ב.ל 2020 '!O56</f>
        <v>0</v>
      </c>
      <c r="P56" s="4">
        <f>'תקציב אגף ת.ב.ל 2020 '!P56</f>
        <v>593087.15</v>
      </c>
      <c r="Q56" s="4">
        <f>'תקציב אגף ת.ב.ל 2020 '!Q56</f>
        <v>0</v>
      </c>
      <c r="R56" s="4">
        <f>'תקציב אגף ת.ב.ל 2020 '!R56</f>
        <v>0</v>
      </c>
      <c r="S56" s="4">
        <f>'תקציב אגף ת.ב.ל 2020 '!S56</f>
        <v>0</v>
      </c>
      <c r="T56" s="4">
        <f>'תקציב אגף ת.ב.ל 2020 '!T56</f>
        <v>0</v>
      </c>
      <c r="U56" s="4">
        <f>'תקציב אגף ת.ב.ל 2020 '!U56</f>
        <v>0</v>
      </c>
      <c r="V56" s="4">
        <f>'תקציב אגף ת.ב.ל 2020 '!V56</f>
        <v>0</v>
      </c>
      <c r="W56" s="4">
        <f>'תקציב אגף ת.ב.ל 2020 '!W56</f>
        <v>0</v>
      </c>
      <c r="X56" s="4">
        <f>'תקציב אגף ת.ב.ל 2020 '!X56</f>
        <v>0</v>
      </c>
      <c r="Y56" s="4">
        <f>'תקציב אגף ת.ב.ל 2020 '!Y56</f>
        <v>0</v>
      </c>
      <c r="Z56" s="4">
        <f>'תקציב אגף ת.ב.ל 2020 '!Z56</f>
        <v>0</v>
      </c>
      <c r="AA56" s="87" t="str">
        <f>'תקציב אגף ת.ב.ל 2020 '!AA56</f>
        <v>עבודות שיפוץ ושדרוג ביה"ס.</v>
      </c>
      <c r="AB56" s="706">
        <f>'תקציב אגף ת.ב.ל 2020 '!AB56</f>
        <v>810000</v>
      </c>
      <c r="AC56" s="191"/>
      <c r="AD56" s="191"/>
      <c r="AE56" s="31"/>
      <c r="AF56" s="351"/>
      <c r="AG56" s="351"/>
      <c r="AH56" s="352"/>
      <c r="AI56" s="357"/>
      <c r="AJ56" s="29"/>
      <c r="AK56" s="29"/>
      <c r="AL56" s="29"/>
      <c r="AM56" s="29"/>
      <c r="AN56" s="28"/>
    </row>
    <row r="57" spans="1:40" s="5" customFormat="1" ht="30" customHeight="1">
      <c r="A57" s="3">
        <f t="shared" si="0"/>
        <v>52</v>
      </c>
      <c r="B57" s="706">
        <f>'תקציב אגף ת.ב.ל 2020 '!B57</f>
        <v>2133</v>
      </c>
      <c r="C57" s="87" t="str">
        <f>'תקציב אגף ת.ב.ל 2020 '!C57</f>
        <v>רכישת רכבים</v>
      </c>
      <c r="D57" s="4">
        <f>'תקציב אגף ת.ב.ל 2020 '!D57</f>
        <v>3000000</v>
      </c>
      <c r="E57" s="4">
        <f>'תקציב אגף ת.ב.ל 2020 '!E57</f>
        <v>3000000</v>
      </c>
      <c r="F57" s="4">
        <f>'תקציב אגף ת.ב.ל 2020 '!F57</f>
        <v>0</v>
      </c>
      <c r="G57" s="4">
        <f>'תקציב אגף ת.ב.ל 2020 '!G57</f>
        <v>1000000</v>
      </c>
      <c r="H57" s="4">
        <f>'תקציב אגף ת.ב.ל 2020 '!H57</f>
        <v>0</v>
      </c>
      <c r="I57" s="4">
        <f>'תקציב אגף ת.ב.ל 2020 '!I57</f>
        <v>0</v>
      </c>
      <c r="J57" s="4">
        <f>'תקציב אגף ת.ב.ל 2020 '!J57</f>
        <v>0</v>
      </c>
      <c r="K57" s="4">
        <f>'תקציב אגף ת.ב.ל 2020 '!K57</f>
        <v>0</v>
      </c>
      <c r="L57" s="4">
        <f>'תקציב אגף ת.ב.ל 2020 '!L57</f>
        <v>0</v>
      </c>
      <c r="M57" s="4">
        <f>'תקציב אגף ת.ב.ל 2020 '!M57</f>
        <v>1000000</v>
      </c>
      <c r="N57" s="4">
        <f>'תקציב אגף ת.ב.ל 2020 '!N57</f>
        <v>2000000</v>
      </c>
      <c r="O57" s="4">
        <f>'תקציב אגף ת.ב.ל 2020 '!O57</f>
        <v>0</v>
      </c>
      <c r="P57" s="4">
        <f>'תקציב אגף ת.ב.ל 2020 '!P57</f>
        <v>1000000</v>
      </c>
      <c r="Q57" s="4">
        <f>'תקציב אגף ת.ב.ל 2020 '!Q57</f>
        <v>0</v>
      </c>
      <c r="R57" s="4">
        <f>'תקציב אגף ת.ב.ל 2020 '!R57</f>
        <v>0</v>
      </c>
      <c r="S57" s="4">
        <f>'תקציב אגף ת.ב.ל 2020 '!S57</f>
        <v>0</v>
      </c>
      <c r="T57" s="4">
        <f>'תקציב אגף ת.ב.ל 2020 '!T57</f>
        <v>0</v>
      </c>
      <c r="U57" s="4">
        <f>'תקציב אגף ת.ב.ל 2020 '!U57</f>
        <v>2000000</v>
      </c>
      <c r="V57" s="4">
        <f>'תקציב אגף ת.ב.ל 2020 '!V57</f>
        <v>0</v>
      </c>
      <c r="W57" s="4">
        <f>'תקציב אגף ת.ב.ל 2020 '!W57</f>
        <v>2000000</v>
      </c>
      <c r="X57" s="4">
        <f>'תקציב אגף ת.ב.ל 2020 '!X57</f>
        <v>0</v>
      </c>
      <c r="Y57" s="4">
        <f>'תקציב אגף ת.ב.ל 2020 '!Y57</f>
        <v>0</v>
      </c>
      <c r="Z57" s="4">
        <f>'תקציב אגף ת.ב.ל 2020 '!Z57</f>
        <v>0</v>
      </c>
      <c r="AA57" s="87" t="str">
        <f>'תקציב אגף ת.ב.ל 2020 '!AA57</f>
        <v>החלפת רכבים קיימים ורכישת תוספת רכבים עפ"י רשימה.</v>
      </c>
      <c r="AB57" s="706">
        <f>'תקציב אגף ת.ב.ל 2020 '!AB57</f>
        <v>930000</v>
      </c>
      <c r="AC57" s="191"/>
      <c r="AD57" s="191"/>
      <c r="AE57" s="31"/>
      <c r="AF57" s="351"/>
      <c r="AG57" s="351"/>
      <c r="AH57" s="352"/>
      <c r="AI57" s="357"/>
      <c r="AJ57" s="29"/>
      <c r="AK57" s="29"/>
      <c r="AL57" s="29"/>
      <c r="AM57" s="29"/>
      <c r="AN57" s="28"/>
    </row>
    <row r="58" spans="1:40" s="5" customFormat="1" ht="30" customHeight="1">
      <c r="A58" s="3">
        <f t="shared" si="0"/>
        <v>53</v>
      </c>
      <c r="B58" s="706">
        <f>'תקציב אגף ת.ב.ל 2020 '!B58</f>
        <v>2134</v>
      </c>
      <c r="C58" s="87" t="str">
        <f>'תקציב אגף ת.ב.ל 2020 '!C58</f>
        <v>שיפוץ אולם ספורט נווה ישראל</v>
      </c>
      <c r="D58" s="4">
        <f>'תקציב אגף ת.ב.ל 2020 '!D58</f>
        <v>494000</v>
      </c>
      <c r="E58" s="4">
        <f>'תקציב אגף ת.ב.ל 2020 '!E58</f>
        <v>494000</v>
      </c>
      <c r="F58" s="4">
        <f>'תקציב אגף ת.ב.ל 2020 '!F58</f>
        <v>0</v>
      </c>
      <c r="G58" s="4">
        <f>'תקציב אגף ת.ב.ל 2020 '!G58</f>
        <v>494000</v>
      </c>
      <c r="H58" s="4">
        <f>'תקציב אגף ת.ב.ל 2020 '!H58</f>
        <v>0</v>
      </c>
      <c r="I58" s="4">
        <f>'תקציב אגף ת.ב.ל 2020 '!I58</f>
        <v>0</v>
      </c>
      <c r="J58" s="4">
        <f>'תקציב אגף ת.ב.ל 2020 '!J58</f>
        <v>0</v>
      </c>
      <c r="K58" s="4">
        <f>'תקציב אגף ת.ב.ל 2020 '!K58</f>
        <v>0</v>
      </c>
      <c r="L58" s="4">
        <f>'תקציב אגף ת.ב.ל 2020 '!L58</f>
        <v>0</v>
      </c>
      <c r="M58" s="4">
        <f>'תקציב אגף ת.ב.ל 2020 '!M58</f>
        <v>494000</v>
      </c>
      <c r="N58" s="4">
        <f>'תקציב אגף ת.ב.ל 2020 '!N58</f>
        <v>0</v>
      </c>
      <c r="O58" s="4">
        <f>'תקציב אגף ת.ב.ל 2020 '!O58</f>
        <v>0</v>
      </c>
      <c r="P58" s="4">
        <f>'תקציב אגף ת.ב.ל 2020 '!P58</f>
        <v>494000</v>
      </c>
      <c r="Q58" s="4">
        <f>'תקציב אגף ת.ב.ל 2020 '!Q58</f>
        <v>0</v>
      </c>
      <c r="R58" s="4">
        <f>'תקציב אגף ת.ב.ל 2020 '!R58</f>
        <v>0</v>
      </c>
      <c r="S58" s="4">
        <f>'תקציב אגף ת.ב.ל 2020 '!S58</f>
        <v>0</v>
      </c>
      <c r="T58" s="4">
        <f>'תקציב אגף ת.ב.ל 2020 '!T58</f>
        <v>0</v>
      </c>
      <c r="U58" s="4">
        <f>'תקציב אגף ת.ב.ל 2020 '!U58</f>
        <v>0</v>
      </c>
      <c r="V58" s="4">
        <f>'תקציב אגף ת.ב.ל 2020 '!V58</f>
        <v>0</v>
      </c>
      <c r="W58" s="4">
        <f>'תקציב אגף ת.ב.ל 2020 '!W58</f>
        <v>0</v>
      </c>
      <c r="X58" s="4">
        <f>'תקציב אגף ת.ב.ל 2020 '!X58</f>
        <v>0</v>
      </c>
      <c r="Y58" s="4">
        <f>'תקציב אגף ת.ב.ל 2020 '!Y58</f>
        <v>0</v>
      </c>
      <c r="Z58" s="4">
        <f>'תקציב אגף ת.ב.ל 2020 '!Z58</f>
        <v>0</v>
      </c>
      <c r="AA58" s="87" t="str">
        <f>'תקציב אגף ת.ב.ל 2020 '!AA58</f>
        <v>עבודות שיפוץ האולם כולל הצטיידות.</v>
      </c>
      <c r="AB58" s="706">
        <f>'תקציב אגף ת.ב.ל 2020 '!AB58</f>
        <v>829000</v>
      </c>
      <c r="AC58" s="191"/>
      <c r="AD58" s="191"/>
      <c r="AE58" s="31"/>
      <c r="AF58" s="351"/>
      <c r="AG58" s="351"/>
      <c r="AH58" s="352"/>
      <c r="AI58" s="357"/>
      <c r="AJ58" s="29"/>
      <c r="AK58" s="29"/>
      <c r="AL58" s="29"/>
      <c r="AM58" s="29"/>
      <c r="AN58" s="28"/>
    </row>
    <row r="59" spans="1:40" s="5" customFormat="1" ht="30" customHeight="1">
      <c r="A59" s="3">
        <f t="shared" si="0"/>
        <v>54</v>
      </c>
      <c r="B59" s="706">
        <f>'תקציב אגף ת.ב.ל 2020 '!B59</f>
        <v>2139</v>
      </c>
      <c r="C59" s="87" t="str">
        <f>'תקציב אגף ת.ב.ל 2020 '!C59</f>
        <v>גני ילדים בבניה טרומים רח' דוד השמעוני</v>
      </c>
      <c r="D59" s="4">
        <f>'תקציב אגף ת.ב.ל 2020 '!D59</f>
        <v>2948000</v>
      </c>
      <c r="E59" s="4">
        <f>'תקציב אגף ת.ב.ל 2020 '!E59</f>
        <v>2948000</v>
      </c>
      <c r="F59" s="4">
        <f>'תקציב אגף ת.ב.ל 2020 '!F59</f>
        <v>0</v>
      </c>
      <c r="G59" s="4">
        <f>'תקציב אגף ת.ב.ל 2020 '!G59</f>
        <v>0</v>
      </c>
      <c r="H59" s="4">
        <f>'תקציב אגף ת.ב.ל 2020 '!H59</f>
        <v>0</v>
      </c>
      <c r="I59" s="4">
        <f>'תקציב אגף ת.ב.ל 2020 '!I59</f>
        <v>0</v>
      </c>
      <c r="J59" s="4">
        <f>'תקציב אגף ת.ב.ל 2020 '!J59</f>
        <v>0</v>
      </c>
      <c r="K59" s="4">
        <f>'תקציב אגף ת.ב.ל 2020 '!K59</f>
        <v>0</v>
      </c>
      <c r="L59" s="4">
        <f>'תקציב אגף ת.ב.ל 2020 '!L59</f>
        <v>0</v>
      </c>
      <c r="M59" s="4">
        <f>'תקציב אגף ת.ב.ל 2020 '!M59</f>
        <v>0</v>
      </c>
      <c r="N59" s="4">
        <f>'תקציב אגף ת.ב.ל 2020 '!N59</f>
        <v>0</v>
      </c>
      <c r="O59" s="4">
        <f>'תקציב אגף ת.ב.ל 2020 '!O59</f>
        <v>2948000</v>
      </c>
      <c r="P59" s="4">
        <f>'תקציב אגף ת.ב.ל 2020 '!P59</f>
        <v>0</v>
      </c>
      <c r="Q59" s="4">
        <f>'תקציב אגף ת.ב.ל 2020 '!Q59</f>
        <v>0</v>
      </c>
      <c r="R59" s="4">
        <f>'תקציב אגף ת.ב.ל 2020 '!R59</f>
        <v>0</v>
      </c>
      <c r="S59" s="4">
        <f>'תקציב אגף ת.ב.ל 2020 '!S59</f>
        <v>0</v>
      </c>
      <c r="T59" s="4">
        <f>'תקציב אגף ת.ב.ל 2020 '!T59</f>
        <v>0</v>
      </c>
      <c r="U59" s="4">
        <f>'תקציב אגף ת.ב.ל 2020 '!U59</f>
        <v>0</v>
      </c>
      <c r="V59" s="4">
        <f>'תקציב אגף ת.ב.ל 2020 '!V59</f>
        <v>0</v>
      </c>
      <c r="W59" s="4">
        <f>'תקציב אגף ת.ב.ל 2020 '!W59</f>
        <v>0</v>
      </c>
      <c r="X59" s="4">
        <f>'תקציב אגף ת.ב.ל 2020 '!X59</f>
        <v>0</v>
      </c>
      <c r="Y59" s="4">
        <f>'תקציב אגף ת.ב.ל 2020 '!Y59</f>
        <v>0</v>
      </c>
      <c r="Z59" s="4">
        <f>'תקציב אגף ת.ב.ל 2020 '!Z59</f>
        <v>0</v>
      </c>
      <c r="AA59" s="87">
        <f>'תקציב אגף ת.ב.ל 2020 '!AA59</f>
        <v>0</v>
      </c>
      <c r="AB59" s="706">
        <f>'תקציב אגף ת.ב.ל 2020 '!AB59</f>
        <v>810000</v>
      </c>
      <c r="AC59" s="191"/>
      <c r="AD59" s="191"/>
      <c r="AE59" s="31"/>
      <c r="AF59" s="351"/>
      <c r="AG59" s="351"/>
      <c r="AH59" s="352"/>
      <c r="AI59" s="357"/>
      <c r="AJ59" s="29"/>
      <c r="AK59" s="29"/>
      <c r="AL59" s="29"/>
      <c r="AM59" s="29"/>
      <c r="AN59" s="28"/>
    </row>
    <row r="60" spans="1:40" s="5" customFormat="1" ht="41.4">
      <c r="A60" s="3">
        <f>A59+1</f>
        <v>55</v>
      </c>
      <c r="B60" s="706">
        <f>'תקציב אגף ת.ב.ל 2020 '!B60</f>
        <v>2154</v>
      </c>
      <c r="C60" s="87" t="str">
        <f>'תקציב אגף ת.ב.ל 2020 '!C60</f>
        <v>חסכון,התייע' אנרגטית מוסח/ציבור 2020</v>
      </c>
      <c r="D60" s="4">
        <f>'תקציב אגף ת.ב.ל 2020 '!D60</f>
        <v>10500000</v>
      </c>
      <c r="E60" s="4">
        <f>'תקציב אגף ת.ב.ל 2020 '!E60</f>
        <v>0</v>
      </c>
      <c r="F60" s="4">
        <f>'תקציב אגף ת.ב.ל 2020 '!F60</f>
        <v>10500000</v>
      </c>
      <c r="G60" s="4">
        <f>'תקציב אגף ת.ב.ל 2020 '!G60</f>
        <v>0</v>
      </c>
      <c r="H60" s="4">
        <f>'תקציב אגף ת.ב.ל 2020 '!H60</f>
        <v>0</v>
      </c>
      <c r="I60" s="4">
        <f>'תקציב אגף ת.ב.ל 2020 '!I60</f>
        <v>0</v>
      </c>
      <c r="J60" s="4">
        <f>'תקציב אגף ת.ב.ל 2020 '!J60</f>
        <v>0</v>
      </c>
      <c r="K60" s="4">
        <f>'תקציב אגף ת.ב.ל 2020 '!K60</f>
        <v>0</v>
      </c>
      <c r="L60" s="4">
        <f>'תקציב אגף ת.ב.ל 2020 '!L60</f>
        <v>0</v>
      </c>
      <c r="M60" s="4">
        <f>'תקציב אגף ת.ב.ל 2020 '!M60</f>
        <v>0</v>
      </c>
      <c r="N60" s="4">
        <f>'תקציב אגף ת.ב.ל 2020 '!N60</f>
        <v>3500000</v>
      </c>
      <c r="O60" s="4">
        <f>'תקציב אגף ת.ב.ל 2020 '!O60</f>
        <v>7000000</v>
      </c>
      <c r="P60" s="4">
        <f>'תקציב אגף ת.ב.ל 2020 '!P60</f>
        <v>0</v>
      </c>
      <c r="Q60" s="4">
        <f>'תקציב אגף ת.ב.ל 2020 '!Q60</f>
        <v>0</v>
      </c>
      <c r="R60" s="4">
        <f>'תקציב אגף ת.ב.ל 2020 '!R60</f>
        <v>0</v>
      </c>
      <c r="S60" s="4">
        <f>'תקציב אגף ת.ב.ל 2020 '!S60</f>
        <v>0</v>
      </c>
      <c r="T60" s="4">
        <f>'תקציב אגף ת.ב.ל 2020 '!T60</f>
        <v>0</v>
      </c>
      <c r="U60" s="4">
        <f>'תקציב אגף ת.ב.ל 2020 '!U60</f>
        <v>3500000</v>
      </c>
      <c r="V60" s="4">
        <f>'תקציב אגף ת.ב.ל 2020 '!V60</f>
        <v>0</v>
      </c>
      <c r="W60" s="4">
        <f>'תקציב אגף ת.ב.ל 2020 '!W60</f>
        <v>1400000</v>
      </c>
      <c r="X60" s="4">
        <f>'תקציב אגף ת.ב.ל 2020 '!X60</f>
        <v>0</v>
      </c>
      <c r="Y60" s="4">
        <f>'תקציב אגף ת.ב.ל 2020 '!Y60</f>
        <v>0</v>
      </c>
      <c r="Z60" s="4">
        <f>'תקציב אגף ת.ב.ל 2020 '!Z60</f>
        <v>2100000</v>
      </c>
      <c r="AA60" s="87" t="str">
        <f>'תקציב אגף ת.ב.ל 2020 '!AA60</f>
        <v>החלפת מזגנים , החלפת תאורה ללדים  ובקרת מבנים במוס"ח ובמוסדות עירוניים. מימון מ. הכלכלה והתעשיה.</v>
      </c>
      <c r="AB60" s="706">
        <f>'תקציב אגף ת.ב.ל 2020 '!AB60</f>
        <v>870000</v>
      </c>
      <c r="AC60" s="6"/>
      <c r="AD60" s="6"/>
    </row>
    <row r="61" spans="1:40" s="5" customFormat="1" ht="30" customHeight="1">
      <c r="A61" s="3">
        <f t="shared" ref="A61:A64" si="1">A60+1</f>
        <v>56</v>
      </c>
      <c r="B61" s="706">
        <f>'תקציב אגף ת.ב.ל 2020 '!B61</f>
        <v>2155</v>
      </c>
      <c r="C61" s="87" t="str">
        <f>'תקציב אגף ת.ב.ל 2020 '!C61</f>
        <v>גידור מרחב האירועים בפארק</v>
      </c>
      <c r="D61" s="4">
        <f>'תקציב אגף ת.ב.ל 2020 '!D61</f>
        <v>700000</v>
      </c>
      <c r="E61" s="4">
        <f>'תקציב אגף ת.ב.ל 2020 '!E61</f>
        <v>0</v>
      </c>
      <c r="F61" s="4">
        <f>'תקציב אגף ת.ב.ל 2020 '!F61</f>
        <v>700000</v>
      </c>
      <c r="G61" s="4">
        <f>'תקציב אגף ת.ב.ל 2020 '!G61</f>
        <v>0</v>
      </c>
      <c r="H61" s="4">
        <f>'תקציב אגף ת.ב.ל 2020 '!H61</f>
        <v>0</v>
      </c>
      <c r="I61" s="4">
        <f>'תקציב אגף ת.ב.ל 2020 '!I61</f>
        <v>0</v>
      </c>
      <c r="J61" s="4">
        <f>'תקציב אגף ת.ב.ל 2020 '!J61</f>
        <v>0</v>
      </c>
      <c r="K61" s="4">
        <f>'תקציב אגף ת.ב.ל 2020 '!K61</f>
        <v>0</v>
      </c>
      <c r="L61" s="4">
        <f>'תקציב אגף ת.ב.ל 2020 '!L61</f>
        <v>0</v>
      </c>
      <c r="M61" s="4">
        <f>'תקציב אגף ת.ב.ל 2020 '!M61</f>
        <v>0</v>
      </c>
      <c r="N61" s="4">
        <f>'תקציב אגף ת.ב.ל 2020 '!N61</f>
        <v>700000</v>
      </c>
      <c r="O61" s="4">
        <f>'תקציב אגף ת.ב.ל 2020 '!O61</f>
        <v>0</v>
      </c>
      <c r="P61" s="4">
        <f>'תקציב אגף ת.ב.ל 2020 '!P61</f>
        <v>0</v>
      </c>
      <c r="Q61" s="4">
        <f>'תקציב אגף ת.ב.ל 2020 '!Q61</f>
        <v>0</v>
      </c>
      <c r="R61" s="4">
        <f>'תקציב אגף ת.ב.ל 2020 '!R61</f>
        <v>0</v>
      </c>
      <c r="S61" s="4">
        <f>'תקציב אגף ת.ב.ל 2020 '!S61</f>
        <v>0</v>
      </c>
      <c r="T61" s="4">
        <f>'תקציב אגף ת.ב.ל 2020 '!T61</f>
        <v>0</v>
      </c>
      <c r="U61" s="4">
        <f>'תקציב אגף ת.ב.ל 2020 '!U61</f>
        <v>700000</v>
      </c>
      <c r="V61" s="4">
        <f>'תקציב אגף ת.ב.ל 2020 '!V61</f>
        <v>0</v>
      </c>
      <c r="W61" s="4">
        <f>'תקציב אגף ת.ב.ל 2020 '!W61</f>
        <v>700000</v>
      </c>
      <c r="X61" s="4">
        <f>'תקציב אגף ת.ב.ל 2020 '!X61</f>
        <v>0</v>
      </c>
      <c r="Y61" s="4">
        <f>'תקציב אגף ת.ב.ל 2020 '!Y61</f>
        <v>0</v>
      </c>
      <c r="Z61" s="4">
        <f>'תקציב אגף ת.ב.ל 2020 '!Z61</f>
        <v>0</v>
      </c>
      <c r="AA61" s="87" t="str">
        <f>'תקציב אגף ת.ב.ל 2020 '!AA61</f>
        <v>עבודות גידור קבוע, תאורה תשתיות ושערים במרחב האירועים בפארק.</v>
      </c>
      <c r="AB61" s="706">
        <f>'תקציב אגף ת.ב.ל 2020 '!AB61</f>
        <v>746000</v>
      </c>
      <c r="AC61" s="6"/>
      <c r="AD61" s="6"/>
    </row>
    <row r="62" spans="1:40" s="5" customFormat="1" ht="41.4">
      <c r="A62" s="3">
        <f t="shared" si="1"/>
        <v>57</v>
      </c>
      <c r="B62" s="706">
        <f>'תקציב אגף ת.ב.ל 2020 '!B62</f>
        <v>2156</v>
      </c>
      <c r="C62" s="87" t="str">
        <f>'תקציב אגף ת.ב.ל 2020 '!C62</f>
        <v>הקמת יחידת חילוץ הצטיידות</v>
      </c>
      <c r="D62" s="4">
        <f>'תקציב אגף ת.ב.ל 2020 '!D62</f>
        <v>1600000</v>
      </c>
      <c r="E62" s="4">
        <f>'תקציב אגף ת.ב.ל 2020 '!E62</f>
        <v>0</v>
      </c>
      <c r="F62" s="4">
        <f>'תקציב אגף ת.ב.ל 2020 '!F62</f>
        <v>1600000</v>
      </c>
      <c r="G62" s="4">
        <f>'תקציב אגף ת.ב.ל 2020 '!G62</f>
        <v>0</v>
      </c>
      <c r="H62" s="4">
        <f>'תקציב אגף ת.ב.ל 2020 '!H62</f>
        <v>0</v>
      </c>
      <c r="I62" s="4">
        <f>'תקציב אגף ת.ב.ל 2020 '!I62</f>
        <v>0</v>
      </c>
      <c r="J62" s="4">
        <f>'תקציב אגף ת.ב.ל 2020 '!J62</f>
        <v>0</v>
      </c>
      <c r="K62" s="4">
        <f>'תקציב אגף ת.ב.ל 2020 '!K62</f>
        <v>0</v>
      </c>
      <c r="L62" s="4">
        <f>'תקציב אגף ת.ב.ל 2020 '!L62</f>
        <v>0</v>
      </c>
      <c r="M62" s="4">
        <f>'תקציב אגף ת.ב.ל 2020 '!M62</f>
        <v>0</v>
      </c>
      <c r="N62" s="4">
        <f>'תקציב אגף ת.ב.ל 2020 '!N62</f>
        <v>800000</v>
      </c>
      <c r="O62" s="4">
        <f>'תקציב אגף ת.ב.ל 2020 '!O62</f>
        <v>800000</v>
      </c>
      <c r="P62" s="4">
        <f>'תקציב אגף ת.ב.ל 2020 '!P62</f>
        <v>0</v>
      </c>
      <c r="Q62" s="4">
        <f>'תקציב אגף ת.ב.ל 2020 '!Q62</f>
        <v>0</v>
      </c>
      <c r="R62" s="4">
        <f>'תקציב אגף ת.ב.ל 2020 '!R62</f>
        <v>0</v>
      </c>
      <c r="S62" s="4">
        <f>'תקציב אגף ת.ב.ל 2020 '!S62</f>
        <v>0</v>
      </c>
      <c r="T62" s="4">
        <f>'תקציב אגף ת.ב.ל 2020 '!T62</f>
        <v>0</v>
      </c>
      <c r="U62" s="4">
        <f>'תקציב אגף ת.ב.ל 2020 '!U62</f>
        <v>800000</v>
      </c>
      <c r="V62" s="4">
        <f>'תקציב אגף ת.ב.ל 2020 '!V62</f>
        <v>0</v>
      </c>
      <c r="W62" s="4">
        <f>'תקציב אגף ת.ב.ל 2020 '!W62</f>
        <v>800000</v>
      </c>
      <c r="X62" s="4">
        <f>'תקציב אגף ת.ב.ל 2020 '!X62</f>
        <v>0</v>
      </c>
      <c r="Y62" s="4">
        <f>'תקציב אגף ת.ב.ל 2020 '!Y62</f>
        <v>0</v>
      </c>
      <c r="Z62" s="4">
        <f>'תקציב אגף ת.ב.ל 2020 '!Z62</f>
        <v>0</v>
      </c>
      <c r="AA62" s="87" t="str">
        <f>'תקציב אגף ת.ב.ל 2020 '!AA62</f>
        <v>הצטיידות  של יחידת חילוץ מתנדבים שעברו הכשרה בפיקוד העורף לתפקוד במצבי חרום .</v>
      </c>
      <c r="AB62" s="706">
        <f>'תקציב אגף ת.ב.ל 2020 '!AB62</f>
        <v>720000</v>
      </c>
      <c r="AC62" s="6"/>
      <c r="AD62" s="6"/>
    </row>
    <row r="63" spans="1:40" s="5" customFormat="1" ht="30" customHeight="1">
      <c r="A63" s="3">
        <f t="shared" si="1"/>
        <v>58</v>
      </c>
      <c r="B63" s="706">
        <f>'תקציב אגף ת.ב.ל 2020 '!B63</f>
        <v>2157</v>
      </c>
      <c r="C63" s="87" t="str">
        <f>'תקציב אגף ת.ב.ל 2020 '!C63</f>
        <v>התקנת חיבורים חיצוניים לגנרטורים במוס"ח וציבור</v>
      </c>
      <c r="D63" s="4">
        <f>'תקציב אגף ת.ב.ל 2020 '!D63</f>
        <v>5200000</v>
      </c>
      <c r="E63" s="4">
        <f>'תקציב אגף ת.ב.ל 2020 '!E63</f>
        <v>0</v>
      </c>
      <c r="F63" s="4">
        <f>'תקציב אגף ת.ב.ל 2020 '!F63</f>
        <v>5200000</v>
      </c>
      <c r="G63" s="4">
        <f>'תקציב אגף ת.ב.ל 2020 '!G63</f>
        <v>0</v>
      </c>
      <c r="H63" s="4">
        <f>'תקציב אגף ת.ב.ל 2020 '!H63</f>
        <v>0</v>
      </c>
      <c r="I63" s="4">
        <f>'תקציב אגף ת.ב.ל 2020 '!I63</f>
        <v>0</v>
      </c>
      <c r="J63" s="4">
        <f>'תקציב אגף ת.ב.ל 2020 '!J63</f>
        <v>0</v>
      </c>
      <c r="K63" s="4">
        <f>'תקציב אגף ת.ב.ל 2020 '!K63</f>
        <v>0</v>
      </c>
      <c r="L63" s="4">
        <f>'תקציב אגף ת.ב.ל 2020 '!L63</f>
        <v>0</v>
      </c>
      <c r="M63" s="4">
        <f>'תקציב אגף ת.ב.ל 2020 '!M63</f>
        <v>0</v>
      </c>
      <c r="N63" s="4">
        <f>'תקציב אגף ת.ב.ל 2020 '!N63</f>
        <v>500000</v>
      </c>
      <c r="O63" s="4">
        <f>'תקציב אגף ת.ב.ל 2020 '!O63</f>
        <v>4700000</v>
      </c>
      <c r="P63" s="4">
        <f>'תקציב אגף ת.ב.ל 2020 '!P63</f>
        <v>0</v>
      </c>
      <c r="Q63" s="4">
        <f>'תקציב אגף ת.ב.ל 2020 '!Q63</f>
        <v>0</v>
      </c>
      <c r="R63" s="4">
        <f>'תקציב אגף ת.ב.ל 2020 '!R63</f>
        <v>0</v>
      </c>
      <c r="S63" s="4">
        <f>'תקציב אגף ת.ב.ל 2020 '!S63</f>
        <v>0</v>
      </c>
      <c r="T63" s="4">
        <f>'תקציב אגף ת.ב.ל 2020 '!T63</f>
        <v>0</v>
      </c>
      <c r="U63" s="4">
        <f>'תקציב אגף ת.ב.ל 2020 '!U63</f>
        <v>500000</v>
      </c>
      <c r="V63" s="4">
        <f>'תקציב אגף ת.ב.ל 2020 '!V63</f>
        <v>0</v>
      </c>
      <c r="W63" s="4">
        <f>'תקציב אגף ת.ב.ל 2020 '!W63</f>
        <v>500000</v>
      </c>
      <c r="X63" s="4">
        <f>'תקציב אגף ת.ב.ל 2020 '!X63</f>
        <v>0</v>
      </c>
      <c r="Y63" s="4">
        <f>'תקציב אגף ת.ב.ל 2020 '!Y63</f>
        <v>0</v>
      </c>
      <c r="Z63" s="4">
        <f>'תקציב אגף ת.ב.ל 2020 '!Z63</f>
        <v>0</v>
      </c>
      <c r="AA63" s="87" t="str">
        <f>'תקציב אגף ת.ב.ל 2020 '!AA63</f>
        <v>התקנת חיבורים חיצוניים לגנרטורים  במבני חינוך וציבור לשימוש בעת הצורך.</v>
      </c>
      <c r="AB63" s="706">
        <f>'תקציב אגף ת.ב.ל 2020 '!AB63</f>
        <v>810000</v>
      </c>
      <c r="AC63" s="6"/>
      <c r="AD63" s="6"/>
    </row>
    <row r="64" spans="1:40" s="5" customFormat="1" ht="30" customHeight="1">
      <c r="A64" s="3">
        <f t="shared" si="1"/>
        <v>59</v>
      </c>
      <c r="B64" s="706">
        <f>'תקציב אגף ת.ב.ל 2020 '!B64</f>
        <v>2140</v>
      </c>
      <c r="C64" s="87" t="str">
        <f>'תקציב אגף ת.ב.ל 2020 '!C64</f>
        <v>נגישות אקוסטית 2019 (מ.החינוך)</v>
      </c>
      <c r="D64" s="4">
        <f>'תקציב אגף ת.ב.ל 2020 '!D64</f>
        <v>360000</v>
      </c>
      <c r="E64" s="4">
        <f>'תקציב אגף ת.ב.ל 2020 '!E64</f>
        <v>0</v>
      </c>
      <c r="F64" s="4">
        <f>'תקציב אגף ת.ב.ל 2020 '!F64</f>
        <v>360000</v>
      </c>
      <c r="G64" s="4">
        <f>'תקציב אגף ת.ב.ל 2020 '!G64</f>
        <v>0</v>
      </c>
      <c r="H64" s="4">
        <f>'תקציב אגף ת.ב.ל 2020 '!H64</f>
        <v>0</v>
      </c>
      <c r="I64" s="4">
        <f>'תקציב אגף ת.ב.ל 2020 '!I64</f>
        <v>0</v>
      </c>
      <c r="J64" s="4">
        <f>'תקציב אגף ת.ב.ל 2020 '!J64</f>
        <v>0</v>
      </c>
      <c r="K64" s="4">
        <f>'תקציב אגף ת.ב.ל 2020 '!K64</f>
        <v>0</v>
      </c>
      <c r="L64" s="4">
        <f>'תקציב אגף ת.ב.ל 2020 '!L64</f>
        <v>0</v>
      </c>
      <c r="M64" s="4">
        <f>'תקציב אגף ת.ב.ל 2020 '!M64</f>
        <v>360000</v>
      </c>
      <c r="N64" s="4">
        <f>'תקציב אגף ת.ב.ל 2020 '!N64</f>
        <v>0</v>
      </c>
      <c r="O64" s="4">
        <f>'תקציב אגף ת.ב.ל 2020 '!O64</f>
        <v>0</v>
      </c>
      <c r="P64" s="4">
        <f>'תקציב אגף ת.ב.ל 2020 '!P64</f>
        <v>0</v>
      </c>
      <c r="Q64" s="4">
        <f>'תקציב אגף ת.ב.ל 2020 '!Q64</f>
        <v>0</v>
      </c>
      <c r="R64" s="4">
        <f>'תקציב אגף ת.ב.ל 2020 '!R64</f>
        <v>360000</v>
      </c>
      <c r="S64" s="4">
        <f>'תקציב אגף ת.ב.ל 2020 '!S64</f>
        <v>360000</v>
      </c>
      <c r="T64" s="4">
        <f>'תקציב אגף ת.ב.ל 2020 '!T64</f>
        <v>0</v>
      </c>
      <c r="U64" s="4">
        <f>'תקציב אגף ת.ב.ל 2020 '!U64</f>
        <v>0</v>
      </c>
      <c r="V64" s="4">
        <f>'תקציב אגף ת.ב.ל 2020 '!V64</f>
        <v>0</v>
      </c>
      <c r="W64" s="4">
        <f>'תקציב אגף ת.ב.ל 2020 '!W64</f>
        <v>0</v>
      </c>
      <c r="X64" s="4">
        <f>'תקציב אגף ת.ב.ל 2020 '!X64</f>
        <v>0</v>
      </c>
      <c r="Y64" s="4">
        <f>'תקציב אגף ת.ב.ל 2020 '!Y64</f>
        <v>0</v>
      </c>
      <c r="Z64" s="4">
        <f>'תקציב אגף ת.ב.ל 2020 '!Z64</f>
        <v>0</v>
      </c>
      <c r="AA64" s="87" t="str">
        <f>'תקציב אגף ת.ב.ל 2020 '!AA64</f>
        <v xml:space="preserve">נגישות אקוסטית בי"ס. מימון מ. החינוך. </v>
      </c>
      <c r="AB64" s="706">
        <f>'תקציב אגף ת.ב.ל 2020 '!AB64</f>
        <v>810000</v>
      </c>
      <c r="AC64" s="6"/>
      <c r="AD64" s="6"/>
    </row>
    <row r="65" spans="1:40" s="84" customFormat="1" ht="30" customHeight="1">
      <c r="A65" s="41">
        <f>A64</f>
        <v>59</v>
      </c>
      <c r="B65" s="725"/>
      <c r="C65" s="221" t="s">
        <v>687</v>
      </c>
      <c r="D65" s="88">
        <f t="shared" ref="D65:Z65" si="2">SUM(D6:D64)</f>
        <v>430333105</v>
      </c>
      <c r="E65" s="88">
        <f t="shared" si="2"/>
        <v>391554105</v>
      </c>
      <c r="F65" s="88">
        <f t="shared" si="2"/>
        <v>38779000</v>
      </c>
      <c r="G65" s="88">
        <f t="shared" si="2"/>
        <v>271565901</v>
      </c>
      <c r="H65" s="88">
        <f t="shared" si="2"/>
        <v>189651291.88</v>
      </c>
      <c r="I65" s="88">
        <f t="shared" si="2"/>
        <v>10892094.979999999</v>
      </c>
      <c r="J65" s="88">
        <f t="shared" si="2"/>
        <v>33107561.339999996</v>
      </c>
      <c r="K65" s="88">
        <f t="shared" si="2"/>
        <v>43999656.320000008</v>
      </c>
      <c r="L65" s="88">
        <f t="shared" si="2"/>
        <v>233650948.19999993</v>
      </c>
      <c r="M65" s="88">
        <f t="shared" si="2"/>
        <v>36944952.800000004</v>
      </c>
      <c r="N65" s="88">
        <f t="shared" si="2"/>
        <v>59026300</v>
      </c>
      <c r="O65" s="88">
        <f t="shared" si="2"/>
        <v>100710904</v>
      </c>
      <c r="P65" s="88">
        <f t="shared" si="2"/>
        <v>37914952.799999997</v>
      </c>
      <c r="Q65" s="88">
        <f t="shared" si="2"/>
        <v>2135000</v>
      </c>
      <c r="R65" s="88">
        <f t="shared" si="2"/>
        <v>1860000</v>
      </c>
      <c r="S65" s="88">
        <f t="shared" si="2"/>
        <v>3995000</v>
      </c>
      <c r="T65" s="88">
        <f t="shared" si="2"/>
        <v>4965000</v>
      </c>
      <c r="U65" s="88">
        <f t="shared" si="2"/>
        <v>54061300</v>
      </c>
      <c r="V65" s="88">
        <f t="shared" si="2"/>
        <v>18950000</v>
      </c>
      <c r="W65" s="88">
        <f t="shared" si="2"/>
        <v>23900000</v>
      </c>
      <c r="X65" s="88">
        <f t="shared" si="2"/>
        <v>0</v>
      </c>
      <c r="Y65" s="88">
        <f t="shared" si="2"/>
        <v>0</v>
      </c>
      <c r="Z65" s="88">
        <f t="shared" si="2"/>
        <v>11211300</v>
      </c>
      <c r="AA65" s="705"/>
      <c r="AB65" s="725"/>
    </row>
    <row r="66" spans="1:40" s="29" customFormat="1" hidden="1">
      <c r="B66" s="42"/>
      <c r="C66" s="407"/>
      <c r="D66" s="25"/>
      <c r="E66" s="25">
        <v>391354105</v>
      </c>
      <c r="F66" s="25"/>
      <c r="G66" s="25">
        <v>271365901</v>
      </c>
      <c r="H66" s="25"/>
      <c r="I66" s="25"/>
      <c r="J66" s="25"/>
      <c r="K66" s="25"/>
      <c r="L66" s="25">
        <f>K65+H65</f>
        <v>233650948.19999999</v>
      </c>
      <c r="M66" s="25"/>
      <c r="N66" s="25"/>
      <c r="O66" s="25"/>
      <c r="P66" s="25">
        <f>G65-L65</f>
        <v>37914952.800000072</v>
      </c>
      <c r="Q66" s="25"/>
      <c r="R66" s="25"/>
      <c r="S66" s="25"/>
      <c r="T66" s="25">
        <f>P66+S65-M65</f>
        <v>4965000.0000000671</v>
      </c>
      <c r="U66" s="25">
        <f>N65-T66</f>
        <v>54061299.999999933</v>
      </c>
      <c r="V66" s="19"/>
      <c r="W66" s="19"/>
      <c r="X66" s="19"/>
      <c r="Y66" s="19"/>
      <c r="Z66" s="19"/>
      <c r="AA66" s="408"/>
      <c r="AB66" s="42"/>
      <c r="AC66" s="191"/>
      <c r="AD66" s="191"/>
      <c r="AE66" s="31"/>
      <c r="AF66" s="351"/>
      <c r="AG66" s="351"/>
      <c r="AH66" s="352"/>
      <c r="AI66" s="357"/>
    </row>
    <row r="67" spans="1:40" s="29" customFormat="1">
      <c r="B67" s="42"/>
      <c r="C67" s="76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192"/>
      <c r="Q67" s="25"/>
      <c r="R67" s="25"/>
      <c r="S67" s="25"/>
      <c r="T67" s="25"/>
      <c r="U67" s="19"/>
      <c r="V67" s="19"/>
      <c r="W67" s="19"/>
      <c r="X67" s="19"/>
      <c r="Y67" s="19"/>
      <c r="Z67" s="19"/>
      <c r="AA67" s="408"/>
      <c r="AB67" s="42"/>
      <c r="AC67" s="191"/>
      <c r="AD67" s="191"/>
      <c r="AE67" s="31"/>
      <c r="AF67" s="351"/>
      <c r="AG67" s="351"/>
      <c r="AH67" s="352"/>
      <c r="AI67" s="357"/>
    </row>
    <row r="68" spans="1:40">
      <c r="A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25"/>
      <c r="O68" s="25"/>
      <c r="P68" s="25"/>
      <c r="Q68" s="25"/>
      <c r="R68" s="25"/>
      <c r="S68" s="25"/>
      <c r="T68" s="25"/>
      <c r="U68" s="19"/>
    </row>
    <row r="69" spans="1:40">
      <c r="A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25"/>
      <c r="O69" s="25"/>
      <c r="P69" s="25"/>
      <c r="Q69" s="25"/>
      <c r="R69" s="25"/>
      <c r="S69" s="25"/>
      <c r="T69" s="25"/>
      <c r="U69" s="19"/>
    </row>
    <row r="70" spans="1:40">
      <c r="A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25"/>
      <c r="O70" s="25"/>
      <c r="P70" s="25"/>
      <c r="Q70" s="25"/>
      <c r="R70" s="25"/>
      <c r="S70" s="25"/>
      <c r="T70" s="25"/>
      <c r="U70" s="19"/>
    </row>
    <row r="71" spans="1:40">
      <c r="A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25"/>
      <c r="O71" s="25"/>
      <c r="P71" s="25"/>
      <c r="Q71" s="25"/>
      <c r="R71" s="25"/>
      <c r="S71" s="25"/>
      <c r="T71" s="25"/>
      <c r="U71" s="19"/>
    </row>
    <row r="72" spans="1:40">
      <c r="A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25"/>
      <c r="O72" s="25"/>
      <c r="P72" s="25"/>
      <c r="Q72" s="25"/>
      <c r="R72" s="25"/>
      <c r="S72" s="25"/>
      <c r="T72" s="25"/>
      <c r="U72" s="19"/>
    </row>
    <row r="74" spans="1:40">
      <c r="A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S74" s="42"/>
    </row>
    <row r="75" spans="1:40">
      <c r="A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S75" s="42"/>
    </row>
    <row r="76" spans="1:40">
      <c r="A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S76" s="42"/>
    </row>
    <row r="77" spans="1:40">
      <c r="A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S77" s="42"/>
      <c r="AN77" s="25"/>
    </row>
    <row r="78" spans="1:40">
      <c r="A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S78" s="42"/>
    </row>
    <row r="80" spans="1:40">
      <c r="A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S80" s="42"/>
    </row>
    <row r="81" spans="1:40">
      <c r="A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AN81" s="25"/>
    </row>
    <row r="82" spans="1:40">
      <c r="A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T82" s="14"/>
      <c r="U82" s="16"/>
    </row>
    <row r="83" spans="1:40">
      <c r="A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6"/>
      <c r="AA83" s="407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308" priority="3" operator="equal">
      <formula>0</formula>
    </cfRule>
  </conditionalFormatting>
  <conditionalFormatting sqref="AC49:AD49">
    <cfRule type="cellIs" dxfId="307" priority="2" operator="equal">
      <formula>0</formula>
    </cfRule>
  </conditionalFormatting>
  <conditionalFormatting sqref="AE49:AG49">
    <cfRule type="cellIs" dxfId="30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2" spans="1:17" ht="21">
      <c r="E2" s="275"/>
    </row>
    <row r="3" spans="1:17" ht="21">
      <c r="A3" s="273"/>
      <c r="C3" s="275" t="s">
        <v>376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1339</v>
      </c>
      <c r="D5" s="273"/>
      <c r="E5" s="273"/>
      <c r="F5" s="277">
        <f>'תקציב אגף בטחון פיקוח סד"צ 2020'!$U$9</f>
        <v>500000</v>
      </c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377</v>
      </c>
      <c r="D7" s="273"/>
      <c r="F7" s="285">
        <f>'תקציב אגף בטחון פיקוח סד"צ 2020'!$A$9</f>
        <v>3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6" t="s">
        <v>366</v>
      </c>
      <c r="E11" s="287" t="s">
        <v>367</v>
      </c>
      <c r="F11" s="288" t="s">
        <v>369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80" t="s">
        <v>14</v>
      </c>
      <c r="E12" s="301">
        <f>'תקציב אגף בטחון פיקוח סד"צ 2020'!$W$9</f>
        <v>500000</v>
      </c>
      <c r="F12" s="290">
        <f>E12/E13</f>
        <v>1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6.2" thickBot="1">
      <c r="C13" s="276"/>
      <c r="D13" s="283" t="s">
        <v>120</v>
      </c>
      <c r="E13" s="302">
        <f>SUM(E12)</f>
        <v>500000</v>
      </c>
      <c r="F13" s="163">
        <f>SUM(F12)</f>
        <v>1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B14" s="276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B15" s="276"/>
      <c r="C15" s="273"/>
      <c r="D15" s="273"/>
      <c r="F15" s="273"/>
      <c r="H15" s="282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B16" s="276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2:17" ht="15.6">
      <c r="B17" s="276" t="s">
        <v>227</v>
      </c>
      <c r="C17" s="273" t="s">
        <v>1340</v>
      </c>
      <c r="D17" s="273"/>
      <c r="F17" s="273"/>
      <c r="H17" s="282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2:17" ht="15.6">
      <c r="B18" s="276"/>
      <c r="C18" s="273"/>
      <c r="D18" s="273"/>
      <c r="F18" s="273"/>
      <c r="H18" s="282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2:17" ht="15.6">
      <c r="B19" s="276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0"/>
  <sheetViews>
    <sheetView showZeros="0" rightToLeft="1" tabSelected="1" zoomScaleNormal="100" workbookViewId="0">
      <pane xSplit="3" ySplit="4" topLeftCell="D5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4.77734375" style="191" customWidth="1"/>
    <col min="3" max="3" width="29.33203125" style="191" customWidth="1"/>
    <col min="4" max="6" width="9.109375" style="192" customWidth="1"/>
    <col min="7" max="11" width="9.109375" style="192" hidden="1" customWidth="1"/>
    <col min="12" max="15" width="9.109375" style="192" customWidth="1"/>
    <col min="16" max="19" width="9.109375" style="192" hidden="1" customWidth="1"/>
    <col min="20" max="20" width="9.109375" style="192" customWidth="1"/>
    <col min="21" max="21" width="9.109375" style="191" customWidth="1"/>
    <col min="22" max="22" width="9.109375" style="191" hidden="1" customWidth="1"/>
    <col min="23" max="23" width="9.109375" style="191" customWidth="1"/>
    <col min="24" max="26" width="9.109375" style="191" hidden="1" customWidth="1"/>
    <col min="27" max="27" width="43" style="333" customWidth="1"/>
    <col min="28" max="28" width="7.88671875" style="191" hidden="1" customWidth="1"/>
    <col min="29" max="29" width="9.33203125" style="330" customWidth="1"/>
    <col min="30" max="30" width="12.6640625" style="330" customWidth="1"/>
    <col min="31" max="31" width="9.5546875" style="330" customWidth="1"/>
    <col min="32" max="32" width="9.109375" style="191" customWidth="1"/>
    <col min="33" max="33" width="9.109375" style="191"/>
    <col min="34" max="34" width="27" style="342" customWidth="1"/>
    <col min="35" max="16384" width="9.109375" style="191"/>
  </cols>
  <sheetData>
    <row r="1" spans="1:34" s="331" customFormat="1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0"/>
      <c r="AC1" s="330"/>
      <c r="AD1" s="330"/>
      <c r="AE1" s="330"/>
      <c r="AH1" s="342"/>
    </row>
    <row r="2" spans="1:34">
      <c r="A2" s="329" t="s">
        <v>173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</row>
    <row r="4" spans="1:34" s="366" customFormat="1" ht="69">
      <c r="A4" s="221" t="s">
        <v>0</v>
      </c>
      <c r="B4" s="221" t="s">
        <v>1</v>
      </c>
      <c r="C4" s="221" t="s">
        <v>2</v>
      </c>
      <c r="D4" s="221" t="s">
        <v>3</v>
      </c>
      <c r="E4" s="221" t="s">
        <v>4</v>
      </c>
      <c r="F4" s="221" t="s">
        <v>5</v>
      </c>
      <c r="G4" s="221" t="s">
        <v>6</v>
      </c>
      <c r="H4" s="221" t="s">
        <v>7</v>
      </c>
      <c r="I4" s="221" t="s">
        <v>9</v>
      </c>
      <c r="J4" s="221" t="s">
        <v>215</v>
      </c>
      <c r="K4" s="221" t="s">
        <v>10</v>
      </c>
      <c r="L4" s="221" t="s">
        <v>11</v>
      </c>
      <c r="M4" s="10" t="s">
        <v>918</v>
      </c>
      <c r="N4" s="221" t="s">
        <v>919</v>
      </c>
      <c r="O4" s="221" t="s">
        <v>920</v>
      </c>
      <c r="P4" s="221" t="s">
        <v>12</v>
      </c>
      <c r="Q4" s="221" t="s">
        <v>925</v>
      </c>
      <c r="R4" s="221" t="s">
        <v>926</v>
      </c>
      <c r="S4" s="221" t="s">
        <v>927</v>
      </c>
      <c r="T4" s="221" t="s">
        <v>921</v>
      </c>
      <c r="U4" s="221" t="s">
        <v>922</v>
      </c>
      <c r="V4" s="221" t="s">
        <v>13</v>
      </c>
      <c r="W4" s="221" t="s">
        <v>14</v>
      </c>
      <c r="X4" s="221" t="s">
        <v>15</v>
      </c>
      <c r="Y4" s="221" t="s">
        <v>354</v>
      </c>
      <c r="Z4" s="221" t="s">
        <v>105</v>
      </c>
      <c r="AA4" s="18" t="s">
        <v>410</v>
      </c>
      <c r="AB4" s="221" t="s">
        <v>16</v>
      </c>
      <c r="AC4" s="330"/>
      <c r="AD4" s="330"/>
      <c r="AE4" s="330"/>
      <c r="AH4" s="342"/>
    </row>
    <row r="5" spans="1:34" s="202" customFormat="1" ht="18.75" customHeigh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340"/>
      <c r="AB5" s="198"/>
      <c r="AC5" s="330"/>
      <c r="AD5" s="330"/>
      <c r="AE5" s="330"/>
      <c r="AH5" s="342"/>
    </row>
    <row r="6" spans="1:34" s="202" customFormat="1" ht="35.1" customHeight="1">
      <c r="A6" s="198">
        <v>1</v>
      </c>
      <c r="B6" s="198">
        <v>1621</v>
      </c>
      <c r="C6" s="198" t="s">
        <v>66</v>
      </c>
      <c r="D6" s="199">
        <f>2800000+500000</f>
        <v>3300000</v>
      </c>
      <c r="E6" s="199">
        <v>2800000</v>
      </c>
      <c r="F6" s="199">
        <f>D6-E6</f>
        <v>500000</v>
      </c>
      <c r="G6" s="199">
        <v>2300000</v>
      </c>
      <c r="H6" s="199">
        <v>1782682.53</v>
      </c>
      <c r="I6" s="199"/>
      <c r="J6" s="199">
        <v>17296.46</v>
      </c>
      <c r="K6" s="199">
        <f>SUM(I6:J6)</f>
        <v>17296.46</v>
      </c>
      <c r="L6" s="199">
        <f>H6+K6</f>
        <v>1799978.99</v>
      </c>
      <c r="M6" s="199">
        <f>P6+S6-500000</f>
        <v>500021.01</v>
      </c>
      <c r="N6" s="199">
        <v>1000000</v>
      </c>
      <c r="O6" s="199">
        <f>D6-L6-M6-N6</f>
        <v>0</v>
      </c>
      <c r="P6" s="199">
        <f>G6-L6</f>
        <v>500021.01</v>
      </c>
      <c r="Q6" s="199"/>
      <c r="R6" s="199">
        <v>500000</v>
      </c>
      <c r="S6" s="199">
        <f>SUM(Q6:R6)</f>
        <v>500000</v>
      </c>
      <c r="T6" s="199">
        <f>P6-M6+S6</f>
        <v>500000</v>
      </c>
      <c r="U6" s="199">
        <f>N6-T6</f>
        <v>500000</v>
      </c>
      <c r="V6" s="199"/>
      <c r="W6" s="199">
        <f>U6-V6-Y6-Z6</f>
        <v>500000</v>
      </c>
      <c r="X6" s="199"/>
      <c r="Y6" s="199"/>
      <c r="Z6" s="198"/>
      <c r="AA6" s="341" t="s">
        <v>896</v>
      </c>
      <c r="AB6" s="198">
        <v>723000</v>
      </c>
      <c r="AC6" s="330"/>
      <c r="AD6" s="330"/>
      <c r="AE6" s="330"/>
      <c r="AG6" s="386"/>
      <c r="AH6" s="342"/>
    </row>
    <row r="7" spans="1:34" s="202" customFormat="1" ht="35.1" customHeight="1">
      <c r="A7" s="198">
        <f>1+A6</f>
        <v>2</v>
      </c>
      <c r="B7" s="198">
        <v>2005</v>
      </c>
      <c r="C7" s="198" t="s">
        <v>220</v>
      </c>
      <c r="D7" s="199">
        <f>300000+120000</f>
        <v>420000</v>
      </c>
      <c r="E7" s="199">
        <v>300000</v>
      </c>
      <c r="F7" s="199">
        <f>D7-E7</f>
        <v>120000</v>
      </c>
      <c r="G7" s="199">
        <v>300000</v>
      </c>
      <c r="H7" s="199">
        <v>268561.98</v>
      </c>
      <c r="I7" s="199"/>
      <c r="J7" s="199"/>
      <c r="K7" s="199">
        <f t="shared" ref="K7:K8" si="0">SUM(I7:J7)</f>
        <v>0</v>
      </c>
      <c r="L7" s="199">
        <f>H7+K7</f>
        <v>268561.98</v>
      </c>
      <c r="M7" s="199">
        <f>P7+S7</f>
        <v>151438.02000000002</v>
      </c>
      <c r="N7" s="199"/>
      <c r="O7" s="199">
        <f>D7-L7-M7-N7</f>
        <v>0</v>
      </c>
      <c r="P7" s="199">
        <f>G7-L7</f>
        <v>31438.020000000019</v>
      </c>
      <c r="Q7" s="199"/>
      <c r="R7" s="199">
        <v>120000</v>
      </c>
      <c r="S7" s="199">
        <f>SUM(Q7:R7)</f>
        <v>120000</v>
      </c>
      <c r="T7" s="199">
        <f>P7-M7+S7</f>
        <v>0</v>
      </c>
      <c r="U7" s="199">
        <f>N7-T7</f>
        <v>0</v>
      </c>
      <c r="V7" s="199"/>
      <c r="W7" s="199">
        <f>U7-V7-Y7-Z7</f>
        <v>0</v>
      </c>
      <c r="X7" s="199"/>
      <c r="Y7" s="199"/>
      <c r="Z7" s="198"/>
      <c r="AA7" s="341" t="s">
        <v>858</v>
      </c>
      <c r="AB7" s="198">
        <v>720000</v>
      </c>
      <c r="AC7" s="330"/>
      <c r="AD7" s="330"/>
      <c r="AE7" s="330"/>
      <c r="AG7" s="386"/>
      <c r="AH7" s="342"/>
    </row>
    <row r="8" spans="1:34" s="202" customFormat="1" ht="55.2">
      <c r="A8" s="198">
        <f>1+A7</f>
        <v>3</v>
      </c>
      <c r="B8" s="347">
        <v>2094</v>
      </c>
      <c r="C8" s="198" t="s">
        <v>523</v>
      </c>
      <c r="D8" s="199">
        <v>1000000</v>
      </c>
      <c r="E8" s="199">
        <v>1000000</v>
      </c>
      <c r="F8" s="199">
        <f>D8-E8</f>
        <v>0</v>
      </c>
      <c r="G8" s="199">
        <v>100000</v>
      </c>
      <c r="H8" s="199">
        <v>0</v>
      </c>
      <c r="I8" s="199"/>
      <c r="J8" s="199">
        <v>38610</v>
      </c>
      <c r="K8" s="199">
        <f t="shared" si="0"/>
        <v>38610</v>
      </c>
      <c r="L8" s="199">
        <f>H8+K8</f>
        <v>38610</v>
      </c>
      <c r="M8" s="199">
        <f>P8+S8</f>
        <v>961390</v>
      </c>
      <c r="N8" s="199"/>
      <c r="O8" s="199">
        <f>D8-L8-M8-N8</f>
        <v>0</v>
      </c>
      <c r="P8" s="199">
        <f>G8-L8</f>
        <v>61390</v>
      </c>
      <c r="Q8" s="199">
        <v>900000</v>
      </c>
      <c r="R8" s="199"/>
      <c r="S8" s="199">
        <f>SUM(Q8:R8)</f>
        <v>900000</v>
      </c>
      <c r="T8" s="199">
        <f>P8-M8+S8</f>
        <v>0</v>
      </c>
      <c r="U8" s="199">
        <f>N8-T8</f>
        <v>0</v>
      </c>
      <c r="V8" s="199"/>
      <c r="W8" s="199">
        <f>U8-V8-Y8-Z8</f>
        <v>0</v>
      </c>
      <c r="X8" s="199"/>
      <c r="Y8" s="199"/>
      <c r="Z8" s="198"/>
      <c r="AA8" s="341" t="s">
        <v>639</v>
      </c>
      <c r="AB8" s="198">
        <v>720000</v>
      </c>
      <c r="AC8" s="330"/>
      <c r="AD8" s="330"/>
      <c r="AE8" s="330"/>
      <c r="AH8" s="342"/>
    </row>
    <row r="9" spans="1:34" s="203" customFormat="1" ht="18.75" customHeight="1">
      <c r="A9" s="204">
        <f>A8</f>
        <v>3</v>
      </c>
      <c r="B9" s="204"/>
      <c r="C9" s="204" t="s">
        <v>686</v>
      </c>
      <c r="D9" s="206">
        <f t="shared" ref="D9:Z9" si="1">SUM(D6:D8)</f>
        <v>4720000</v>
      </c>
      <c r="E9" s="206">
        <f t="shared" si="1"/>
        <v>4100000</v>
      </c>
      <c r="F9" s="206">
        <f t="shared" si="1"/>
        <v>620000</v>
      </c>
      <c r="G9" s="206">
        <f t="shared" si="1"/>
        <v>2700000</v>
      </c>
      <c r="H9" s="206">
        <f t="shared" si="1"/>
        <v>2051244.51</v>
      </c>
      <c r="I9" s="206">
        <f t="shared" si="1"/>
        <v>0</v>
      </c>
      <c r="J9" s="206">
        <f t="shared" si="1"/>
        <v>55906.46</v>
      </c>
      <c r="K9" s="206">
        <f t="shared" si="1"/>
        <v>55906.46</v>
      </c>
      <c r="L9" s="206">
        <f t="shared" si="1"/>
        <v>2107150.9699999997</v>
      </c>
      <c r="M9" s="206">
        <f t="shared" si="1"/>
        <v>1612849.03</v>
      </c>
      <c r="N9" s="206">
        <f t="shared" si="1"/>
        <v>1000000</v>
      </c>
      <c r="O9" s="206">
        <f t="shared" si="1"/>
        <v>0</v>
      </c>
      <c r="P9" s="206">
        <f t="shared" si="1"/>
        <v>592849.03</v>
      </c>
      <c r="Q9" s="206">
        <f t="shared" si="1"/>
        <v>900000</v>
      </c>
      <c r="R9" s="206">
        <f t="shared" si="1"/>
        <v>620000</v>
      </c>
      <c r="S9" s="206">
        <f t="shared" si="1"/>
        <v>1520000</v>
      </c>
      <c r="T9" s="206">
        <f t="shared" si="1"/>
        <v>500000</v>
      </c>
      <c r="U9" s="206">
        <f t="shared" si="1"/>
        <v>500000</v>
      </c>
      <c r="V9" s="206">
        <f t="shared" si="1"/>
        <v>0</v>
      </c>
      <c r="W9" s="206">
        <f t="shared" si="1"/>
        <v>500000</v>
      </c>
      <c r="X9" s="206">
        <f t="shared" si="1"/>
        <v>0</v>
      </c>
      <c r="Y9" s="206">
        <f t="shared" si="1"/>
        <v>0</v>
      </c>
      <c r="Z9" s="206">
        <f t="shared" si="1"/>
        <v>0</v>
      </c>
      <c r="AA9" s="206"/>
      <c r="AB9" s="204"/>
      <c r="AC9" s="330"/>
      <c r="AD9" s="330"/>
      <c r="AE9" s="330"/>
      <c r="AG9" s="202"/>
      <c r="AH9" s="342"/>
    </row>
    <row r="10" spans="1:34" s="342" customFormat="1" hidden="1">
      <c r="B10" s="348"/>
      <c r="C10" s="348"/>
      <c r="D10" s="349"/>
      <c r="E10" s="349"/>
      <c r="F10" s="349"/>
      <c r="G10" s="349"/>
      <c r="H10" s="349"/>
      <c r="I10" s="349"/>
      <c r="J10" s="349"/>
      <c r="K10" s="349"/>
      <c r="L10" s="22">
        <f>H9+K9</f>
        <v>2107150.9700000002</v>
      </c>
      <c r="M10" s="22">
        <f>P9+S9-T9</f>
        <v>1612849.0300000003</v>
      </c>
      <c r="N10" s="46"/>
      <c r="O10" s="25"/>
      <c r="P10" s="22">
        <f>G9-L9</f>
        <v>592849.03000000026</v>
      </c>
      <c r="Q10" s="25"/>
      <c r="R10" s="25"/>
      <c r="S10" s="25"/>
      <c r="T10" s="25"/>
      <c r="U10" s="22">
        <f>N9-T9</f>
        <v>500000</v>
      </c>
      <c r="V10" s="47"/>
      <c r="W10" s="47"/>
      <c r="X10" s="47"/>
      <c r="Y10" s="47"/>
      <c r="Z10" s="47"/>
      <c r="AA10" s="333"/>
      <c r="AC10" s="330"/>
      <c r="AD10" s="330"/>
      <c r="AE10" s="330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0"/>
  <sheetViews>
    <sheetView showZeros="0" rightToLeft="1" zoomScaleNormal="100" workbookViewId="0">
      <pane xSplit="3" ySplit="4" topLeftCell="D5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U12" sqref="U12"/>
    </sheetView>
  </sheetViews>
  <sheetFormatPr defaultColWidth="9.109375" defaultRowHeight="18"/>
  <cols>
    <col min="1" max="1" width="4.5546875" style="333" customWidth="1"/>
    <col min="2" max="2" width="5.44140625" style="191" customWidth="1"/>
    <col min="3" max="3" width="29.33203125" style="191" customWidth="1"/>
    <col min="4" max="4" width="9.44140625" style="192" customWidth="1"/>
    <col min="5" max="5" width="11" style="192" hidden="1" customWidth="1"/>
    <col min="6" max="6" width="9" style="192" hidden="1" customWidth="1"/>
    <col min="7" max="10" width="12.6640625" style="192" hidden="1" customWidth="1"/>
    <col min="11" max="11" width="11.33203125" style="192" hidden="1" customWidth="1"/>
    <col min="12" max="12" width="9.33203125" style="192" customWidth="1"/>
    <col min="13" max="13" width="8.109375" style="192" bestFit="1" customWidth="1"/>
    <col min="14" max="15" width="9.109375" style="192" customWidth="1"/>
    <col min="16" max="17" width="11.109375" style="192" hidden="1" customWidth="1"/>
    <col min="18" max="19" width="12" style="192" hidden="1" customWidth="1"/>
    <col min="20" max="20" width="6.88671875" style="192" customWidth="1"/>
    <col min="21" max="21" width="9.44140625" style="191" customWidth="1"/>
    <col min="22" max="22" width="7.5546875" style="191" customWidth="1"/>
    <col min="23" max="23" width="10.109375" style="191" customWidth="1"/>
    <col min="24" max="24" width="5.6640625" style="191" hidden="1" customWidth="1"/>
    <col min="25" max="25" width="5.5546875" style="191" hidden="1" customWidth="1"/>
    <col min="26" max="26" width="6.5546875" style="191" customWidth="1"/>
    <col min="27" max="27" width="43" style="335" hidden="1" customWidth="1"/>
    <col min="28" max="28" width="7.88671875" style="191" customWidth="1"/>
    <col min="29" max="29" width="9.33203125" style="330" customWidth="1"/>
    <col min="30" max="30" width="12.6640625" style="330" customWidth="1"/>
    <col min="31" max="31" width="9.5546875" style="330" customWidth="1"/>
    <col min="32" max="32" width="9.109375" style="191" customWidth="1"/>
    <col min="33" max="33" width="9.109375" style="191"/>
    <col min="34" max="34" width="27" style="342" customWidth="1"/>
    <col min="35" max="16384" width="9.109375" style="191"/>
  </cols>
  <sheetData>
    <row r="1" spans="1:34" s="331" customFormat="1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6"/>
      <c r="AC1" s="330"/>
      <c r="AD1" s="330"/>
      <c r="AE1" s="330"/>
      <c r="AH1" s="342"/>
    </row>
    <row r="2" spans="1:34">
      <c r="A2" s="329" t="s">
        <v>173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</row>
    <row r="4" spans="1:34" s="366" customFormat="1" ht="69">
      <c r="A4" s="221" t="s">
        <v>0</v>
      </c>
      <c r="B4" s="221" t="s">
        <v>1</v>
      </c>
      <c r="C4" s="221" t="s">
        <v>2</v>
      </c>
      <c r="D4" s="221" t="s">
        <v>3</v>
      </c>
      <c r="E4" s="221" t="s">
        <v>4</v>
      </c>
      <c r="F4" s="221" t="s">
        <v>5</v>
      </c>
      <c r="G4" s="221" t="s">
        <v>6</v>
      </c>
      <c r="H4" s="221" t="s">
        <v>7</v>
      </c>
      <c r="I4" s="221" t="s">
        <v>9</v>
      </c>
      <c r="J4" s="221" t="s">
        <v>215</v>
      </c>
      <c r="K4" s="221" t="s">
        <v>10</v>
      </c>
      <c r="L4" s="221" t="s">
        <v>11</v>
      </c>
      <c r="M4" s="10" t="s">
        <v>918</v>
      </c>
      <c r="N4" s="221" t="s">
        <v>919</v>
      </c>
      <c r="O4" s="221" t="s">
        <v>920</v>
      </c>
      <c r="P4" s="221" t="s">
        <v>12</v>
      </c>
      <c r="Q4" s="221" t="s">
        <v>925</v>
      </c>
      <c r="R4" s="221" t="s">
        <v>926</v>
      </c>
      <c r="S4" s="221" t="s">
        <v>927</v>
      </c>
      <c r="T4" s="221" t="s">
        <v>921</v>
      </c>
      <c r="U4" s="221" t="s">
        <v>922</v>
      </c>
      <c r="V4" s="221" t="s">
        <v>13</v>
      </c>
      <c r="W4" s="221" t="s">
        <v>14</v>
      </c>
      <c r="X4" s="221" t="s">
        <v>15</v>
      </c>
      <c r="Y4" s="221" t="s">
        <v>354</v>
      </c>
      <c r="Z4" s="221" t="s">
        <v>105</v>
      </c>
      <c r="AA4" s="18" t="s">
        <v>410</v>
      </c>
      <c r="AB4" s="221" t="s">
        <v>16</v>
      </c>
      <c r="AC4" s="330"/>
      <c r="AD4" s="330"/>
      <c r="AE4" s="330"/>
      <c r="AH4" s="342"/>
    </row>
    <row r="5" spans="1:34" s="202" customFormat="1" ht="18.75" customHeigh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466"/>
      <c r="AB5" s="198"/>
      <c r="AC5" s="330"/>
      <c r="AD5" s="330"/>
      <c r="AE5" s="330"/>
      <c r="AH5" s="342"/>
    </row>
    <row r="6" spans="1:34" s="202" customFormat="1" ht="35.1" customHeight="1">
      <c r="A6" s="198">
        <v>1</v>
      </c>
      <c r="B6" s="198">
        <v>1621</v>
      </c>
      <c r="C6" s="198" t="s">
        <v>66</v>
      </c>
      <c r="D6" s="199">
        <f>'תקציב אגף בטחון פיקוח סד"צ 2020'!D6</f>
        <v>3300000</v>
      </c>
      <c r="E6" s="199">
        <f>'תקציב אגף בטחון פיקוח סד"צ 2020'!E6</f>
        <v>2800000</v>
      </c>
      <c r="F6" s="199">
        <f>'תקציב אגף בטחון פיקוח סד"צ 2020'!F6</f>
        <v>500000</v>
      </c>
      <c r="G6" s="199">
        <f>'תקציב אגף בטחון פיקוח סד"צ 2020'!G6</f>
        <v>2300000</v>
      </c>
      <c r="H6" s="199">
        <f>'תקציב אגף בטחון פיקוח סד"צ 2020'!H6</f>
        <v>1782682.53</v>
      </c>
      <c r="I6" s="199">
        <f>'תקציב אגף בטחון פיקוח סד"צ 2020'!I6</f>
        <v>0</v>
      </c>
      <c r="J6" s="199">
        <f>'תקציב אגף בטחון פיקוח סד"צ 2020'!J6</f>
        <v>17296.46</v>
      </c>
      <c r="K6" s="199">
        <f>'תקציב אגף בטחון פיקוח סד"צ 2020'!K6</f>
        <v>17296.46</v>
      </c>
      <c r="L6" s="199">
        <f>'תקציב אגף בטחון פיקוח סד"צ 2020'!L6</f>
        <v>1799978.99</v>
      </c>
      <c r="M6" s="199">
        <f>'תקציב אגף בטחון פיקוח סד"צ 2020'!M6</f>
        <v>500021.01</v>
      </c>
      <c r="N6" s="199">
        <f>'תקציב אגף בטחון פיקוח סד"צ 2020'!N6</f>
        <v>1000000</v>
      </c>
      <c r="O6" s="199">
        <f>'תקציב אגף בטחון פיקוח סד"צ 2020'!O6</f>
        <v>0</v>
      </c>
      <c r="P6" s="199">
        <f>'תקציב אגף בטחון פיקוח סד"צ 2020'!P6</f>
        <v>500021.01</v>
      </c>
      <c r="Q6" s="199">
        <f>'תקציב אגף בטחון פיקוח סד"צ 2020'!Q6</f>
        <v>0</v>
      </c>
      <c r="R6" s="199">
        <f>'תקציב אגף בטחון פיקוח סד"צ 2020'!R6</f>
        <v>500000</v>
      </c>
      <c r="S6" s="199">
        <f>'תקציב אגף בטחון פיקוח סד"צ 2020'!S6</f>
        <v>500000</v>
      </c>
      <c r="T6" s="199">
        <f>'תקציב אגף בטחון פיקוח סד"צ 2020'!T6</f>
        <v>500000</v>
      </c>
      <c r="U6" s="199">
        <f>'תקציב אגף בטחון פיקוח סד"צ 2020'!U6</f>
        <v>500000</v>
      </c>
      <c r="V6" s="199">
        <f>'תקציב אגף בטחון פיקוח סד"צ 2020'!V6</f>
        <v>0</v>
      </c>
      <c r="W6" s="199">
        <f>'תקציב אגף בטחון פיקוח סד"צ 2020'!W6</f>
        <v>500000</v>
      </c>
      <c r="X6" s="199">
        <f>'תקציב אגף בטחון פיקוח סד"צ 2020'!X6</f>
        <v>0</v>
      </c>
      <c r="Y6" s="199">
        <f>'תקציב אגף בטחון פיקוח סד"צ 2020'!Y6</f>
        <v>0</v>
      </c>
      <c r="Z6" s="199">
        <f>'תקציב אגף בטחון פיקוח סד"צ 2020'!Z6</f>
        <v>0</v>
      </c>
      <c r="AA6" s="341" t="str">
        <f>'תקציב אגף בטחון פיקוח סד"צ 2020'!AA6</f>
        <v>סל עבודות איטום מקלטים  עפ"י תוכנית.</v>
      </c>
      <c r="AB6" s="707">
        <f>'תקציב אגף בטחון פיקוח סד"צ 2020'!AB6</f>
        <v>723000</v>
      </c>
      <c r="AC6" s="330"/>
      <c r="AD6" s="330"/>
      <c r="AE6" s="330"/>
      <c r="AG6" s="386"/>
      <c r="AH6" s="342"/>
    </row>
    <row r="7" spans="1:34" s="202" customFormat="1" ht="35.1" customHeight="1">
      <c r="A7" s="198">
        <f>1+A6</f>
        <v>2</v>
      </c>
      <c r="B7" s="198">
        <v>2005</v>
      </c>
      <c r="C7" s="198" t="s">
        <v>220</v>
      </c>
      <c r="D7" s="199">
        <f>'תקציב אגף בטחון פיקוח סד"צ 2020'!D7</f>
        <v>420000</v>
      </c>
      <c r="E7" s="199">
        <f>'תקציב אגף בטחון פיקוח סד"צ 2020'!E7</f>
        <v>300000</v>
      </c>
      <c r="F7" s="199">
        <f>'תקציב אגף בטחון פיקוח סד"צ 2020'!F7</f>
        <v>120000</v>
      </c>
      <c r="G7" s="199">
        <f>'תקציב אגף בטחון פיקוח סד"צ 2020'!G7</f>
        <v>300000</v>
      </c>
      <c r="H7" s="199">
        <f>'תקציב אגף בטחון פיקוח סד"צ 2020'!H7</f>
        <v>268561.98</v>
      </c>
      <c r="I7" s="199">
        <f>'תקציב אגף בטחון פיקוח סד"צ 2020'!I7</f>
        <v>0</v>
      </c>
      <c r="J7" s="199">
        <f>'תקציב אגף בטחון פיקוח סד"צ 2020'!J7</f>
        <v>0</v>
      </c>
      <c r="K7" s="199">
        <f>'תקציב אגף בטחון פיקוח סד"צ 2020'!K7</f>
        <v>0</v>
      </c>
      <c r="L7" s="199">
        <f>'תקציב אגף בטחון פיקוח סד"צ 2020'!L7</f>
        <v>268561.98</v>
      </c>
      <c r="M7" s="199">
        <f>'תקציב אגף בטחון פיקוח סד"צ 2020'!M7</f>
        <v>151438.02000000002</v>
      </c>
      <c r="N7" s="199">
        <f>'תקציב אגף בטחון פיקוח סד"צ 2020'!N7</f>
        <v>0</v>
      </c>
      <c r="O7" s="199">
        <f>'תקציב אגף בטחון פיקוח סד"צ 2020'!O7</f>
        <v>0</v>
      </c>
      <c r="P7" s="199">
        <f>'תקציב אגף בטחון פיקוח סד"צ 2020'!P7</f>
        <v>31438.020000000019</v>
      </c>
      <c r="Q7" s="199">
        <f>'תקציב אגף בטחון פיקוח סד"צ 2020'!Q7</f>
        <v>0</v>
      </c>
      <c r="R7" s="199">
        <f>'תקציב אגף בטחון פיקוח סד"צ 2020'!R7</f>
        <v>120000</v>
      </c>
      <c r="S7" s="199">
        <f>'תקציב אגף בטחון פיקוח סד"צ 2020'!S7</f>
        <v>120000</v>
      </c>
      <c r="T7" s="199">
        <f>'תקציב אגף בטחון פיקוח סד"צ 2020'!T7</f>
        <v>0</v>
      </c>
      <c r="U7" s="199">
        <f>'תקציב אגף בטחון פיקוח סד"צ 2020'!U7</f>
        <v>0</v>
      </c>
      <c r="V7" s="199">
        <f>'תקציב אגף בטחון פיקוח סד"צ 2020'!V7</f>
        <v>0</v>
      </c>
      <c r="W7" s="199">
        <f>'תקציב אגף בטחון פיקוח סד"צ 2020'!W7</f>
        <v>0</v>
      </c>
      <c r="X7" s="199">
        <f>'תקציב אגף בטחון פיקוח סד"צ 2020'!X7</f>
        <v>0</v>
      </c>
      <c r="Y7" s="199">
        <f>'תקציב אגף בטחון פיקוח סד"צ 2020'!Y7</f>
        <v>0</v>
      </c>
      <c r="Z7" s="199">
        <f>'תקציב אגף בטחון פיקוח סד"צ 2020'!Z7</f>
        <v>0</v>
      </c>
      <c r="AA7" s="341" t="str">
        <f>'תקציב אגף בטחון פיקוח סד"צ 2020'!AA7</f>
        <v>סל להקמת מערכות בטחוניות.</v>
      </c>
      <c r="AB7" s="707">
        <f>'תקציב אגף בטחון פיקוח סד"צ 2020'!AB7</f>
        <v>720000</v>
      </c>
      <c r="AC7" s="330"/>
      <c r="AD7" s="330"/>
      <c r="AE7" s="330"/>
      <c r="AG7" s="386"/>
      <c r="AH7" s="342"/>
    </row>
    <row r="8" spans="1:34" s="202" customFormat="1" ht="55.2">
      <c r="A8" s="198">
        <f>1+A7</f>
        <v>3</v>
      </c>
      <c r="B8" s="347">
        <v>2094</v>
      </c>
      <c r="C8" s="198" t="s">
        <v>523</v>
      </c>
      <c r="D8" s="199">
        <f>'תקציב אגף בטחון פיקוח סד"צ 2020'!D8</f>
        <v>1000000</v>
      </c>
      <c r="E8" s="199">
        <f>'תקציב אגף בטחון פיקוח סד"צ 2020'!E8</f>
        <v>1000000</v>
      </c>
      <c r="F8" s="199">
        <f>'תקציב אגף בטחון פיקוח סד"צ 2020'!F8</f>
        <v>0</v>
      </c>
      <c r="G8" s="199">
        <f>'תקציב אגף בטחון פיקוח סד"צ 2020'!G8</f>
        <v>100000</v>
      </c>
      <c r="H8" s="199">
        <f>'תקציב אגף בטחון פיקוח סד"צ 2020'!H8</f>
        <v>0</v>
      </c>
      <c r="I8" s="199">
        <f>'תקציב אגף בטחון פיקוח סד"צ 2020'!I8</f>
        <v>0</v>
      </c>
      <c r="J8" s="199">
        <f>'תקציב אגף בטחון פיקוח סד"צ 2020'!J8</f>
        <v>38610</v>
      </c>
      <c r="K8" s="199">
        <f>'תקציב אגף בטחון פיקוח סד"צ 2020'!K8</f>
        <v>38610</v>
      </c>
      <c r="L8" s="199">
        <f>'תקציב אגף בטחון פיקוח סד"צ 2020'!L8</f>
        <v>38610</v>
      </c>
      <c r="M8" s="199">
        <f>'תקציב אגף בטחון פיקוח סד"צ 2020'!M8</f>
        <v>961390</v>
      </c>
      <c r="N8" s="199">
        <f>'תקציב אגף בטחון פיקוח סד"צ 2020'!N8</f>
        <v>0</v>
      </c>
      <c r="O8" s="199">
        <f>'תקציב אגף בטחון פיקוח סד"צ 2020'!O8</f>
        <v>0</v>
      </c>
      <c r="P8" s="199">
        <f>'תקציב אגף בטחון פיקוח סד"צ 2020'!P8</f>
        <v>61390</v>
      </c>
      <c r="Q8" s="199">
        <f>'תקציב אגף בטחון פיקוח סד"צ 2020'!Q8</f>
        <v>900000</v>
      </c>
      <c r="R8" s="199">
        <f>'תקציב אגף בטחון פיקוח סד"צ 2020'!R8</f>
        <v>0</v>
      </c>
      <c r="S8" s="199">
        <f>'תקציב אגף בטחון פיקוח סד"צ 2020'!S8</f>
        <v>900000</v>
      </c>
      <c r="T8" s="199">
        <f>'תקציב אגף בטחון פיקוח סד"צ 2020'!T8</f>
        <v>0</v>
      </c>
      <c r="U8" s="199">
        <f>'תקציב אגף בטחון פיקוח סד"צ 2020'!U8</f>
        <v>0</v>
      </c>
      <c r="V8" s="199">
        <f>'תקציב אגף בטחון פיקוח סד"צ 2020'!V8</f>
        <v>0</v>
      </c>
      <c r="W8" s="199">
        <f>'תקציב אגף בטחון פיקוח סד"צ 2020'!W8</f>
        <v>0</v>
      </c>
      <c r="X8" s="199">
        <f>'תקציב אגף בטחון פיקוח סד"צ 2020'!X8</f>
        <v>0</v>
      </c>
      <c r="Y8" s="199">
        <f>'תקציב אגף בטחון פיקוח סד"צ 2020'!Y8</f>
        <v>0</v>
      </c>
      <c r="Z8" s="199">
        <f>'תקציב אגף בטחון פיקוח סד"צ 2020'!Z8</f>
        <v>0</v>
      </c>
      <c r="AA8" s="341" t="str">
        <f>'תקציב אגף בטחון פיקוח סד"צ 2020'!AA8</f>
        <v>משרד נייד (רכב)  הכולל :
מרכז תקשורת רב ערוצית ,תורן תקשורת טלסקופי,עמדת מחשב,קיר תדרוך,עזרים שונים , בלון תאורה להארה של זירת ארוע ,מיזוג אויר,תאורה,מרכז אנרגיה.</v>
      </c>
      <c r="AB8" s="707">
        <f>'תקציב אגף בטחון פיקוח סד"צ 2020'!AB8</f>
        <v>720000</v>
      </c>
      <c r="AC8" s="330"/>
      <c r="AD8" s="330"/>
      <c r="AE8" s="330"/>
      <c r="AH8" s="342"/>
    </row>
    <row r="9" spans="1:34" s="203" customFormat="1" ht="18.75" customHeight="1">
      <c r="A9" s="204">
        <f>A8</f>
        <v>3</v>
      </c>
      <c r="B9" s="204"/>
      <c r="C9" s="204" t="s">
        <v>698</v>
      </c>
      <c r="D9" s="206">
        <f t="shared" ref="D9:Z9" si="0">SUM(D6:D8)</f>
        <v>4720000</v>
      </c>
      <c r="E9" s="206">
        <f t="shared" si="0"/>
        <v>4100000</v>
      </c>
      <c r="F9" s="206">
        <f t="shared" si="0"/>
        <v>620000</v>
      </c>
      <c r="G9" s="206">
        <f t="shared" si="0"/>
        <v>2700000</v>
      </c>
      <c r="H9" s="206">
        <f t="shared" si="0"/>
        <v>2051244.51</v>
      </c>
      <c r="I9" s="206">
        <f t="shared" si="0"/>
        <v>0</v>
      </c>
      <c r="J9" s="206">
        <f t="shared" si="0"/>
        <v>55906.46</v>
      </c>
      <c r="K9" s="206">
        <f t="shared" si="0"/>
        <v>55906.46</v>
      </c>
      <c r="L9" s="206">
        <f t="shared" si="0"/>
        <v>2107150.9699999997</v>
      </c>
      <c r="M9" s="206">
        <f t="shared" si="0"/>
        <v>1612849.03</v>
      </c>
      <c r="N9" s="206">
        <f t="shared" si="0"/>
        <v>1000000</v>
      </c>
      <c r="O9" s="206">
        <f t="shared" si="0"/>
        <v>0</v>
      </c>
      <c r="P9" s="206">
        <f t="shared" si="0"/>
        <v>592849.03</v>
      </c>
      <c r="Q9" s="206">
        <f t="shared" si="0"/>
        <v>900000</v>
      </c>
      <c r="R9" s="206">
        <f t="shared" si="0"/>
        <v>620000</v>
      </c>
      <c r="S9" s="206">
        <f t="shared" si="0"/>
        <v>1520000</v>
      </c>
      <c r="T9" s="206">
        <f t="shared" si="0"/>
        <v>500000</v>
      </c>
      <c r="U9" s="206">
        <f t="shared" si="0"/>
        <v>500000</v>
      </c>
      <c r="V9" s="206">
        <f t="shared" si="0"/>
        <v>0</v>
      </c>
      <c r="W9" s="206">
        <f t="shared" si="0"/>
        <v>500000</v>
      </c>
      <c r="X9" s="206">
        <f t="shared" si="0"/>
        <v>0</v>
      </c>
      <c r="Y9" s="206">
        <f t="shared" si="0"/>
        <v>0</v>
      </c>
      <c r="Z9" s="206">
        <f t="shared" si="0"/>
        <v>0</v>
      </c>
      <c r="AA9" s="194"/>
      <c r="AB9" s="204"/>
      <c r="AC9" s="330"/>
      <c r="AD9" s="330"/>
      <c r="AE9" s="330"/>
      <c r="AG9" s="202"/>
      <c r="AH9" s="342"/>
    </row>
    <row r="10" spans="1:34" s="342" customFormat="1" hidden="1">
      <c r="B10" s="348"/>
      <c r="C10" s="348"/>
      <c r="D10" s="349"/>
      <c r="E10" s="349"/>
      <c r="F10" s="349"/>
      <c r="G10" s="349"/>
      <c r="H10" s="349"/>
      <c r="I10" s="349"/>
      <c r="J10" s="349"/>
      <c r="K10" s="349"/>
      <c r="L10" s="22">
        <f>H9+K9</f>
        <v>2107150.9700000002</v>
      </c>
      <c r="M10" s="22">
        <f>P9+S9-T9</f>
        <v>1612849.0300000003</v>
      </c>
      <c r="N10" s="46"/>
      <c r="O10" s="25"/>
      <c r="P10" s="22">
        <f>G9-L9</f>
        <v>592849.03000000026</v>
      </c>
      <c r="Q10" s="25"/>
      <c r="R10" s="25"/>
      <c r="S10" s="25"/>
      <c r="T10" s="25"/>
      <c r="U10" s="22">
        <f>N9-T9</f>
        <v>500000</v>
      </c>
      <c r="V10" s="47"/>
      <c r="W10" s="47"/>
      <c r="X10" s="47"/>
      <c r="Y10" s="47"/>
      <c r="Z10" s="47"/>
      <c r="AA10" s="335"/>
      <c r="AC10" s="330"/>
      <c r="AD10" s="330"/>
      <c r="AE10" s="330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378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1339</v>
      </c>
      <c r="D5" s="273"/>
      <c r="E5" s="273"/>
      <c r="F5" s="277">
        <f>'תקציב אגף חינוך 2020'!$U$28</f>
        <v>4995000</v>
      </c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377</v>
      </c>
      <c r="D7" s="273"/>
      <c r="F7" s="277">
        <f>'תקציב אגף חינוך 2020'!$A$28</f>
        <v>22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6" t="s">
        <v>366</v>
      </c>
      <c r="E11" s="287" t="s">
        <v>367</v>
      </c>
      <c r="F11" s="288" t="s">
        <v>369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C12" s="276"/>
      <c r="D12" s="280" t="s">
        <v>14</v>
      </c>
      <c r="E12" s="289">
        <f>'תקציב אגף חינוך 2020'!$W$28</f>
        <v>4917000</v>
      </c>
      <c r="F12" s="297">
        <f>E12/$E$14</f>
        <v>0.98438438438438436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276"/>
      <c r="D13" s="280" t="s">
        <v>105</v>
      </c>
      <c r="E13" s="289">
        <f>'תקציב אגף חינוך 2020'!$Z$28</f>
        <v>78000</v>
      </c>
      <c r="F13" s="297">
        <f>E13/$E$14</f>
        <v>1.5615615615615615E-2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6.2" thickBot="1">
      <c r="C14" s="276"/>
      <c r="D14" s="283" t="s">
        <v>120</v>
      </c>
      <c r="E14" s="432">
        <f>SUM(E12:E13)</f>
        <v>4995000</v>
      </c>
      <c r="F14" s="433">
        <f>SUM(F12:F13)</f>
        <v>1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79"/>
      <c r="E15" s="312"/>
      <c r="F15" s="31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B16" s="276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5.6">
      <c r="B17" s="276"/>
      <c r="C17" s="273"/>
      <c r="D17" s="273"/>
      <c r="F17" s="273"/>
      <c r="H17" s="282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5.6">
      <c r="B18" s="276" t="s">
        <v>227</v>
      </c>
      <c r="C18" s="273" t="s">
        <v>1341</v>
      </c>
      <c r="D18" s="273"/>
      <c r="F18" s="273"/>
      <c r="H18" s="282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B19" s="276"/>
      <c r="C19" s="273" t="s">
        <v>859</v>
      </c>
      <c r="D19" s="273"/>
      <c r="F19" s="273"/>
      <c r="H19" s="282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1:17" ht="15.6">
      <c r="B20" s="276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1:17" s="418" customFormat="1" ht="15.6">
      <c r="C21" s="420"/>
      <c r="D21" s="417"/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</row>
    <row r="22" spans="1:17" s="418" customFormat="1" ht="15.6">
      <c r="A22" s="417"/>
      <c r="B22" s="417"/>
      <c r="C22" s="417"/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</row>
    <row r="23" spans="1:17" s="418" customFormat="1" ht="15.6">
      <c r="A23" s="417"/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showZeros="0" rightToLeft="1" tabSelected="1" zoomScaleNormal="100" workbookViewId="0">
      <pane xSplit="3" ySplit="4" topLeftCell="D24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8.88671875" defaultRowHeight="13.8"/>
  <cols>
    <col min="1" max="1" width="3.33203125" style="655" customWidth="1"/>
    <col min="2" max="2" width="4.77734375" style="655" customWidth="1"/>
    <col min="3" max="3" width="25.6640625" style="656" customWidth="1"/>
    <col min="4" max="4" width="9.109375" style="16" customWidth="1"/>
    <col min="5" max="6" width="9.109375" style="657" customWidth="1"/>
    <col min="7" max="11" width="9.109375" style="657" hidden="1" customWidth="1"/>
    <col min="12" max="13" width="9.109375" style="657" customWidth="1"/>
    <col min="14" max="14" width="9.109375" style="16" customWidth="1"/>
    <col min="15" max="15" width="9.109375" style="657" customWidth="1"/>
    <col min="16" max="19" width="9.109375" style="657" hidden="1" customWidth="1"/>
    <col min="20" max="20" width="9.109375" style="657" customWidth="1"/>
    <col min="21" max="21" width="9.109375" style="655" customWidth="1"/>
    <col min="22" max="22" width="9.109375" style="655" hidden="1" customWidth="1"/>
    <col min="23" max="23" width="9.109375" style="655" customWidth="1"/>
    <col min="24" max="25" width="9.109375" style="655" hidden="1" customWidth="1"/>
    <col min="26" max="26" width="9.109375" style="655" customWidth="1"/>
    <col min="27" max="27" width="28.33203125" style="656" customWidth="1"/>
    <col min="28" max="28" width="7.6640625" style="655" hidden="1" customWidth="1"/>
    <col min="29" max="29" width="19.109375" style="633" customWidth="1"/>
    <col min="30" max="30" width="9.88671875" style="634" customWidth="1"/>
    <col min="31" max="31" width="9.109375" style="634" customWidth="1"/>
    <col min="32" max="32" width="13" style="634" customWidth="1"/>
    <col min="33" max="33" width="19.109375" style="655" customWidth="1"/>
    <col min="34" max="35" width="8.88671875" style="655" customWidth="1"/>
    <col min="36" max="16384" width="8.88671875" style="655"/>
  </cols>
  <sheetData>
    <row r="1" spans="1:35" s="643" customFormat="1" ht="13.2" customHeight="1">
      <c r="A1" s="637"/>
      <c r="B1" s="637"/>
      <c r="C1" s="638"/>
      <c r="D1" s="639"/>
      <c r="E1" s="637"/>
      <c r="F1" s="637"/>
      <c r="G1" s="637"/>
      <c r="H1" s="637"/>
      <c r="I1" s="637"/>
      <c r="J1" s="637"/>
      <c r="K1" s="637"/>
      <c r="L1" s="637"/>
      <c r="M1" s="637"/>
      <c r="N1" s="639"/>
      <c r="O1" s="637"/>
      <c r="P1" s="637"/>
      <c r="Q1" s="637"/>
      <c r="R1" s="637"/>
      <c r="S1" s="637"/>
      <c r="T1" s="637"/>
      <c r="U1" s="637"/>
      <c r="V1" s="637"/>
      <c r="W1" s="637"/>
      <c r="X1" s="640"/>
      <c r="Y1" s="640"/>
      <c r="Z1" s="641"/>
      <c r="AA1" s="642"/>
      <c r="AB1" s="641"/>
      <c r="AC1" s="633"/>
      <c r="AD1" s="634"/>
      <c r="AE1" s="634"/>
      <c r="AF1" s="634"/>
      <c r="AG1" s="641"/>
      <c r="AH1" s="641"/>
      <c r="AI1" s="641"/>
    </row>
    <row r="2" spans="1:35" s="643" customFormat="1" ht="18">
      <c r="A2" s="637" t="s">
        <v>378</v>
      </c>
      <c r="B2" s="637"/>
      <c r="C2" s="638"/>
      <c r="D2" s="639"/>
      <c r="E2" s="637"/>
      <c r="F2" s="637"/>
      <c r="G2" s="637"/>
      <c r="H2" s="637"/>
      <c r="I2" s="637"/>
      <c r="J2" s="637"/>
      <c r="K2" s="637"/>
      <c r="L2" s="637"/>
      <c r="M2" s="637"/>
      <c r="N2" s="639"/>
      <c r="O2" s="637"/>
      <c r="P2" s="637"/>
      <c r="Q2" s="637"/>
      <c r="R2" s="637"/>
      <c r="S2" s="637"/>
      <c r="T2" s="637"/>
      <c r="U2" s="637"/>
      <c r="V2" s="637"/>
      <c r="W2" s="637"/>
      <c r="X2" s="634"/>
      <c r="Y2" s="634"/>
      <c r="Z2" s="634"/>
      <c r="AA2" s="633"/>
      <c r="AB2" s="634"/>
      <c r="AC2" s="633"/>
      <c r="AD2" s="634"/>
      <c r="AE2" s="634"/>
      <c r="AF2" s="634"/>
      <c r="AG2" s="634"/>
      <c r="AH2" s="634"/>
      <c r="AI2" s="634"/>
    </row>
    <row r="3" spans="1:35" ht="20.399999999999999" customHeight="1"/>
    <row r="4" spans="1:35" s="646" customFormat="1" ht="86.25" customHeight="1">
      <c r="A4" s="187" t="s">
        <v>0</v>
      </c>
      <c r="B4" s="644" t="s">
        <v>1</v>
      </c>
      <c r="C4" s="644" t="s">
        <v>2</v>
      </c>
      <c r="D4" s="18" t="s">
        <v>3</v>
      </c>
      <c r="E4" s="644" t="s">
        <v>4</v>
      </c>
      <c r="F4" s="644" t="s">
        <v>5</v>
      </c>
      <c r="G4" s="644" t="s">
        <v>6</v>
      </c>
      <c r="H4" s="644" t="s">
        <v>7</v>
      </c>
      <c r="I4" s="644" t="s">
        <v>9</v>
      </c>
      <c r="J4" s="644" t="s">
        <v>215</v>
      </c>
      <c r="K4" s="644" t="s">
        <v>10</v>
      </c>
      <c r="L4" s="644" t="s">
        <v>11</v>
      </c>
      <c r="M4" s="2" t="s">
        <v>918</v>
      </c>
      <c r="N4" s="18" t="s">
        <v>919</v>
      </c>
      <c r="O4" s="644" t="s">
        <v>920</v>
      </c>
      <c r="P4" s="644" t="s">
        <v>12</v>
      </c>
      <c r="Q4" s="644" t="s">
        <v>925</v>
      </c>
      <c r="R4" s="644" t="s">
        <v>926</v>
      </c>
      <c r="S4" s="644" t="s">
        <v>927</v>
      </c>
      <c r="T4" s="644" t="s">
        <v>921</v>
      </c>
      <c r="U4" s="644" t="s">
        <v>922</v>
      </c>
      <c r="V4" s="644" t="s">
        <v>13</v>
      </c>
      <c r="W4" s="644" t="s">
        <v>14</v>
      </c>
      <c r="X4" s="644" t="s">
        <v>15</v>
      </c>
      <c r="Y4" s="644" t="s">
        <v>354</v>
      </c>
      <c r="Z4" s="644" t="s">
        <v>105</v>
      </c>
      <c r="AA4" s="645" t="s">
        <v>410</v>
      </c>
      <c r="AB4" s="644" t="s">
        <v>16</v>
      </c>
      <c r="AC4" s="633"/>
      <c r="AD4" s="634"/>
      <c r="AE4" s="634"/>
      <c r="AF4" s="634"/>
      <c r="AG4" s="634"/>
    </row>
    <row r="5" spans="1:35" s="649" customFormat="1" ht="18.75" customHeight="1">
      <c r="A5" s="647"/>
      <c r="B5" s="647"/>
      <c r="C5" s="647"/>
      <c r="D5" s="12"/>
      <c r="E5" s="648"/>
      <c r="F5" s="648"/>
      <c r="G5" s="648"/>
      <c r="H5" s="648"/>
      <c r="I5" s="648"/>
      <c r="J5" s="648"/>
      <c r="K5" s="648"/>
      <c r="L5" s="648"/>
      <c r="M5" s="648"/>
      <c r="N5" s="12"/>
      <c r="O5" s="648"/>
      <c r="P5" s="648"/>
      <c r="Q5" s="648"/>
      <c r="R5" s="648"/>
      <c r="S5" s="648"/>
      <c r="T5" s="648"/>
      <c r="U5" s="648"/>
      <c r="V5" s="648"/>
      <c r="W5" s="648"/>
      <c r="X5" s="648"/>
      <c r="Y5" s="648"/>
      <c r="Z5" s="648"/>
      <c r="AA5" s="647"/>
      <c r="AB5" s="647"/>
      <c r="AC5" s="633"/>
      <c r="AD5" s="634"/>
      <c r="AE5" s="634"/>
      <c r="AF5" s="634"/>
      <c r="AG5" s="634"/>
    </row>
    <row r="6" spans="1:35" s="636" customFormat="1" ht="30" customHeight="1">
      <c r="A6" s="630">
        <f t="shared" ref="A6:A23" si="0">1+A5</f>
        <v>1</v>
      </c>
      <c r="B6" s="630">
        <v>1710</v>
      </c>
      <c r="C6" s="630" t="s">
        <v>69</v>
      </c>
      <c r="D6" s="4">
        <v>1134863</v>
      </c>
      <c r="E6" s="631">
        <v>1134863</v>
      </c>
      <c r="F6" s="631">
        <f t="shared" ref="F6:F19" si="1">D6-E6</f>
        <v>0</v>
      </c>
      <c r="G6" s="631">
        <v>1134863</v>
      </c>
      <c r="H6" s="631">
        <v>1075119.23</v>
      </c>
      <c r="I6" s="631"/>
      <c r="J6" s="631">
        <v>3808</v>
      </c>
      <c r="K6" s="631">
        <f t="shared" ref="K6:K23" si="2">I6+J6</f>
        <v>3808</v>
      </c>
      <c r="L6" s="631">
        <f t="shared" ref="L6:L23" si="3">H6+K6</f>
        <v>1078927.23</v>
      </c>
      <c r="M6" s="631">
        <f>P6+S6</f>
        <v>55935.770000000019</v>
      </c>
      <c r="N6" s="4">
        <f t="shared" ref="N6:N16" si="4">F6</f>
        <v>0</v>
      </c>
      <c r="O6" s="631">
        <f>D6-M6-N6-L6</f>
        <v>0</v>
      </c>
      <c r="P6" s="631">
        <f t="shared" ref="P6:P23" si="5">G6-L6</f>
        <v>55935.770000000019</v>
      </c>
      <c r="Q6" s="631"/>
      <c r="R6" s="631"/>
      <c r="S6" s="631">
        <f t="shared" ref="S6:S19" si="6">SUM(Q6:R6)</f>
        <v>0</v>
      </c>
      <c r="T6" s="631">
        <f t="shared" ref="T6:T19" si="7">P6-M6+S6</f>
        <v>0</v>
      </c>
      <c r="U6" s="631">
        <f t="shared" ref="U6:U19" si="8">N6-T6</f>
        <v>0</v>
      </c>
      <c r="V6" s="631"/>
      <c r="W6" s="631">
        <f t="shared" ref="W6:W19" si="9">U6-V6-Y6-Z6</f>
        <v>0</v>
      </c>
      <c r="X6" s="631"/>
      <c r="Y6" s="631"/>
      <c r="Z6" s="632"/>
      <c r="AA6" s="630" t="s">
        <v>1179</v>
      </c>
      <c r="AB6" s="630">
        <v>810000</v>
      </c>
      <c r="AC6" s="633"/>
      <c r="AD6" s="634"/>
      <c r="AE6" s="634"/>
      <c r="AF6" s="634"/>
      <c r="AG6" s="634"/>
    </row>
    <row r="7" spans="1:35" s="636" customFormat="1" ht="27.6">
      <c r="A7" s="630">
        <f t="shared" si="0"/>
        <v>2</v>
      </c>
      <c r="B7" s="630">
        <v>1776</v>
      </c>
      <c r="C7" s="630" t="s">
        <v>70</v>
      </c>
      <c r="D7" s="4">
        <f>1195000+10000</f>
        <v>1205000</v>
      </c>
      <c r="E7" s="631">
        <v>915000</v>
      </c>
      <c r="F7" s="631">
        <f t="shared" si="1"/>
        <v>290000</v>
      </c>
      <c r="G7" s="631">
        <v>915000</v>
      </c>
      <c r="H7" s="631">
        <v>514725.89</v>
      </c>
      <c r="I7" s="631"/>
      <c r="J7" s="631">
        <v>300659.88</v>
      </c>
      <c r="K7" s="631">
        <f t="shared" si="2"/>
        <v>300659.88</v>
      </c>
      <c r="L7" s="631">
        <f t="shared" si="3"/>
        <v>815385.77</v>
      </c>
      <c r="M7" s="631">
        <f>P7+S7-90000</f>
        <v>9614.2299999999814</v>
      </c>
      <c r="N7" s="4">
        <v>380000</v>
      </c>
      <c r="O7" s="631">
        <f t="shared" ref="O7:O23" si="10">D7-M7-N7-L7</f>
        <v>0</v>
      </c>
      <c r="P7" s="631">
        <f t="shared" si="5"/>
        <v>99614.229999999981</v>
      </c>
      <c r="Q7" s="631"/>
      <c r="R7" s="631"/>
      <c r="S7" s="631">
        <f t="shared" si="6"/>
        <v>0</v>
      </c>
      <c r="T7" s="631">
        <f t="shared" si="7"/>
        <v>90000</v>
      </c>
      <c r="U7" s="631">
        <f t="shared" si="8"/>
        <v>290000</v>
      </c>
      <c r="V7" s="631"/>
      <c r="W7" s="631">
        <f t="shared" si="9"/>
        <v>290000</v>
      </c>
      <c r="X7" s="631"/>
      <c r="Y7" s="631"/>
      <c r="Z7" s="632"/>
      <c r="AA7" s="650" t="s">
        <v>524</v>
      </c>
      <c r="AB7" s="630">
        <v>810000</v>
      </c>
      <c r="AC7" s="633"/>
      <c r="AD7" s="634"/>
      <c r="AE7" s="634"/>
      <c r="AF7" s="634"/>
      <c r="AG7" s="634"/>
    </row>
    <row r="8" spans="1:35" s="636" customFormat="1" ht="27.6">
      <c r="A8" s="630">
        <f t="shared" si="0"/>
        <v>3</v>
      </c>
      <c r="B8" s="629">
        <v>1828</v>
      </c>
      <c r="C8" s="630" t="s">
        <v>210</v>
      </c>
      <c r="D8" s="4">
        <v>240000</v>
      </c>
      <c r="E8" s="631">
        <v>240000</v>
      </c>
      <c r="F8" s="631">
        <f t="shared" si="1"/>
        <v>0</v>
      </c>
      <c r="G8" s="631">
        <v>240000</v>
      </c>
      <c r="H8" s="631">
        <v>188718.3</v>
      </c>
      <c r="I8" s="631"/>
      <c r="J8" s="631"/>
      <c r="K8" s="631">
        <f t="shared" si="2"/>
        <v>0</v>
      </c>
      <c r="L8" s="631">
        <f t="shared" si="3"/>
        <v>188718.3</v>
      </c>
      <c r="M8" s="631">
        <f t="shared" ref="M8:M22" si="11">P8+S8</f>
        <v>51281.700000000012</v>
      </c>
      <c r="N8" s="4">
        <f t="shared" si="4"/>
        <v>0</v>
      </c>
      <c r="O8" s="631">
        <f t="shared" si="10"/>
        <v>0</v>
      </c>
      <c r="P8" s="631">
        <f t="shared" si="5"/>
        <v>51281.700000000012</v>
      </c>
      <c r="Q8" s="631"/>
      <c r="R8" s="631"/>
      <c r="S8" s="631">
        <f t="shared" si="6"/>
        <v>0</v>
      </c>
      <c r="T8" s="631">
        <f t="shared" si="7"/>
        <v>0</v>
      </c>
      <c r="U8" s="631">
        <f t="shared" si="8"/>
        <v>0</v>
      </c>
      <c r="V8" s="631"/>
      <c r="W8" s="631">
        <f t="shared" si="9"/>
        <v>0</v>
      </c>
      <c r="X8" s="631"/>
      <c r="Y8" s="631"/>
      <c r="Z8" s="632"/>
      <c r="AA8" s="630" t="s">
        <v>1180</v>
      </c>
      <c r="AB8" s="630">
        <v>810000</v>
      </c>
      <c r="AC8" s="633"/>
      <c r="AD8" s="634"/>
      <c r="AE8" s="634"/>
      <c r="AF8" s="634"/>
      <c r="AG8" s="634"/>
    </row>
    <row r="9" spans="1:35" s="636" customFormat="1" ht="41.4">
      <c r="A9" s="630">
        <f t="shared" si="0"/>
        <v>4</v>
      </c>
      <c r="B9" s="629">
        <v>1930</v>
      </c>
      <c r="C9" s="630" t="s">
        <v>172</v>
      </c>
      <c r="D9" s="4">
        <v>1670000</v>
      </c>
      <c r="E9" s="631">
        <f>900000+160000</f>
        <v>1060000</v>
      </c>
      <c r="F9" s="631">
        <f t="shared" si="1"/>
        <v>610000</v>
      </c>
      <c r="G9" s="631">
        <v>1060000</v>
      </c>
      <c r="H9" s="631">
        <v>611217.98</v>
      </c>
      <c r="I9" s="631"/>
      <c r="J9" s="631">
        <v>8299.98</v>
      </c>
      <c r="K9" s="631">
        <f t="shared" si="2"/>
        <v>8299.98</v>
      </c>
      <c r="L9" s="631">
        <f t="shared" si="3"/>
        <v>619517.96</v>
      </c>
      <c r="M9" s="631">
        <f t="shared" si="11"/>
        <v>440482.04000000004</v>
      </c>
      <c r="N9" s="4">
        <f t="shared" si="4"/>
        <v>610000</v>
      </c>
      <c r="O9" s="631">
        <f t="shared" si="10"/>
        <v>0</v>
      </c>
      <c r="P9" s="631">
        <f t="shared" si="5"/>
        <v>440482.04000000004</v>
      </c>
      <c r="Q9" s="631"/>
      <c r="R9" s="631"/>
      <c r="S9" s="631">
        <f t="shared" si="6"/>
        <v>0</v>
      </c>
      <c r="T9" s="631">
        <f t="shared" si="7"/>
        <v>0</v>
      </c>
      <c r="U9" s="631">
        <f t="shared" si="8"/>
        <v>610000</v>
      </c>
      <c r="V9" s="631"/>
      <c r="W9" s="631">
        <f t="shared" si="9"/>
        <v>610000</v>
      </c>
      <c r="X9" s="631"/>
      <c r="Y9" s="631"/>
      <c r="Z9" s="632"/>
      <c r="AA9" s="630" t="s">
        <v>1181</v>
      </c>
      <c r="AB9" s="630">
        <v>810000</v>
      </c>
      <c r="AC9" s="633"/>
      <c r="AD9" s="634"/>
      <c r="AE9" s="634"/>
      <c r="AF9" s="634"/>
      <c r="AG9" s="634"/>
    </row>
    <row r="10" spans="1:35" s="636" customFormat="1" ht="41.4">
      <c r="A10" s="630">
        <f t="shared" si="0"/>
        <v>5</v>
      </c>
      <c r="B10" s="630">
        <v>1975</v>
      </c>
      <c r="C10" s="630" t="s">
        <v>1182</v>
      </c>
      <c r="D10" s="4">
        <v>975000</v>
      </c>
      <c r="E10" s="631">
        <v>975000</v>
      </c>
      <c r="F10" s="631">
        <f t="shared" si="1"/>
        <v>0</v>
      </c>
      <c r="G10" s="631">
        <v>975000</v>
      </c>
      <c r="H10" s="631">
        <v>0</v>
      </c>
      <c r="I10" s="631"/>
      <c r="J10" s="631"/>
      <c r="K10" s="631">
        <f t="shared" si="2"/>
        <v>0</v>
      </c>
      <c r="L10" s="631">
        <f t="shared" si="3"/>
        <v>0</v>
      </c>
      <c r="M10" s="631">
        <f t="shared" si="11"/>
        <v>975000</v>
      </c>
      <c r="N10" s="4">
        <f t="shared" si="4"/>
        <v>0</v>
      </c>
      <c r="O10" s="631">
        <f t="shared" si="10"/>
        <v>0</v>
      </c>
      <c r="P10" s="631">
        <f t="shared" si="5"/>
        <v>975000</v>
      </c>
      <c r="Q10" s="631"/>
      <c r="R10" s="631"/>
      <c r="S10" s="631">
        <f t="shared" si="6"/>
        <v>0</v>
      </c>
      <c r="T10" s="631">
        <f t="shared" si="7"/>
        <v>0</v>
      </c>
      <c r="U10" s="631">
        <f t="shared" si="8"/>
        <v>0</v>
      </c>
      <c r="V10" s="631"/>
      <c r="W10" s="631">
        <f t="shared" si="9"/>
        <v>0</v>
      </c>
      <c r="X10" s="631"/>
      <c r="Y10" s="631"/>
      <c r="Z10" s="632"/>
      <c r="AA10" s="630" t="s">
        <v>779</v>
      </c>
      <c r="AB10" s="630">
        <v>810000</v>
      </c>
      <c r="AC10" s="633"/>
      <c r="AD10" s="634"/>
      <c r="AE10" s="634"/>
      <c r="AF10" s="634"/>
      <c r="AG10" s="634"/>
    </row>
    <row r="11" spans="1:35" s="636" customFormat="1" ht="19.95" customHeight="1">
      <c r="A11" s="630">
        <f t="shared" si="0"/>
        <v>6</v>
      </c>
      <c r="B11" s="630">
        <v>1976</v>
      </c>
      <c r="C11" s="630" t="s">
        <v>194</v>
      </c>
      <c r="D11" s="4">
        <v>644100</v>
      </c>
      <c r="E11" s="631">
        <v>644100</v>
      </c>
      <c r="F11" s="631">
        <f t="shared" si="1"/>
        <v>0</v>
      </c>
      <c r="G11" s="631">
        <v>644100</v>
      </c>
      <c r="H11" s="631">
        <v>341069.34</v>
      </c>
      <c r="I11" s="631"/>
      <c r="J11" s="631"/>
      <c r="K11" s="631">
        <f t="shared" si="2"/>
        <v>0</v>
      </c>
      <c r="L11" s="631">
        <f t="shared" si="3"/>
        <v>341069.34</v>
      </c>
      <c r="M11" s="631">
        <f t="shared" si="11"/>
        <v>303030.65999999997</v>
      </c>
      <c r="N11" s="4">
        <f t="shared" si="4"/>
        <v>0</v>
      </c>
      <c r="O11" s="631">
        <f t="shared" si="10"/>
        <v>0</v>
      </c>
      <c r="P11" s="631">
        <f t="shared" si="5"/>
        <v>303030.65999999997</v>
      </c>
      <c r="Q11" s="631"/>
      <c r="R11" s="631"/>
      <c r="S11" s="631">
        <f t="shared" si="6"/>
        <v>0</v>
      </c>
      <c r="T11" s="631">
        <f t="shared" si="7"/>
        <v>0</v>
      </c>
      <c r="U11" s="631">
        <f t="shared" si="8"/>
        <v>0</v>
      </c>
      <c r="V11" s="631"/>
      <c r="W11" s="631">
        <f t="shared" si="9"/>
        <v>0</v>
      </c>
      <c r="X11" s="631"/>
      <c r="Y11" s="631"/>
      <c r="Z11" s="632"/>
      <c r="AA11" s="650" t="s">
        <v>531</v>
      </c>
      <c r="AB11" s="630">
        <v>810000</v>
      </c>
      <c r="AC11" s="633"/>
      <c r="AD11" s="634"/>
      <c r="AE11" s="634"/>
      <c r="AF11" s="634"/>
      <c r="AG11" s="634"/>
    </row>
    <row r="12" spans="1:35" s="636" customFormat="1" ht="19.95" customHeight="1">
      <c r="A12" s="630">
        <f t="shared" si="0"/>
        <v>7</v>
      </c>
      <c r="B12" s="630">
        <v>1977</v>
      </c>
      <c r="C12" s="630" t="s">
        <v>195</v>
      </c>
      <c r="D12" s="4">
        <v>44100</v>
      </c>
      <c r="E12" s="631">
        <v>44100</v>
      </c>
      <c r="F12" s="631">
        <f t="shared" si="1"/>
        <v>0</v>
      </c>
      <c r="G12" s="631">
        <v>44100</v>
      </c>
      <c r="H12" s="631">
        <v>43348.57</v>
      </c>
      <c r="I12" s="631"/>
      <c r="J12" s="631"/>
      <c r="K12" s="631">
        <f t="shared" si="2"/>
        <v>0</v>
      </c>
      <c r="L12" s="631">
        <f t="shared" si="3"/>
        <v>43348.57</v>
      </c>
      <c r="M12" s="631">
        <f t="shared" si="11"/>
        <v>751.43000000000029</v>
      </c>
      <c r="N12" s="4">
        <f t="shared" si="4"/>
        <v>0</v>
      </c>
      <c r="O12" s="631">
        <f t="shared" si="10"/>
        <v>0</v>
      </c>
      <c r="P12" s="631">
        <f t="shared" si="5"/>
        <v>751.43000000000029</v>
      </c>
      <c r="Q12" s="631"/>
      <c r="R12" s="631"/>
      <c r="S12" s="631">
        <f t="shared" si="6"/>
        <v>0</v>
      </c>
      <c r="T12" s="631">
        <f t="shared" si="7"/>
        <v>0</v>
      </c>
      <c r="U12" s="631">
        <f t="shared" si="8"/>
        <v>0</v>
      </c>
      <c r="V12" s="631"/>
      <c r="W12" s="631">
        <f t="shared" si="9"/>
        <v>0</v>
      </c>
      <c r="X12" s="631"/>
      <c r="Y12" s="631"/>
      <c r="Z12" s="632"/>
      <c r="AA12" s="630" t="s">
        <v>1165</v>
      </c>
      <c r="AB12" s="630">
        <v>810000</v>
      </c>
      <c r="AC12" s="633"/>
      <c r="AD12" s="634"/>
      <c r="AE12" s="634"/>
      <c r="AF12" s="634"/>
      <c r="AG12" s="634"/>
    </row>
    <row r="13" spans="1:35" s="636" customFormat="1" ht="19.95" customHeight="1">
      <c r="A13" s="630">
        <f t="shared" si="0"/>
        <v>8</v>
      </c>
      <c r="B13" s="630">
        <v>1978</v>
      </c>
      <c r="C13" s="630" t="s">
        <v>196</v>
      </c>
      <c r="D13" s="4">
        <v>73500</v>
      </c>
      <c r="E13" s="631">
        <v>73500</v>
      </c>
      <c r="F13" s="631">
        <f t="shared" si="1"/>
        <v>0</v>
      </c>
      <c r="G13" s="631">
        <v>73500</v>
      </c>
      <c r="H13" s="631">
        <v>73310.990000000005</v>
      </c>
      <c r="I13" s="631"/>
      <c r="J13" s="631"/>
      <c r="K13" s="631">
        <f t="shared" si="2"/>
        <v>0</v>
      </c>
      <c r="L13" s="631">
        <f t="shared" si="3"/>
        <v>73310.990000000005</v>
      </c>
      <c r="M13" s="631">
        <f t="shared" si="11"/>
        <v>189.00999999999476</v>
      </c>
      <c r="N13" s="4">
        <f t="shared" si="4"/>
        <v>0</v>
      </c>
      <c r="O13" s="631">
        <f t="shared" si="10"/>
        <v>0</v>
      </c>
      <c r="P13" s="631">
        <f t="shared" si="5"/>
        <v>189.00999999999476</v>
      </c>
      <c r="Q13" s="631"/>
      <c r="R13" s="631"/>
      <c r="S13" s="631">
        <f t="shared" si="6"/>
        <v>0</v>
      </c>
      <c r="T13" s="631">
        <f t="shared" si="7"/>
        <v>0</v>
      </c>
      <c r="U13" s="631">
        <f t="shared" si="8"/>
        <v>0</v>
      </c>
      <c r="V13" s="631"/>
      <c r="W13" s="631">
        <f t="shared" si="9"/>
        <v>0</v>
      </c>
      <c r="X13" s="631"/>
      <c r="Y13" s="631"/>
      <c r="Z13" s="632"/>
      <c r="AA13" s="630" t="s">
        <v>1165</v>
      </c>
      <c r="AB13" s="630">
        <v>810000</v>
      </c>
      <c r="AC13" s="633"/>
      <c r="AD13" s="634"/>
      <c r="AE13" s="634"/>
      <c r="AF13" s="634"/>
      <c r="AG13" s="634"/>
    </row>
    <row r="14" spans="1:35" s="636" customFormat="1" ht="19.95" customHeight="1">
      <c r="A14" s="630">
        <f t="shared" si="0"/>
        <v>9</v>
      </c>
      <c r="B14" s="629">
        <v>1987</v>
      </c>
      <c r="C14" s="630" t="s">
        <v>221</v>
      </c>
      <c r="D14" s="4">
        <v>120000</v>
      </c>
      <c r="E14" s="631">
        <v>120000</v>
      </c>
      <c r="F14" s="631">
        <f t="shared" si="1"/>
        <v>0</v>
      </c>
      <c r="G14" s="631">
        <v>120000</v>
      </c>
      <c r="H14" s="631">
        <v>77677</v>
      </c>
      <c r="I14" s="631"/>
      <c r="J14" s="631"/>
      <c r="K14" s="631">
        <f t="shared" si="2"/>
        <v>0</v>
      </c>
      <c r="L14" s="631">
        <f t="shared" si="3"/>
        <v>77677</v>
      </c>
      <c r="M14" s="631">
        <f t="shared" si="11"/>
        <v>42323</v>
      </c>
      <c r="N14" s="4">
        <f t="shared" si="4"/>
        <v>0</v>
      </c>
      <c r="O14" s="631">
        <f t="shared" si="10"/>
        <v>0</v>
      </c>
      <c r="P14" s="631">
        <f t="shared" si="5"/>
        <v>42323</v>
      </c>
      <c r="Q14" s="631"/>
      <c r="R14" s="631"/>
      <c r="S14" s="631">
        <f t="shared" si="6"/>
        <v>0</v>
      </c>
      <c r="T14" s="631">
        <f t="shared" si="7"/>
        <v>0</v>
      </c>
      <c r="U14" s="631">
        <f t="shared" si="8"/>
        <v>0</v>
      </c>
      <c r="V14" s="631"/>
      <c r="W14" s="631">
        <f t="shared" si="9"/>
        <v>0</v>
      </c>
      <c r="X14" s="631"/>
      <c r="Y14" s="631"/>
      <c r="Z14" s="632"/>
      <c r="AA14" s="630" t="s">
        <v>1165</v>
      </c>
      <c r="AB14" s="630">
        <v>810000</v>
      </c>
      <c r="AC14" s="633"/>
      <c r="AD14" s="634"/>
      <c r="AE14" s="634"/>
      <c r="AF14" s="634"/>
      <c r="AG14" s="634"/>
    </row>
    <row r="15" spans="1:35" s="636" customFormat="1" ht="19.95" customHeight="1">
      <c r="A15" s="630">
        <f t="shared" si="0"/>
        <v>10</v>
      </c>
      <c r="B15" s="629">
        <v>1990</v>
      </c>
      <c r="C15" s="630" t="s">
        <v>222</v>
      </c>
      <c r="D15" s="4">
        <v>58800</v>
      </c>
      <c r="E15" s="631">
        <v>58800</v>
      </c>
      <c r="F15" s="631">
        <f t="shared" si="1"/>
        <v>0</v>
      </c>
      <c r="G15" s="631">
        <v>58800</v>
      </c>
      <c r="H15" s="631">
        <v>54353.06</v>
      </c>
      <c r="I15" s="631"/>
      <c r="J15" s="631">
        <v>404.01</v>
      </c>
      <c r="K15" s="631">
        <f t="shared" si="2"/>
        <v>404.01</v>
      </c>
      <c r="L15" s="631">
        <f t="shared" si="3"/>
        <v>54757.07</v>
      </c>
      <c r="M15" s="631">
        <f t="shared" si="11"/>
        <v>4042.9300000000003</v>
      </c>
      <c r="N15" s="4">
        <f t="shared" si="4"/>
        <v>0</v>
      </c>
      <c r="O15" s="631">
        <f t="shared" si="10"/>
        <v>0</v>
      </c>
      <c r="P15" s="631">
        <f t="shared" si="5"/>
        <v>4042.9300000000003</v>
      </c>
      <c r="Q15" s="631"/>
      <c r="R15" s="631"/>
      <c r="S15" s="631">
        <f t="shared" si="6"/>
        <v>0</v>
      </c>
      <c r="T15" s="631">
        <f t="shared" si="7"/>
        <v>0</v>
      </c>
      <c r="U15" s="631">
        <f t="shared" si="8"/>
        <v>0</v>
      </c>
      <c r="V15" s="631"/>
      <c r="W15" s="631">
        <f t="shared" si="9"/>
        <v>0</v>
      </c>
      <c r="X15" s="631"/>
      <c r="Y15" s="631"/>
      <c r="Z15" s="632"/>
      <c r="AA15" s="630"/>
      <c r="AB15" s="630">
        <v>810000</v>
      </c>
      <c r="AC15" s="633"/>
      <c r="AD15" s="634"/>
      <c r="AE15" s="634"/>
      <c r="AF15" s="634"/>
      <c r="AG15" s="634"/>
    </row>
    <row r="16" spans="1:35" s="636" customFormat="1" ht="29.4" customHeight="1">
      <c r="A16" s="630">
        <f t="shared" si="0"/>
        <v>11</v>
      </c>
      <c r="B16" s="629">
        <v>2033</v>
      </c>
      <c r="C16" s="630" t="s">
        <v>525</v>
      </c>
      <c r="D16" s="4">
        <v>1000000</v>
      </c>
      <c r="E16" s="631">
        <v>1000000</v>
      </c>
      <c r="F16" s="631">
        <f t="shared" si="1"/>
        <v>0</v>
      </c>
      <c r="G16" s="631">
        <v>1000000</v>
      </c>
      <c r="H16" s="631">
        <v>385985.5</v>
      </c>
      <c r="I16" s="631"/>
      <c r="J16" s="631">
        <v>129968.07</v>
      </c>
      <c r="K16" s="631">
        <f t="shared" si="2"/>
        <v>129968.07</v>
      </c>
      <c r="L16" s="631">
        <f>H16+K16</f>
        <v>515953.57</v>
      </c>
      <c r="M16" s="631">
        <f t="shared" si="11"/>
        <v>484046.43</v>
      </c>
      <c r="N16" s="4">
        <f t="shared" si="4"/>
        <v>0</v>
      </c>
      <c r="O16" s="631">
        <f t="shared" si="10"/>
        <v>0</v>
      </c>
      <c r="P16" s="631">
        <f t="shared" si="5"/>
        <v>484046.43</v>
      </c>
      <c r="Q16" s="631"/>
      <c r="R16" s="631"/>
      <c r="S16" s="631">
        <f t="shared" si="6"/>
        <v>0</v>
      </c>
      <c r="T16" s="631">
        <f t="shared" si="7"/>
        <v>0</v>
      </c>
      <c r="U16" s="631">
        <f t="shared" si="8"/>
        <v>0</v>
      </c>
      <c r="V16" s="631"/>
      <c r="W16" s="631">
        <f t="shared" si="9"/>
        <v>0</v>
      </c>
      <c r="X16" s="631"/>
      <c r="Y16" s="631"/>
      <c r="Z16" s="632"/>
      <c r="AA16" s="630" t="s">
        <v>526</v>
      </c>
      <c r="AB16" s="630">
        <v>810000</v>
      </c>
      <c r="AC16" s="633"/>
      <c r="AD16" s="634"/>
      <c r="AE16" s="634"/>
      <c r="AF16" s="634"/>
      <c r="AG16" s="634"/>
    </row>
    <row r="17" spans="1:35" s="636" customFormat="1" ht="41.4">
      <c r="A17" s="630">
        <f t="shared" si="0"/>
        <v>12</v>
      </c>
      <c r="B17" s="629">
        <v>2034</v>
      </c>
      <c r="C17" s="630" t="s">
        <v>527</v>
      </c>
      <c r="D17" s="4">
        <v>2515000</v>
      </c>
      <c r="E17" s="631">
        <v>2000000</v>
      </c>
      <c r="F17" s="631">
        <f t="shared" si="1"/>
        <v>515000</v>
      </c>
      <c r="G17" s="631">
        <v>2000000</v>
      </c>
      <c r="H17" s="631">
        <v>1437429.77</v>
      </c>
      <c r="I17" s="631"/>
      <c r="J17" s="631">
        <v>463487.8</v>
      </c>
      <c r="K17" s="631">
        <f t="shared" si="2"/>
        <v>463487.8</v>
      </c>
      <c r="L17" s="631">
        <f>H17+K17</f>
        <v>1900917.57</v>
      </c>
      <c r="M17" s="631">
        <f>P17+S17</f>
        <v>99082.429999999935</v>
      </c>
      <c r="N17" s="4">
        <f>F17</f>
        <v>515000</v>
      </c>
      <c r="O17" s="631">
        <f t="shared" si="10"/>
        <v>0</v>
      </c>
      <c r="P17" s="631">
        <f>G17-L17</f>
        <v>99082.429999999935</v>
      </c>
      <c r="Q17" s="631"/>
      <c r="R17" s="631"/>
      <c r="S17" s="631">
        <f t="shared" si="6"/>
        <v>0</v>
      </c>
      <c r="T17" s="631">
        <f t="shared" si="7"/>
        <v>0</v>
      </c>
      <c r="U17" s="631">
        <f t="shared" si="8"/>
        <v>515000</v>
      </c>
      <c r="V17" s="631"/>
      <c r="W17" s="631">
        <f t="shared" si="9"/>
        <v>515000</v>
      </c>
      <c r="X17" s="631"/>
      <c r="Y17" s="631"/>
      <c r="Z17" s="632"/>
      <c r="AA17" s="630" t="s">
        <v>1373</v>
      </c>
      <c r="AB17" s="630">
        <v>810000</v>
      </c>
      <c r="AC17" s="633"/>
      <c r="AD17" s="634"/>
      <c r="AE17" s="634"/>
      <c r="AF17" s="634"/>
      <c r="AG17" s="634"/>
    </row>
    <row r="18" spans="1:35" s="636" customFormat="1" ht="19.95" customHeight="1">
      <c r="A18" s="630">
        <f t="shared" si="0"/>
        <v>13</v>
      </c>
      <c r="B18" s="629">
        <v>2069</v>
      </c>
      <c r="C18" s="630" t="s">
        <v>528</v>
      </c>
      <c r="D18" s="4">
        <f>190000</f>
        <v>190000</v>
      </c>
      <c r="E18" s="631">
        <f>190000-50000</f>
        <v>140000</v>
      </c>
      <c r="F18" s="631">
        <f t="shared" si="1"/>
        <v>50000</v>
      </c>
      <c r="G18" s="631">
        <v>140000</v>
      </c>
      <c r="H18" s="631">
        <v>78439.539999999994</v>
      </c>
      <c r="I18" s="631"/>
      <c r="J18" s="631">
        <v>53419.56</v>
      </c>
      <c r="K18" s="631">
        <f t="shared" si="2"/>
        <v>53419.56</v>
      </c>
      <c r="L18" s="631">
        <f t="shared" si="3"/>
        <v>131859.09999999998</v>
      </c>
      <c r="M18" s="631">
        <f t="shared" si="11"/>
        <v>8140.9000000000233</v>
      </c>
      <c r="N18" s="4">
        <f>F18</f>
        <v>50000</v>
      </c>
      <c r="O18" s="631">
        <f t="shared" si="10"/>
        <v>0</v>
      </c>
      <c r="P18" s="631">
        <f t="shared" si="5"/>
        <v>8140.9000000000233</v>
      </c>
      <c r="Q18" s="631"/>
      <c r="R18" s="631"/>
      <c r="S18" s="631">
        <f t="shared" si="6"/>
        <v>0</v>
      </c>
      <c r="T18" s="631">
        <f t="shared" si="7"/>
        <v>0</v>
      </c>
      <c r="U18" s="631">
        <f t="shared" si="8"/>
        <v>50000</v>
      </c>
      <c r="V18" s="631"/>
      <c r="W18" s="631">
        <f t="shared" si="9"/>
        <v>50000</v>
      </c>
      <c r="X18" s="631"/>
      <c r="Y18" s="631"/>
      <c r="Z18" s="632"/>
      <c r="AA18" s="630" t="s">
        <v>1165</v>
      </c>
      <c r="AB18" s="630">
        <v>810000</v>
      </c>
      <c r="AC18" s="633"/>
      <c r="AD18" s="634"/>
      <c r="AE18" s="651"/>
      <c r="AF18" s="651"/>
      <c r="AG18" s="651"/>
    </row>
    <row r="19" spans="1:35" s="636" customFormat="1" ht="27.6">
      <c r="A19" s="630">
        <f t="shared" si="0"/>
        <v>14</v>
      </c>
      <c r="B19" s="629">
        <v>2070</v>
      </c>
      <c r="C19" s="630" t="s">
        <v>529</v>
      </c>
      <c r="D19" s="4">
        <f>500000</f>
        <v>500000</v>
      </c>
      <c r="E19" s="631">
        <v>500000</v>
      </c>
      <c r="F19" s="631">
        <f t="shared" si="1"/>
        <v>0</v>
      </c>
      <c r="G19" s="631">
        <v>500000</v>
      </c>
      <c r="H19" s="631">
        <v>76569.64</v>
      </c>
      <c r="I19" s="631"/>
      <c r="J19" s="631">
        <v>16574.439999999999</v>
      </c>
      <c r="K19" s="631">
        <f t="shared" si="2"/>
        <v>16574.439999999999</v>
      </c>
      <c r="L19" s="631">
        <f t="shared" si="3"/>
        <v>93144.08</v>
      </c>
      <c r="M19" s="631">
        <f>P19+S19</f>
        <v>406855.92</v>
      </c>
      <c r="N19" s="4"/>
      <c r="O19" s="631">
        <f t="shared" si="10"/>
        <v>0</v>
      </c>
      <c r="P19" s="631">
        <f>G19-L19</f>
        <v>406855.92</v>
      </c>
      <c r="Q19" s="631"/>
      <c r="R19" s="631"/>
      <c r="S19" s="631">
        <f t="shared" si="6"/>
        <v>0</v>
      </c>
      <c r="T19" s="631">
        <f t="shared" si="7"/>
        <v>0</v>
      </c>
      <c r="U19" s="631">
        <f t="shared" si="8"/>
        <v>0</v>
      </c>
      <c r="V19" s="631"/>
      <c r="W19" s="631">
        <f t="shared" si="9"/>
        <v>-78000</v>
      </c>
      <c r="X19" s="631"/>
      <c r="Y19" s="631"/>
      <c r="Z19" s="652">
        <v>78000</v>
      </c>
      <c r="AA19" s="630" t="s">
        <v>1183</v>
      </c>
      <c r="AB19" s="630">
        <v>810000</v>
      </c>
      <c r="AC19" s="653"/>
      <c r="AD19" s="634"/>
      <c r="AE19" s="634"/>
      <c r="AF19" s="634"/>
      <c r="AG19" s="634"/>
      <c r="AH19" s="635"/>
    </row>
    <row r="20" spans="1:35" s="636" customFormat="1" ht="30" customHeight="1">
      <c r="A20" s="630">
        <f t="shared" si="0"/>
        <v>15</v>
      </c>
      <c r="B20" s="650">
        <v>2090</v>
      </c>
      <c r="C20" s="630" t="s">
        <v>532</v>
      </c>
      <c r="D20" s="4">
        <v>350000</v>
      </c>
      <c r="E20" s="631">
        <v>350000</v>
      </c>
      <c r="F20" s="631">
        <f>D20-E20</f>
        <v>0</v>
      </c>
      <c r="G20" s="631">
        <v>350000</v>
      </c>
      <c r="H20" s="631">
        <v>0</v>
      </c>
      <c r="I20" s="631"/>
      <c r="J20" s="631"/>
      <c r="K20" s="631">
        <f t="shared" si="2"/>
        <v>0</v>
      </c>
      <c r="L20" s="631">
        <f t="shared" si="3"/>
        <v>0</v>
      </c>
      <c r="M20" s="631">
        <f t="shared" si="11"/>
        <v>350000</v>
      </c>
      <c r="N20" s="4">
        <f>F20</f>
        <v>0</v>
      </c>
      <c r="O20" s="631">
        <f t="shared" si="10"/>
        <v>0</v>
      </c>
      <c r="P20" s="631">
        <f t="shared" si="5"/>
        <v>350000</v>
      </c>
      <c r="Q20" s="631"/>
      <c r="R20" s="631"/>
      <c r="S20" s="631">
        <f>SUM(Q20:R20)</f>
        <v>0</v>
      </c>
      <c r="T20" s="631">
        <f>P20-M20+S20</f>
        <v>0</v>
      </c>
      <c r="U20" s="631">
        <f>N20-T20</f>
        <v>0</v>
      </c>
      <c r="V20" s="631"/>
      <c r="W20" s="631">
        <f>U20-V20-Y20-Z20</f>
        <v>0</v>
      </c>
      <c r="X20" s="631"/>
      <c r="Y20" s="631"/>
      <c r="Z20" s="632"/>
      <c r="AA20" s="630" t="s">
        <v>780</v>
      </c>
      <c r="AB20" s="630">
        <v>810000</v>
      </c>
      <c r="AC20" s="633"/>
      <c r="AD20" s="634"/>
      <c r="AE20" s="634"/>
      <c r="AF20" s="634"/>
      <c r="AG20" s="634"/>
    </row>
    <row r="21" spans="1:35" s="636" customFormat="1" ht="55.2">
      <c r="A21" s="630">
        <f t="shared" si="0"/>
        <v>16</v>
      </c>
      <c r="B21" s="650">
        <v>2091</v>
      </c>
      <c r="C21" s="630" t="s">
        <v>533</v>
      </c>
      <c r="D21" s="4">
        <v>1500000</v>
      </c>
      <c r="E21" s="631">
        <v>1500000</v>
      </c>
      <c r="F21" s="631">
        <f>D21-E21</f>
        <v>0</v>
      </c>
      <c r="G21" s="631">
        <v>900000</v>
      </c>
      <c r="H21" s="631">
        <v>0</v>
      </c>
      <c r="I21" s="631"/>
      <c r="J21" s="631"/>
      <c r="K21" s="631">
        <f t="shared" si="2"/>
        <v>0</v>
      </c>
      <c r="L21" s="631">
        <f t="shared" si="3"/>
        <v>0</v>
      </c>
      <c r="M21" s="631">
        <f>P21+S21-600000</f>
        <v>300000</v>
      </c>
      <c r="N21" s="4">
        <v>1200000</v>
      </c>
      <c r="O21" s="631">
        <f t="shared" si="10"/>
        <v>0</v>
      </c>
      <c r="P21" s="631">
        <f t="shared" si="5"/>
        <v>900000</v>
      </c>
      <c r="Q21" s="631"/>
      <c r="R21" s="631"/>
      <c r="S21" s="631">
        <f>SUM(Q21:R21)</f>
        <v>0</v>
      </c>
      <c r="T21" s="631">
        <f>P21-M21+S21</f>
        <v>600000</v>
      </c>
      <c r="U21" s="631">
        <f>N21-T21</f>
        <v>600000</v>
      </c>
      <c r="V21" s="631"/>
      <c r="W21" s="631">
        <f>U21-V21-Y21-Z21</f>
        <v>600000</v>
      </c>
      <c r="X21" s="631"/>
      <c r="Y21" s="631"/>
      <c r="Z21" s="632"/>
      <c r="AA21" s="630" t="s">
        <v>976</v>
      </c>
      <c r="AB21" s="630">
        <v>810000</v>
      </c>
      <c r="AC21" s="633"/>
      <c r="AD21" s="634"/>
      <c r="AE21" s="634"/>
      <c r="AF21" s="634"/>
      <c r="AG21" s="634"/>
    </row>
    <row r="22" spans="1:35" s="636" customFormat="1" ht="41.4">
      <c r="A22" s="630">
        <f t="shared" si="0"/>
        <v>17</v>
      </c>
      <c r="B22" s="650">
        <v>2092</v>
      </c>
      <c r="C22" s="630" t="s">
        <v>781</v>
      </c>
      <c r="D22" s="4">
        <v>4800000</v>
      </c>
      <c r="E22" s="631">
        <v>4800000</v>
      </c>
      <c r="F22" s="631">
        <f>D22-E22</f>
        <v>0</v>
      </c>
      <c r="G22" s="631">
        <v>4800000</v>
      </c>
      <c r="H22" s="631">
        <v>441089.5</v>
      </c>
      <c r="I22" s="631">
        <v>1200000</v>
      </c>
      <c r="J22" s="631">
        <v>13806</v>
      </c>
      <c r="K22" s="631">
        <f t="shared" si="2"/>
        <v>1213806</v>
      </c>
      <c r="L22" s="631">
        <f t="shared" si="3"/>
        <v>1654895.5</v>
      </c>
      <c r="M22" s="631">
        <f t="shared" si="11"/>
        <v>3145104.5</v>
      </c>
      <c r="N22" s="4">
        <f>F22</f>
        <v>0</v>
      </c>
      <c r="O22" s="631">
        <f t="shared" si="10"/>
        <v>0</v>
      </c>
      <c r="P22" s="631">
        <f t="shared" si="5"/>
        <v>3145104.5</v>
      </c>
      <c r="Q22" s="631"/>
      <c r="R22" s="631"/>
      <c r="S22" s="631">
        <f>SUM(Q22:R22)</f>
        <v>0</v>
      </c>
      <c r="T22" s="631">
        <f>P22-M22+S22</f>
        <v>0</v>
      </c>
      <c r="U22" s="631">
        <f>N22-T22</f>
        <v>0</v>
      </c>
      <c r="V22" s="631"/>
      <c r="W22" s="631">
        <f>U22-V22-Y22-Z22</f>
        <v>0</v>
      </c>
      <c r="X22" s="631"/>
      <c r="Y22" s="631"/>
      <c r="Z22" s="631"/>
      <c r="AA22" s="630" t="s">
        <v>782</v>
      </c>
      <c r="AB22" s="630">
        <v>810000</v>
      </c>
      <c r="AC22" s="633"/>
      <c r="AD22" s="634"/>
      <c r="AE22" s="634"/>
      <c r="AF22" s="634"/>
      <c r="AG22" s="634"/>
    </row>
    <row r="23" spans="1:35" s="636" customFormat="1" ht="51.6" customHeight="1">
      <c r="A23" s="630">
        <f t="shared" si="0"/>
        <v>18</v>
      </c>
      <c r="B23" s="650">
        <v>2135</v>
      </c>
      <c r="C23" s="630" t="s">
        <v>1069</v>
      </c>
      <c r="D23" s="4">
        <v>23000000</v>
      </c>
      <c r="E23" s="631">
        <v>1560000</v>
      </c>
      <c r="F23" s="631">
        <f>D23-E23</f>
        <v>21440000</v>
      </c>
      <c r="G23" s="631">
        <v>100000</v>
      </c>
      <c r="H23" s="631">
        <v>0</v>
      </c>
      <c r="I23" s="631"/>
      <c r="J23" s="631"/>
      <c r="K23" s="631">
        <f t="shared" si="2"/>
        <v>0</v>
      </c>
      <c r="L23" s="631">
        <f t="shared" si="3"/>
        <v>0</v>
      </c>
      <c r="M23" s="631">
        <f>P23+S23</f>
        <v>560000</v>
      </c>
      <c r="N23" s="4">
        <f>5000000-2500000-700000</f>
        <v>1800000</v>
      </c>
      <c r="O23" s="631">
        <f t="shared" si="10"/>
        <v>20640000</v>
      </c>
      <c r="P23" s="631">
        <f t="shared" si="5"/>
        <v>100000</v>
      </c>
      <c r="Q23" s="631"/>
      <c r="R23" s="631">
        <v>460000</v>
      </c>
      <c r="S23" s="631">
        <f>SUM(Q23:R23)</f>
        <v>460000</v>
      </c>
      <c r="T23" s="631">
        <f>P23-M23+S23</f>
        <v>0</v>
      </c>
      <c r="U23" s="631">
        <f>N23-T23</f>
        <v>1800000</v>
      </c>
      <c r="V23" s="631"/>
      <c r="W23" s="631">
        <f>U23-V23-Y23-Z23</f>
        <v>1800000</v>
      </c>
      <c r="X23" s="631"/>
      <c r="Y23" s="631"/>
      <c r="Z23" s="631"/>
      <c r="AA23" s="630" t="s">
        <v>1184</v>
      </c>
      <c r="AB23" s="630">
        <v>810000</v>
      </c>
      <c r="AC23" s="633"/>
      <c r="AD23" s="634"/>
      <c r="AE23" s="634"/>
      <c r="AF23" s="634"/>
      <c r="AG23" s="634"/>
    </row>
    <row r="24" spans="1:35" s="636" customFormat="1" ht="55.2">
      <c r="A24" s="630">
        <f>A23+1</f>
        <v>19</v>
      </c>
      <c r="B24" s="650">
        <v>2158</v>
      </c>
      <c r="C24" s="630" t="s">
        <v>1185</v>
      </c>
      <c r="D24" s="4">
        <v>954000</v>
      </c>
      <c r="E24" s="631"/>
      <c r="F24" s="631">
        <f t="shared" ref="F24:F27" si="12">D24-E24</f>
        <v>954000</v>
      </c>
      <c r="G24" s="631">
        <v>0</v>
      </c>
      <c r="H24" s="631">
        <v>0</v>
      </c>
      <c r="I24" s="631"/>
      <c r="J24" s="631"/>
      <c r="K24" s="631">
        <f t="shared" ref="K24:K26" si="13">SUM(I24:J24)</f>
        <v>0</v>
      </c>
      <c r="L24" s="631">
        <f t="shared" ref="L24:L27" si="14">H24+K24</f>
        <v>0</v>
      </c>
      <c r="M24" s="631">
        <f t="shared" ref="M24:M27" si="15">P24+S24</f>
        <v>0</v>
      </c>
      <c r="N24" s="4">
        <f>800000-230000</f>
        <v>570000</v>
      </c>
      <c r="O24" s="631">
        <f t="shared" ref="O24:O27" si="16">D24-L24-M24-N24</f>
        <v>384000</v>
      </c>
      <c r="P24" s="631">
        <f t="shared" ref="P24:P27" si="17">G24-L24</f>
        <v>0</v>
      </c>
      <c r="Q24" s="631"/>
      <c r="R24" s="631"/>
      <c r="S24" s="631">
        <f t="shared" ref="S24:S27" si="18">SUM(Q24:R24)</f>
        <v>0</v>
      </c>
      <c r="T24" s="631">
        <f t="shared" ref="T24:T27" si="19">P24-M24+S24</f>
        <v>0</v>
      </c>
      <c r="U24" s="631">
        <f t="shared" ref="U24:U27" si="20">N24-T24</f>
        <v>570000</v>
      </c>
      <c r="V24" s="631">
        <f t="shared" ref="V24:V27" si="21">U24-Z24-W24-Y24</f>
        <v>0</v>
      </c>
      <c r="W24" s="631">
        <f t="shared" ref="W24:W27" si="22">U24-X24-Y24-Z24</f>
        <v>570000</v>
      </c>
      <c r="X24" s="631"/>
      <c r="Y24" s="631"/>
      <c r="Z24" s="631"/>
      <c r="AA24" s="630" t="s">
        <v>1186</v>
      </c>
      <c r="AB24" s="630">
        <v>810000</v>
      </c>
      <c r="AC24" s="656"/>
      <c r="AD24" s="662"/>
      <c r="AE24" s="635"/>
      <c r="AF24" s="635"/>
    </row>
    <row r="25" spans="1:35" s="636" customFormat="1" ht="46.2" customHeight="1">
      <c r="A25" s="630">
        <f t="shared" ref="A25:A27" si="23">A24+1</f>
        <v>20</v>
      </c>
      <c r="B25" s="650">
        <v>2159</v>
      </c>
      <c r="C25" s="630" t="s">
        <v>1187</v>
      </c>
      <c r="D25" s="4">
        <f>240000-40000</f>
        <v>200000</v>
      </c>
      <c r="E25" s="631"/>
      <c r="F25" s="631">
        <f t="shared" si="12"/>
        <v>200000</v>
      </c>
      <c r="G25" s="631">
        <v>0</v>
      </c>
      <c r="H25" s="631">
        <v>0</v>
      </c>
      <c r="I25" s="631"/>
      <c r="J25" s="631"/>
      <c r="K25" s="631">
        <f t="shared" si="13"/>
        <v>0</v>
      </c>
      <c r="L25" s="631">
        <f t="shared" si="14"/>
        <v>0</v>
      </c>
      <c r="M25" s="631">
        <f t="shared" si="15"/>
        <v>0</v>
      </c>
      <c r="N25" s="4">
        <f>D25</f>
        <v>200000</v>
      </c>
      <c r="O25" s="631">
        <f t="shared" si="16"/>
        <v>0</v>
      </c>
      <c r="P25" s="631">
        <f t="shared" si="17"/>
        <v>0</v>
      </c>
      <c r="Q25" s="631"/>
      <c r="R25" s="631"/>
      <c r="S25" s="631">
        <f t="shared" si="18"/>
        <v>0</v>
      </c>
      <c r="T25" s="631">
        <f t="shared" si="19"/>
        <v>0</v>
      </c>
      <c r="U25" s="631">
        <f t="shared" si="20"/>
        <v>200000</v>
      </c>
      <c r="V25" s="631">
        <f t="shared" si="21"/>
        <v>0</v>
      </c>
      <c r="W25" s="631">
        <f t="shared" si="22"/>
        <v>200000</v>
      </c>
      <c r="X25" s="631"/>
      <c r="Y25" s="631"/>
      <c r="Z25" s="631"/>
      <c r="AA25" s="630" t="s">
        <v>1188</v>
      </c>
      <c r="AB25" s="630">
        <v>810000</v>
      </c>
      <c r="AC25" s="656"/>
      <c r="AD25" s="662"/>
      <c r="AE25" s="635"/>
      <c r="AF25" s="635"/>
    </row>
    <row r="26" spans="1:35" s="636" customFormat="1" ht="41.4">
      <c r="A26" s="630">
        <f t="shared" si="23"/>
        <v>21</v>
      </c>
      <c r="B26" s="650">
        <v>2160</v>
      </c>
      <c r="C26" s="630" t="s">
        <v>1189</v>
      </c>
      <c r="D26" s="4">
        <f>210000-30000</f>
        <v>180000</v>
      </c>
      <c r="E26" s="631"/>
      <c r="F26" s="631">
        <f t="shared" si="12"/>
        <v>180000</v>
      </c>
      <c r="G26" s="631">
        <v>0</v>
      </c>
      <c r="H26" s="631">
        <v>0</v>
      </c>
      <c r="I26" s="631"/>
      <c r="J26" s="631"/>
      <c r="K26" s="631">
        <f t="shared" si="13"/>
        <v>0</v>
      </c>
      <c r="L26" s="631">
        <f t="shared" si="14"/>
        <v>0</v>
      </c>
      <c r="M26" s="631">
        <f t="shared" si="15"/>
        <v>0</v>
      </c>
      <c r="N26" s="4">
        <f>D26</f>
        <v>180000</v>
      </c>
      <c r="O26" s="631">
        <f t="shared" si="16"/>
        <v>0</v>
      </c>
      <c r="P26" s="631">
        <f t="shared" si="17"/>
        <v>0</v>
      </c>
      <c r="Q26" s="631"/>
      <c r="R26" s="631"/>
      <c r="S26" s="631">
        <f t="shared" si="18"/>
        <v>0</v>
      </c>
      <c r="T26" s="631">
        <f t="shared" si="19"/>
        <v>0</v>
      </c>
      <c r="U26" s="631">
        <f t="shared" si="20"/>
        <v>180000</v>
      </c>
      <c r="V26" s="631">
        <f t="shared" si="21"/>
        <v>0</v>
      </c>
      <c r="W26" s="631">
        <f t="shared" si="22"/>
        <v>180000</v>
      </c>
      <c r="X26" s="631"/>
      <c r="Y26" s="631"/>
      <c r="Z26" s="631"/>
      <c r="AA26" s="630" t="s">
        <v>1190</v>
      </c>
      <c r="AB26" s="630">
        <v>810000</v>
      </c>
      <c r="AC26" s="656"/>
      <c r="AD26" s="662"/>
      <c r="AE26" s="635"/>
      <c r="AF26" s="635"/>
    </row>
    <row r="27" spans="1:35" s="636" customFormat="1" ht="35.1" customHeight="1">
      <c r="A27" s="630">
        <f t="shared" si="23"/>
        <v>22</v>
      </c>
      <c r="B27" s="650">
        <v>2161</v>
      </c>
      <c r="C27" s="630" t="s">
        <v>1372</v>
      </c>
      <c r="D27" s="4">
        <v>180000</v>
      </c>
      <c r="E27" s="631"/>
      <c r="F27" s="631">
        <f t="shared" si="12"/>
        <v>180000</v>
      </c>
      <c r="G27" s="631">
        <v>0</v>
      </c>
      <c r="H27" s="631">
        <v>0</v>
      </c>
      <c r="I27" s="631"/>
      <c r="J27" s="631"/>
      <c r="K27" s="631">
        <f>SUM(I27:J27)</f>
        <v>0</v>
      </c>
      <c r="L27" s="631">
        <f t="shared" si="14"/>
        <v>0</v>
      </c>
      <c r="M27" s="631">
        <f t="shared" si="15"/>
        <v>0</v>
      </c>
      <c r="N27" s="4">
        <f>D27</f>
        <v>180000</v>
      </c>
      <c r="O27" s="631">
        <f t="shared" si="16"/>
        <v>0</v>
      </c>
      <c r="P27" s="631">
        <f t="shared" si="17"/>
        <v>0</v>
      </c>
      <c r="Q27" s="631"/>
      <c r="R27" s="631"/>
      <c r="S27" s="631">
        <f t="shared" si="18"/>
        <v>0</v>
      </c>
      <c r="T27" s="631">
        <f t="shared" si="19"/>
        <v>0</v>
      </c>
      <c r="U27" s="631">
        <f t="shared" si="20"/>
        <v>180000</v>
      </c>
      <c r="V27" s="631">
        <f t="shared" si="21"/>
        <v>0</v>
      </c>
      <c r="W27" s="631">
        <f t="shared" si="22"/>
        <v>180000</v>
      </c>
      <c r="X27" s="631"/>
      <c r="Y27" s="631"/>
      <c r="Z27" s="631"/>
      <c r="AA27" s="630" t="s">
        <v>1473</v>
      </c>
      <c r="AB27" s="630">
        <v>810000</v>
      </c>
      <c r="AC27" s="656"/>
      <c r="AD27" s="662"/>
      <c r="AE27" s="635"/>
      <c r="AF27" s="635"/>
    </row>
    <row r="28" spans="1:35" s="661" customFormat="1" ht="35.1" customHeight="1">
      <c r="A28" s="658">
        <f>A27</f>
        <v>22</v>
      </c>
      <c r="B28" s="658"/>
      <c r="C28" s="654" t="s">
        <v>572</v>
      </c>
      <c r="D28" s="88">
        <f>SUM(D6:D27)</f>
        <v>41534363</v>
      </c>
      <c r="E28" s="88">
        <f t="shared" ref="E28:Z28" si="24">SUM(E6:E27)</f>
        <v>17115363</v>
      </c>
      <c r="F28" s="88">
        <f t="shared" si="24"/>
        <v>24419000</v>
      </c>
      <c r="G28" s="88">
        <f t="shared" si="24"/>
        <v>15055363</v>
      </c>
      <c r="H28" s="88">
        <f t="shared" si="24"/>
        <v>5399054.3100000005</v>
      </c>
      <c r="I28" s="88">
        <f t="shared" si="24"/>
        <v>1200000</v>
      </c>
      <c r="J28" s="88">
        <f t="shared" si="24"/>
        <v>990427.74</v>
      </c>
      <c r="K28" s="88">
        <f t="shared" si="24"/>
        <v>2190427.7400000002</v>
      </c>
      <c r="L28" s="88">
        <f t="shared" si="24"/>
        <v>7589482.0499999989</v>
      </c>
      <c r="M28" s="88">
        <f t="shared" si="24"/>
        <v>7235880.9499999993</v>
      </c>
      <c r="N28" s="88">
        <f t="shared" si="24"/>
        <v>5685000</v>
      </c>
      <c r="O28" s="88">
        <f t="shared" si="24"/>
        <v>21024000</v>
      </c>
      <c r="P28" s="88">
        <f t="shared" si="24"/>
        <v>7465880.9499999993</v>
      </c>
      <c r="Q28" s="88">
        <f t="shared" si="24"/>
        <v>0</v>
      </c>
      <c r="R28" s="88">
        <f t="shared" si="24"/>
        <v>460000</v>
      </c>
      <c r="S28" s="88">
        <f t="shared" si="24"/>
        <v>460000</v>
      </c>
      <c r="T28" s="88">
        <f t="shared" si="24"/>
        <v>690000</v>
      </c>
      <c r="U28" s="88">
        <f t="shared" si="24"/>
        <v>4995000</v>
      </c>
      <c r="V28" s="88">
        <f t="shared" si="24"/>
        <v>0</v>
      </c>
      <c r="W28" s="88">
        <f t="shared" si="24"/>
        <v>4917000</v>
      </c>
      <c r="X28" s="88">
        <f t="shared" si="24"/>
        <v>0</v>
      </c>
      <c r="Y28" s="88">
        <f t="shared" si="24"/>
        <v>0</v>
      </c>
      <c r="Z28" s="88">
        <f t="shared" si="24"/>
        <v>78000</v>
      </c>
      <c r="AA28" s="658"/>
      <c r="AB28" s="658"/>
      <c r="AC28" s="659"/>
      <c r="AD28" s="660"/>
    </row>
    <row r="29" spans="1:35" s="634" customFormat="1" hidden="1">
      <c r="A29" s="655"/>
      <c r="B29" s="655"/>
      <c r="C29" s="656"/>
      <c r="D29" s="16"/>
      <c r="E29" s="657"/>
      <c r="F29" s="657"/>
      <c r="G29" s="657"/>
      <c r="H29" s="657"/>
      <c r="I29" s="657"/>
      <c r="J29" s="657"/>
      <c r="K29" s="657"/>
      <c r="L29" s="657">
        <f>K28+H28</f>
        <v>7589482.0500000007</v>
      </c>
      <c r="M29" s="657"/>
      <c r="N29" s="16"/>
      <c r="O29" s="657"/>
      <c r="P29" s="657">
        <f>G28-L29</f>
        <v>7465880.9499999993</v>
      </c>
      <c r="Q29" s="657"/>
      <c r="R29" s="657"/>
      <c r="S29" s="657"/>
      <c r="T29" s="657">
        <f>P29+S28-M28</f>
        <v>690000</v>
      </c>
      <c r="U29" s="657">
        <f>N28-T28</f>
        <v>4995000</v>
      </c>
      <c r="V29" s="655"/>
      <c r="W29" s="655"/>
      <c r="X29" s="655"/>
      <c r="Y29" s="655"/>
      <c r="Z29" s="655"/>
      <c r="AA29" s="656"/>
      <c r="AB29" s="655"/>
      <c r="AC29" s="633"/>
      <c r="AG29" s="655"/>
      <c r="AH29" s="655"/>
      <c r="AI29" s="655"/>
    </row>
  </sheetData>
  <sheetProtection formatCells="0" formatColumns="0" formatRows="0" insertColumns="0" insertRows="0" insertHyperlinks="0" deleteColumns="0" deleteRows="0" sort="0" autoFilter="0" pivotTables="0"/>
  <conditionalFormatting sqref="A1:W2 AE1:XFD2 Y1:AB2 AC1:AD6 AG4:AG19 AE3:AF19 AC7:AC22 AD7:AD23 AC24:AG26 AG28 AC28:AF1048576">
    <cfRule type="cellIs" dxfId="305" priority="9" operator="equal">
      <formula>0</formula>
    </cfRule>
  </conditionalFormatting>
  <conditionalFormatting sqref="AA4">
    <cfRule type="cellIs" dxfId="304" priority="8" operator="equal">
      <formula>0</formula>
    </cfRule>
  </conditionalFormatting>
  <conditionalFormatting sqref="X1:X2">
    <cfRule type="cellIs" dxfId="303" priority="7" operator="equal">
      <formula>0</formula>
    </cfRule>
  </conditionalFormatting>
  <conditionalFormatting sqref="AG21 AE20:AF21 AE23:AG23">
    <cfRule type="cellIs" dxfId="302" priority="6" operator="equal">
      <formula>0</formula>
    </cfRule>
  </conditionalFormatting>
  <conditionalFormatting sqref="AG20">
    <cfRule type="cellIs" dxfId="301" priority="5" operator="equal">
      <formula>0</formula>
    </cfRule>
  </conditionalFormatting>
  <conditionalFormatting sqref="AC23">
    <cfRule type="cellIs" dxfId="300" priority="4" operator="equal">
      <formula>0</formula>
    </cfRule>
  </conditionalFormatting>
  <conditionalFormatting sqref="AE22:AG22">
    <cfRule type="cellIs" dxfId="299" priority="3" operator="equal">
      <formula>0</formula>
    </cfRule>
  </conditionalFormatting>
  <conditionalFormatting sqref="AC27:AG27">
    <cfRule type="cellIs" dxfId="298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showZeros="0" rightToLeft="1" zoomScaleNormal="100" workbookViewId="0">
      <pane xSplit="3" ySplit="4" topLeftCell="D24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O31" sqref="O31"/>
    </sheetView>
  </sheetViews>
  <sheetFormatPr defaultColWidth="8.88671875" defaultRowHeight="13.8"/>
  <cols>
    <col min="1" max="1" width="5.109375" style="655" customWidth="1"/>
    <col min="2" max="2" width="4.6640625" style="784" customWidth="1"/>
    <col min="3" max="3" width="27.44140625" style="712" customWidth="1"/>
    <col min="4" max="4" width="10" style="16" customWidth="1"/>
    <col min="5" max="5" width="10.109375" style="657" hidden="1" customWidth="1"/>
    <col min="6" max="6" width="9.88671875" style="657" hidden="1" customWidth="1"/>
    <col min="7" max="7" width="13.21875" style="657" hidden="1" customWidth="1"/>
    <col min="8" max="10" width="12.33203125" style="657" hidden="1" customWidth="1"/>
    <col min="11" max="11" width="11" style="657" hidden="1" customWidth="1"/>
    <col min="12" max="12" width="8.5546875" style="657" customWidth="1"/>
    <col min="13" max="13" width="9.5546875" style="657" customWidth="1"/>
    <col min="14" max="14" width="10.44140625" style="16" customWidth="1"/>
    <col min="15" max="15" width="9.88671875" style="657" bestFit="1" customWidth="1"/>
    <col min="16" max="17" width="10.77734375" style="657" hidden="1" customWidth="1"/>
    <col min="18" max="19" width="11.6640625" style="657" hidden="1" customWidth="1"/>
    <col min="20" max="20" width="7.77734375" style="657" customWidth="1"/>
    <col min="21" max="21" width="10" style="655" customWidth="1"/>
    <col min="22" max="22" width="8.21875" style="655" customWidth="1"/>
    <col min="23" max="23" width="10" style="655" customWidth="1"/>
    <col min="24" max="25" width="4" style="655" hidden="1" customWidth="1"/>
    <col min="26" max="26" width="9.109375" style="655" customWidth="1"/>
    <col min="27" max="27" width="25" style="712" customWidth="1"/>
    <col min="28" max="28" width="7.6640625" style="655" customWidth="1"/>
    <col min="29" max="29" width="19.109375" style="633" customWidth="1"/>
    <col min="30" max="30" width="9.88671875" style="634" customWidth="1"/>
    <col min="31" max="31" width="9.109375" style="634" customWidth="1"/>
    <col min="32" max="32" width="13" style="634" customWidth="1"/>
    <col min="33" max="33" width="19.109375" style="655" customWidth="1"/>
    <col min="34" max="35" width="8.88671875" style="655" customWidth="1"/>
    <col min="36" max="16384" width="8.88671875" style="655"/>
  </cols>
  <sheetData>
    <row r="1" spans="1:35" s="643" customFormat="1" ht="18">
      <c r="A1" s="637"/>
      <c r="B1" s="780"/>
      <c r="C1" s="785"/>
      <c r="D1" s="639"/>
      <c r="E1" s="637"/>
      <c r="F1" s="637"/>
      <c r="G1" s="637"/>
      <c r="H1" s="637"/>
      <c r="I1" s="637"/>
      <c r="J1" s="637"/>
      <c r="K1" s="637"/>
      <c r="L1" s="637"/>
      <c r="M1" s="637"/>
      <c r="N1" s="639"/>
      <c r="O1" s="637"/>
      <c r="P1" s="637"/>
      <c r="Q1" s="637"/>
      <c r="R1" s="637"/>
      <c r="S1" s="637"/>
      <c r="T1" s="637"/>
      <c r="U1" s="637"/>
      <c r="V1" s="637"/>
      <c r="W1" s="637"/>
      <c r="X1" s="640"/>
      <c r="Y1" s="640"/>
      <c r="Z1" s="641"/>
      <c r="AA1" s="708"/>
      <c r="AB1" s="641"/>
      <c r="AC1" s="633"/>
      <c r="AD1" s="634"/>
      <c r="AE1" s="634"/>
      <c r="AF1" s="634"/>
      <c r="AG1" s="641"/>
      <c r="AH1" s="641"/>
      <c r="AI1" s="641"/>
    </row>
    <row r="2" spans="1:35" s="643" customFormat="1" ht="18">
      <c r="A2" s="637" t="s">
        <v>378</v>
      </c>
      <c r="B2" s="780"/>
      <c r="C2" s="785"/>
      <c r="D2" s="639"/>
      <c r="E2" s="637"/>
      <c r="F2" s="637"/>
      <c r="G2" s="637"/>
      <c r="H2" s="637"/>
      <c r="I2" s="637"/>
      <c r="J2" s="637"/>
      <c r="K2" s="637"/>
      <c r="L2" s="637"/>
      <c r="M2" s="637"/>
      <c r="N2" s="639"/>
      <c r="O2" s="637"/>
      <c r="P2" s="637"/>
      <c r="Q2" s="637"/>
      <c r="R2" s="637"/>
      <c r="S2" s="637"/>
      <c r="T2" s="637"/>
      <c r="U2" s="637"/>
      <c r="V2" s="637"/>
      <c r="W2" s="637"/>
      <c r="X2" s="634"/>
      <c r="Y2" s="634"/>
      <c r="Z2" s="634"/>
      <c r="AA2" s="709"/>
      <c r="AB2" s="634"/>
      <c r="AC2" s="633"/>
      <c r="AD2" s="634"/>
      <c r="AE2" s="634"/>
      <c r="AF2" s="634"/>
      <c r="AG2" s="634"/>
      <c r="AH2" s="634"/>
      <c r="AI2" s="634"/>
    </row>
    <row r="4" spans="1:35" s="646" customFormat="1" ht="86.25" customHeight="1">
      <c r="A4" s="187" t="s">
        <v>0</v>
      </c>
      <c r="B4" s="781" t="s">
        <v>1</v>
      </c>
      <c r="C4" s="644" t="s">
        <v>2</v>
      </c>
      <c r="D4" s="18" t="s">
        <v>3</v>
      </c>
      <c r="E4" s="644" t="s">
        <v>4</v>
      </c>
      <c r="F4" s="644" t="s">
        <v>5</v>
      </c>
      <c r="G4" s="644" t="s">
        <v>6</v>
      </c>
      <c r="H4" s="644" t="s">
        <v>7</v>
      </c>
      <c r="I4" s="644" t="s">
        <v>9</v>
      </c>
      <c r="J4" s="644" t="s">
        <v>215</v>
      </c>
      <c r="K4" s="644" t="s">
        <v>10</v>
      </c>
      <c r="L4" s="644" t="s">
        <v>11</v>
      </c>
      <c r="M4" s="2" t="s">
        <v>918</v>
      </c>
      <c r="N4" s="18" t="s">
        <v>919</v>
      </c>
      <c r="O4" s="644" t="s">
        <v>920</v>
      </c>
      <c r="P4" s="644" t="s">
        <v>12</v>
      </c>
      <c r="Q4" s="644" t="s">
        <v>925</v>
      </c>
      <c r="R4" s="644" t="s">
        <v>926</v>
      </c>
      <c r="S4" s="644" t="s">
        <v>927</v>
      </c>
      <c r="T4" s="644" t="s">
        <v>921</v>
      </c>
      <c r="U4" s="644" t="s">
        <v>922</v>
      </c>
      <c r="V4" s="644" t="s">
        <v>13</v>
      </c>
      <c r="W4" s="644" t="s">
        <v>14</v>
      </c>
      <c r="X4" s="644" t="s">
        <v>15</v>
      </c>
      <c r="Y4" s="644" t="s">
        <v>354</v>
      </c>
      <c r="Z4" s="644" t="s">
        <v>105</v>
      </c>
      <c r="AA4" s="645" t="s">
        <v>410</v>
      </c>
      <c r="AB4" s="644" t="s">
        <v>16</v>
      </c>
      <c r="AC4" s="633"/>
      <c r="AD4" s="634"/>
      <c r="AE4" s="634"/>
      <c r="AF4" s="634"/>
      <c r="AG4" s="634"/>
    </row>
    <row r="5" spans="1:35" s="649" customFormat="1" ht="18.75" customHeight="1">
      <c r="A5" s="647"/>
      <c r="B5" s="782"/>
      <c r="C5" s="710"/>
      <c r="D5" s="12"/>
      <c r="E5" s="648"/>
      <c r="F5" s="648"/>
      <c r="G5" s="648"/>
      <c r="H5" s="648"/>
      <c r="I5" s="648"/>
      <c r="J5" s="648"/>
      <c r="K5" s="648"/>
      <c r="L5" s="648"/>
      <c r="M5" s="648"/>
      <c r="N5" s="12"/>
      <c r="O5" s="648"/>
      <c r="P5" s="648"/>
      <c r="Q5" s="648"/>
      <c r="R5" s="648"/>
      <c r="S5" s="648"/>
      <c r="T5" s="648"/>
      <c r="U5" s="648"/>
      <c r="V5" s="648"/>
      <c r="W5" s="648"/>
      <c r="X5" s="648"/>
      <c r="Y5" s="648"/>
      <c r="Z5" s="648"/>
      <c r="AA5" s="710"/>
      <c r="AB5" s="647"/>
      <c r="AC5" s="633"/>
      <c r="AD5" s="634"/>
      <c r="AE5" s="634"/>
      <c r="AF5" s="634"/>
      <c r="AG5" s="634"/>
    </row>
    <row r="6" spans="1:35" s="636" customFormat="1" ht="30" customHeight="1">
      <c r="A6" s="630">
        <f t="shared" ref="A6:A23" si="0">1+A5</f>
        <v>1</v>
      </c>
      <c r="B6" s="706">
        <f>'תקציב אגף חינוך 2020'!B6</f>
        <v>1710</v>
      </c>
      <c r="C6" s="87" t="str">
        <f>'תקציב אגף חינוך 2020'!C6</f>
        <v>פרויקט שיגור לווין 2 דוכיפת 2</v>
      </c>
      <c r="D6" s="4">
        <f>'תקציב אגף חינוך 2020'!D6</f>
        <v>1134863</v>
      </c>
      <c r="E6" s="4">
        <f>'תקציב אגף חינוך 2020'!E6</f>
        <v>1134863</v>
      </c>
      <c r="F6" s="4">
        <f>'תקציב אגף חינוך 2020'!F6</f>
        <v>0</v>
      </c>
      <c r="G6" s="4">
        <f>'תקציב אגף חינוך 2020'!G6</f>
        <v>1134863</v>
      </c>
      <c r="H6" s="4">
        <f>'תקציב אגף חינוך 2020'!H6</f>
        <v>1075119.23</v>
      </c>
      <c r="I6" s="4">
        <f>'תקציב אגף חינוך 2020'!I6</f>
        <v>0</v>
      </c>
      <c r="J6" s="4">
        <f>'תקציב אגף חינוך 2020'!J6</f>
        <v>3808</v>
      </c>
      <c r="K6" s="4">
        <f>'תקציב אגף חינוך 2020'!K6</f>
        <v>3808</v>
      </c>
      <c r="L6" s="4">
        <f>'תקציב אגף חינוך 2020'!L6</f>
        <v>1078927.23</v>
      </c>
      <c r="M6" s="4">
        <f>'תקציב אגף חינוך 2020'!M6</f>
        <v>55935.770000000019</v>
      </c>
      <c r="N6" s="4">
        <f>'תקציב אגף חינוך 2020'!N6</f>
        <v>0</v>
      </c>
      <c r="O6" s="4">
        <f>'תקציב אגף חינוך 2020'!O6</f>
        <v>0</v>
      </c>
      <c r="P6" s="4">
        <f>'תקציב אגף חינוך 2020'!P6</f>
        <v>55935.770000000019</v>
      </c>
      <c r="Q6" s="4">
        <f>'תקציב אגף חינוך 2020'!Q6</f>
        <v>0</v>
      </c>
      <c r="R6" s="4">
        <f>'תקציב אגף חינוך 2020'!R6</f>
        <v>0</v>
      </c>
      <c r="S6" s="4">
        <f>'תקציב אגף חינוך 2020'!S6</f>
        <v>0</v>
      </c>
      <c r="T6" s="4">
        <f>'תקציב אגף חינוך 2020'!T6</f>
        <v>0</v>
      </c>
      <c r="U6" s="4">
        <f>'תקציב אגף חינוך 2020'!U6</f>
        <v>0</v>
      </c>
      <c r="V6" s="4">
        <f>'תקציב אגף חינוך 2020'!V6</f>
        <v>0</v>
      </c>
      <c r="W6" s="4">
        <f>'תקציב אגף חינוך 2020'!W6</f>
        <v>0</v>
      </c>
      <c r="X6" s="4">
        <f>'תקציב אגף חינוך 2020'!X6</f>
        <v>0</v>
      </c>
      <c r="Y6" s="4">
        <f>'תקציב אגף חינוך 2020'!Y6</f>
        <v>0</v>
      </c>
      <c r="Z6" s="4">
        <f>'תקציב אגף חינוך 2020'!Z6</f>
        <v>0</v>
      </c>
      <c r="AA6" s="87" t="str">
        <f>'תקציב אגף חינוך 2020'!AA6</f>
        <v>פרויקט שיגור לווין 2 במסגרת FP7 של האיחוד האירופי.</v>
      </c>
      <c r="AB6" s="706">
        <f>'תקציב אגף חינוך 2020'!AB6</f>
        <v>810000</v>
      </c>
      <c r="AC6" s="633"/>
      <c r="AD6" s="634"/>
      <c r="AE6" s="634"/>
      <c r="AF6" s="634"/>
      <c r="AG6" s="634"/>
    </row>
    <row r="7" spans="1:35" s="636" customFormat="1" ht="27.6">
      <c r="A7" s="630">
        <f t="shared" si="0"/>
        <v>2</v>
      </c>
      <c r="B7" s="706">
        <f>'תקציב אגף חינוך 2020'!B7</f>
        <v>1776</v>
      </c>
      <c r="C7" s="87" t="str">
        <f>'תקציב אגף חינוך 2020'!C7</f>
        <v>הצטידות כיתות חדשות בי"ס</v>
      </c>
      <c r="D7" s="4">
        <f>'תקציב אגף חינוך 2020'!D7</f>
        <v>1205000</v>
      </c>
      <c r="E7" s="4">
        <f>'תקציב אגף חינוך 2020'!E7</f>
        <v>915000</v>
      </c>
      <c r="F7" s="4">
        <f>'תקציב אגף חינוך 2020'!F7</f>
        <v>290000</v>
      </c>
      <c r="G7" s="4">
        <f>'תקציב אגף חינוך 2020'!G7</f>
        <v>915000</v>
      </c>
      <c r="H7" s="4">
        <f>'תקציב אגף חינוך 2020'!H7</f>
        <v>514725.89</v>
      </c>
      <c r="I7" s="4">
        <f>'תקציב אגף חינוך 2020'!I7</f>
        <v>0</v>
      </c>
      <c r="J7" s="4">
        <f>'תקציב אגף חינוך 2020'!J7</f>
        <v>300659.88</v>
      </c>
      <c r="K7" s="4">
        <f>'תקציב אגף חינוך 2020'!K7</f>
        <v>300659.88</v>
      </c>
      <c r="L7" s="4">
        <f>'תקציב אגף חינוך 2020'!L7</f>
        <v>815385.77</v>
      </c>
      <c r="M7" s="4">
        <f>'תקציב אגף חינוך 2020'!M7</f>
        <v>9614.2299999999814</v>
      </c>
      <c r="N7" s="4">
        <f>'תקציב אגף חינוך 2020'!N7</f>
        <v>380000</v>
      </c>
      <c r="O7" s="4">
        <f>'תקציב אגף חינוך 2020'!O7</f>
        <v>0</v>
      </c>
      <c r="P7" s="4">
        <f>'תקציב אגף חינוך 2020'!P7</f>
        <v>99614.229999999981</v>
      </c>
      <c r="Q7" s="4">
        <f>'תקציב אגף חינוך 2020'!Q7</f>
        <v>0</v>
      </c>
      <c r="R7" s="4">
        <f>'תקציב אגף חינוך 2020'!R7</f>
        <v>0</v>
      </c>
      <c r="S7" s="4">
        <f>'תקציב אגף חינוך 2020'!S7</f>
        <v>0</v>
      </c>
      <c r="T7" s="4">
        <f>'תקציב אגף חינוך 2020'!T7</f>
        <v>90000</v>
      </c>
      <c r="U7" s="4">
        <f>'תקציב אגף חינוך 2020'!U7</f>
        <v>290000</v>
      </c>
      <c r="V7" s="4">
        <f>'תקציב אגף חינוך 2020'!V7</f>
        <v>0</v>
      </c>
      <c r="W7" s="4">
        <f>'תקציב אגף חינוך 2020'!W7</f>
        <v>290000</v>
      </c>
      <c r="X7" s="4">
        <f>'תקציב אגף חינוך 2020'!X7</f>
        <v>0</v>
      </c>
      <c r="Y7" s="4">
        <f>'תקציב אגף חינוך 2020'!Y7</f>
        <v>0</v>
      </c>
      <c r="Z7" s="4">
        <f>'תקציב אגף חינוך 2020'!Z7</f>
        <v>0</v>
      </c>
      <c r="AA7" s="87" t="str">
        <f>'תקציב אגף חינוך 2020'!AA7</f>
        <v>הצטיידות כיתות חדשות בעקבות גידול עפ"י צפי במס' תלמידים.</v>
      </c>
      <c r="AB7" s="706">
        <f>'תקציב אגף חינוך 2020'!AB7</f>
        <v>810000</v>
      </c>
      <c r="AC7" s="633"/>
      <c r="AD7" s="634"/>
      <c r="AE7" s="634"/>
      <c r="AF7" s="634"/>
      <c r="AG7" s="634"/>
    </row>
    <row r="8" spans="1:35" s="636" customFormat="1" ht="41.4">
      <c r="A8" s="630">
        <f t="shared" si="0"/>
        <v>3</v>
      </c>
      <c r="B8" s="706">
        <f>'תקציב אגף חינוך 2020'!B8</f>
        <v>1828</v>
      </c>
      <c r="C8" s="87" t="str">
        <f>'תקציב אגף חינוך 2020'!C8</f>
        <v>הנגשת כיתות ליקויי שמיעה (מ.החינוך)</v>
      </c>
      <c r="D8" s="4">
        <f>'תקציב אגף חינוך 2020'!D8</f>
        <v>240000</v>
      </c>
      <c r="E8" s="4">
        <f>'תקציב אגף חינוך 2020'!E8</f>
        <v>240000</v>
      </c>
      <c r="F8" s="4">
        <f>'תקציב אגף חינוך 2020'!F8</f>
        <v>0</v>
      </c>
      <c r="G8" s="4">
        <f>'תקציב אגף חינוך 2020'!G8</f>
        <v>240000</v>
      </c>
      <c r="H8" s="4">
        <f>'תקציב אגף חינוך 2020'!H8</f>
        <v>188718.3</v>
      </c>
      <c r="I8" s="4">
        <f>'תקציב אגף חינוך 2020'!I8</f>
        <v>0</v>
      </c>
      <c r="J8" s="4">
        <f>'תקציב אגף חינוך 2020'!J8</f>
        <v>0</v>
      </c>
      <c r="K8" s="4">
        <f>'תקציב אגף חינוך 2020'!K8</f>
        <v>0</v>
      </c>
      <c r="L8" s="4">
        <f>'תקציב אגף חינוך 2020'!L8</f>
        <v>188718.3</v>
      </c>
      <c r="M8" s="4">
        <f>'תקציב אגף חינוך 2020'!M8</f>
        <v>51281.700000000012</v>
      </c>
      <c r="N8" s="4">
        <f>'תקציב אגף חינוך 2020'!N8</f>
        <v>0</v>
      </c>
      <c r="O8" s="4">
        <f>'תקציב אגף חינוך 2020'!O8</f>
        <v>0</v>
      </c>
      <c r="P8" s="4">
        <f>'תקציב אגף חינוך 2020'!P8</f>
        <v>51281.700000000012</v>
      </c>
      <c r="Q8" s="4">
        <f>'תקציב אגף חינוך 2020'!Q8</f>
        <v>0</v>
      </c>
      <c r="R8" s="4">
        <f>'תקציב אגף חינוך 2020'!R8</f>
        <v>0</v>
      </c>
      <c r="S8" s="4">
        <f>'תקציב אגף חינוך 2020'!S8</f>
        <v>0</v>
      </c>
      <c r="T8" s="4">
        <f>'תקציב אגף חינוך 2020'!T8</f>
        <v>0</v>
      </c>
      <c r="U8" s="4">
        <f>'תקציב אגף חינוך 2020'!U8</f>
        <v>0</v>
      </c>
      <c r="V8" s="4">
        <f>'תקציב אגף חינוך 2020'!V8</f>
        <v>0</v>
      </c>
      <c r="W8" s="4">
        <f>'תקציב אגף חינוך 2020'!W8</f>
        <v>0</v>
      </c>
      <c r="X8" s="4">
        <f>'תקציב אגף חינוך 2020'!X8</f>
        <v>0</v>
      </c>
      <c r="Y8" s="4">
        <f>'תקציב אגף חינוך 2020'!Y8</f>
        <v>0</v>
      </c>
      <c r="Z8" s="4">
        <f>'תקציב אגף חינוך 2020'!Z8</f>
        <v>0</v>
      </c>
      <c r="AA8" s="87" t="str">
        <f>'תקציב אגף חינוך 2020'!AA8</f>
        <v>הנגשת כיתות ליקווי שמיעה. ייסגר עם קבלת  יתרת התקבולים ממ. החינוך.</v>
      </c>
      <c r="AB8" s="706">
        <f>'תקציב אגף חינוך 2020'!AB8</f>
        <v>810000</v>
      </c>
      <c r="AC8" s="633"/>
      <c r="AD8" s="634"/>
      <c r="AE8" s="634"/>
      <c r="AF8" s="634"/>
      <c r="AG8" s="634"/>
    </row>
    <row r="9" spans="1:35" s="636" customFormat="1" ht="55.2">
      <c r="A9" s="630">
        <f t="shared" si="0"/>
        <v>4</v>
      </c>
      <c r="B9" s="706">
        <f>'תקציב אגף חינוך 2020'!B9</f>
        <v>1930</v>
      </c>
      <c r="C9" s="87" t="str">
        <f>'תקציב אגף חינוך 2020'!C9</f>
        <v>הצטיידות גנ"י חדשים ח"ר,ח"מ</v>
      </c>
      <c r="D9" s="4">
        <f>'תקציב אגף חינוך 2020'!D9</f>
        <v>1670000</v>
      </c>
      <c r="E9" s="4">
        <f>'תקציב אגף חינוך 2020'!E9</f>
        <v>1060000</v>
      </c>
      <c r="F9" s="4">
        <f>'תקציב אגף חינוך 2020'!F9</f>
        <v>610000</v>
      </c>
      <c r="G9" s="4">
        <f>'תקציב אגף חינוך 2020'!G9</f>
        <v>1060000</v>
      </c>
      <c r="H9" s="4">
        <f>'תקציב אגף חינוך 2020'!H9</f>
        <v>611217.98</v>
      </c>
      <c r="I9" s="4">
        <f>'תקציב אגף חינוך 2020'!I9</f>
        <v>0</v>
      </c>
      <c r="J9" s="4">
        <f>'תקציב אגף חינוך 2020'!J9</f>
        <v>8299.98</v>
      </c>
      <c r="K9" s="4">
        <f>'תקציב אגף חינוך 2020'!K9</f>
        <v>8299.98</v>
      </c>
      <c r="L9" s="4">
        <f>'תקציב אגף חינוך 2020'!L9</f>
        <v>619517.96</v>
      </c>
      <c r="M9" s="4">
        <f>'תקציב אגף חינוך 2020'!M9</f>
        <v>440482.04000000004</v>
      </c>
      <c r="N9" s="4">
        <f>'תקציב אגף חינוך 2020'!N9</f>
        <v>610000</v>
      </c>
      <c r="O9" s="4">
        <f>'תקציב אגף חינוך 2020'!O9</f>
        <v>0</v>
      </c>
      <c r="P9" s="4">
        <f>'תקציב אגף חינוך 2020'!P9</f>
        <v>440482.04000000004</v>
      </c>
      <c r="Q9" s="4">
        <f>'תקציב אגף חינוך 2020'!Q9</f>
        <v>0</v>
      </c>
      <c r="R9" s="4">
        <f>'תקציב אגף חינוך 2020'!R9</f>
        <v>0</v>
      </c>
      <c r="S9" s="4">
        <f>'תקציב אגף חינוך 2020'!S9</f>
        <v>0</v>
      </c>
      <c r="T9" s="4">
        <f>'תקציב אגף חינוך 2020'!T9</f>
        <v>0</v>
      </c>
      <c r="U9" s="4">
        <f>'תקציב אגף חינוך 2020'!U9</f>
        <v>610000</v>
      </c>
      <c r="V9" s="4">
        <f>'תקציב אגף חינוך 2020'!V9</f>
        <v>0</v>
      </c>
      <c r="W9" s="4">
        <f>'תקציב אגף חינוך 2020'!W9</f>
        <v>610000</v>
      </c>
      <c r="X9" s="4">
        <f>'תקציב אגף חינוך 2020'!X9</f>
        <v>0</v>
      </c>
      <c r="Y9" s="4">
        <f>'תקציב אגף חינוך 2020'!Y9</f>
        <v>0</v>
      </c>
      <c r="Z9" s="4">
        <f>'תקציב אגף חינוך 2020'!Z9</f>
        <v>0</v>
      </c>
      <c r="AA9" s="87" t="str">
        <f>'תקציב אגף חינוך 2020'!AA9</f>
        <v>הצטיידות  גנים חדשים כולל  ח"מ שנבנו לאחרונה או יבנו לקראת תש"פ ופתיחת גנים במבנים קיימים.</v>
      </c>
      <c r="AB9" s="706">
        <f>'תקציב אגף חינוך 2020'!AB9</f>
        <v>810000</v>
      </c>
      <c r="AC9" s="633"/>
      <c r="AD9" s="634"/>
      <c r="AE9" s="634"/>
      <c r="AF9" s="634"/>
      <c r="AG9" s="634"/>
    </row>
    <row r="10" spans="1:35" s="636" customFormat="1" ht="55.2">
      <c r="A10" s="630">
        <f t="shared" si="0"/>
        <v>5</v>
      </c>
      <c r="B10" s="706">
        <f>'תקציב אגף חינוך 2020'!B10</f>
        <v>1975</v>
      </c>
      <c r="C10" s="87" t="str">
        <f>'תקציב אגף חינוך 2020'!C10</f>
        <v xml:space="preserve">פרויקט  שיגור לווין דוכיפת 3 </v>
      </c>
      <c r="D10" s="4">
        <f>'תקציב אגף חינוך 2020'!D10</f>
        <v>975000</v>
      </c>
      <c r="E10" s="4">
        <f>'תקציב אגף חינוך 2020'!E10</f>
        <v>975000</v>
      </c>
      <c r="F10" s="4">
        <f>'תקציב אגף חינוך 2020'!F10</f>
        <v>0</v>
      </c>
      <c r="G10" s="4">
        <f>'תקציב אגף חינוך 2020'!G10</f>
        <v>975000</v>
      </c>
      <c r="H10" s="4">
        <f>'תקציב אגף חינוך 2020'!H10</f>
        <v>0</v>
      </c>
      <c r="I10" s="4">
        <f>'תקציב אגף חינוך 2020'!I10</f>
        <v>0</v>
      </c>
      <c r="J10" s="4">
        <f>'תקציב אגף חינוך 2020'!J10</f>
        <v>0</v>
      </c>
      <c r="K10" s="4">
        <f>'תקציב אגף חינוך 2020'!K10</f>
        <v>0</v>
      </c>
      <c r="L10" s="4">
        <f>'תקציב אגף חינוך 2020'!L10</f>
        <v>0</v>
      </c>
      <c r="M10" s="4">
        <f>'תקציב אגף חינוך 2020'!M10</f>
        <v>975000</v>
      </c>
      <c r="N10" s="4">
        <f>'תקציב אגף חינוך 2020'!N10</f>
        <v>0</v>
      </c>
      <c r="O10" s="4">
        <f>'תקציב אגף חינוך 2020'!O10</f>
        <v>0</v>
      </c>
      <c r="P10" s="4">
        <f>'תקציב אגף חינוך 2020'!P10</f>
        <v>975000</v>
      </c>
      <c r="Q10" s="4">
        <f>'תקציב אגף חינוך 2020'!Q10</f>
        <v>0</v>
      </c>
      <c r="R10" s="4">
        <f>'תקציב אגף חינוך 2020'!R10</f>
        <v>0</v>
      </c>
      <c r="S10" s="4">
        <f>'תקציב אגף חינוך 2020'!S10</f>
        <v>0</v>
      </c>
      <c r="T10" s="4">
        <f>'תקציב אגף חינוך 2020'!T10</f>
        <v>0</v>
      </c>
      <c r="U10" s="4">
        <f>'תקציב אגף חינוך 2020'!U10</f>
        <v>0</v>
      </c>
      <c r="V10" s="4">
        <f>'תקציב אגף חינוך 2020'!V10</f>
        <v>0</v>
      </c>
      <c r="W10" s="4">
        <f>'תקציב אגף חינוך 2020'!W10</f>
        <v>0</v>
      </c>
      <c r="X10" s="4">
        <f>'תקציב אגף חינוך 2020'!X10</f>
        <v>0</v>
      </c>
      <c r="Y10" s="4">
        <f>'תקציב אגף חינוך 2020'!Y10</f>
        <v>0</v>
      </c>
      <c r="Z10" s="4">
        <f>'תקציב אגף חינוך 2020'!Z10</f>
        <v>0</v>
      </c>
      <c r="AA10" s="87" t="str">
        <f>'תקציב אגף חינוך 2020'!AA10</f>
        <v>פרויקט שיגור לווין 3  בשיתוף פעולה עם המועצה האזורית שער הנגב  הנמצא בשלבים הסופיים לפני שיגור.</v>
      </c>
      <c r="AB10" s="706">
        <f>'תקציב אגף חינוך 2020'!AB10</f>
        <v>810000</v>
      </c>
      <c r="AC10" s="633"/>
      <c r="AD10" s="634"/>
      <c r="AE10" s="634"/>
      <c r="AF10" s="634"/>
      <c r="AG10" s="634"/>
    </row>
    <row r="11" spans="1:35" s="636" customFormat="1" ht="30" customHeight="1">
      <c r="A11" s="630">
        <f t="shared" si="0"/>
        <v>6</v>
      </c>
      <c r="B11" s="706">
        <f>'תקציב אגף חינוך 2020'!B11</f>
        <v>1976</v>
      </c>
      <c r="C11" s="87" t="str">
        <f>'תקציב אגף חינוך 2020'!C11</f>
        <v>הצטידות חדשה בי"ס אופק</v>
      </c>
      <c r="D11" s="4">
        <f>'תקציב אגף חינוך 2020'!D11</f>
        <v>644100</v>
      </c>
      <c r="E11" s="4">
        <f>'תקציב אגף חינוך 2020'!E11</f>
        <v>644100</v>
      </c>
      <c r="F11" s="4">
        <f>'תקציב אגף חינוך 2020'!F11</f>
        <v>0</v>
      </c>
      <c r="G11" s="4">
        <f>'תקציב אגף חינוך 2020'!G11</f>
        <v>644100</v>
      </c>
      <c r="H11" s="4">
        <f>'תקציב אגף חינוך 2020'!H11</f>
        <v>341069.34</v>
      </c>
      <c r="I11" s="4">
        <f>'תקציב אגף חינוך 2020'!I11</f>
        <v>0</v>
      </c>
      <c r="J11" s="4">
        <f>'תקציב אגף חינוך 2020'!J11</f>
        <v>0</v>
      </c>
      <c r="K11" s="4">
        <f>'תקציב אגף חינוך 2020'!K11</f>
        <v>0</v>
      </c>
      <c r="L11" s="4">
        <f>'תקציב אגף חינוך 2020'!L11</f>
        <v>341069.34</v>
      </c>
      <c r="M11" s="4">
        <f>'תקציב אגף חינוך 2020'!M11</f>
        <v>303030.65999999997</v>
      </c>
      <c r="N11" s="4">
        <f>'תקציב אגף חינוך 2020'!N11</f>
        <v>0</v>
      </c>
      <c r="O11" s="4">
        <f>'תקציב אגף חינוך 2020'!O11</f>
        <v>0</v>
      </c>
      <c r="P11" s="4">
        <f>'תקציב אגף חינוך 2020'!P11</f>
        <v>303030.65999999997</v>
      </c>
      <c r="Q11" s="4">
        <f>'תקציב אגף חינוך 2020'!Q11</f>
        <v>0</v>
      </c>
      <c r="R11" s="4">
        <f>'תקציב אגף חינוך 2020'!R11</f>
        <v>0</v>
      </c>
      <c r="S11" s="4">
        <f>'תקציב אגף חינוך 2020'!S11</f>
        <v>0</v>
      </c>
      <c r="T11" s="4">
        <f>'תקציב אגף חינוך 2020'!T11</f>
        <v>0</v>
      </c>
      <c r="U11" s="4">
        <f>'תקציב אגף חינוך 2020'!U11</f>
        <v>0</v>
      </c>
      <c r="V11" s="4">
        <f>'תקציב אגף חינוך 2020'!V11</f>
        <v>0</v>
      </c>
      <c r="W11" s="4">
        <f>'תקציב אגף חינוך 2020'!W11</f>
        <v>0</v>
      </c>
      <c r="X11" s="4">
        <f>'תקציב אגף חינוך 2020'!X11</f>
        <v>0</v>
      </c>
      <c r="Y11" s="4">
        <f>'תקציב אגף חינוך 2020'!Y11</f>
        <v>0</v>
      </c>
      <c r="Z11" s="4">
        <f>'תקציב אגף חינוך 2020'!Z11</f>
        <v>0</v>
      </c>
      <c r="AA11" s="87" t="str">
        <f>'תקציב אגף חינוך 2020'!AA11</f>
        <v>המשך הצטיידות אופק אחרי השיפוץ.</v>
      </c>
      <c r="AB11" s="706">
        <f>'תקציב אגף חינוך 2020'!AB11</f>
        <v>810000</v>
      </c>
      <c r="AC11" s="633"/>
      <c r="AD11" s="634"/>
      <c r="AE11" s="634"/>
      <c r="AF11" s="634"/>
      <c r="AG11" s="634"/>
    </row>
    <row r="12" spans="1:35" s="636" customFormat="1" ht="30" customHeight="1">
      <c r="A12" s="630">
        <f t="shared" si="0"/>
        <v>7</v>
      </c>
      <c r="B12" s="706">
        <f>'תקציב אגף חינוך 2020'!B12</f>
        <v>1977</v>
      </c>
      <c r="C12" s="87" t="str">
        <f>'תקציב אגף חינוך 2020'!C12</f>
        <v>הצטידות חדשה בי"ס לב טוב</v>
      </c>
      <c r="D12" s="4">
        <f>'תקציב אגף חינוך 2020'!D12</f>
        <v>44100</v>
      </c>
      <c r="E12" s="4">
        <f>'תקציב אגף חינוך 2020'!E12</f>
        <v>44100</v>
      </c>
      <c r="F12" s="4">
        <f>'תקציב אגף חינוך 2020'!F12</f>
        <v>0</v>
      </c>
      <c r="G12" s="4">
        <f>'תקציב אגף חינוך 2020'!G12</f>
        <v>44100</v>
      </c>
      <c r="H12" s="4">
        <f>'תקציב אגף חינוך 2020'!H12</f>
        <v>43348.57</v>
      </c>
      <c r="I12" s="4">
        <f>'תקציב אגף חינוך 2020'!I12</f>
        <v>0</v>
      </c>
      <c r="J12" s="4">
        <f>'תקציב אגף חינוך 2020'!J12</f>
        <v>0</v>
      </c>
      <c r="K12" s="4">
        <f>'תקציב אגף חינוך 2020'!K12</f>
        <v>0</v>
      </c>
      <c r="L12" s="4">
        <f>'תקציב אגף חינוך 2020'!L12</f>
        <v>43348.57</v>
      </c>
      <c r="M12" s="4">
        <f>'תקציב אגף חינוך 2020'!M12</f>
        <v>751.43000000000029</v>
      </c>
      <c r="N12" s="4">
        <f>'תקציב אגף חינוך 2020'!N12</f>
        <v>0</v>
      </c>
      <c r="O12" s="4">
        <f>'תקציב אגף חינוך 2020'!O12</f>
        <v>0</v>
      </c>
      <c r="P12" s="4">
        <f>'תקציב אגף חינוך 2020'!P12</f>
        <v>751.43000000000029</v>
      </c>
      <c r="Q12" s="4">
        <f>'תקציב אגף חינוך 2020'!Q12</f>
        <v>0</v>
      </c>
      <c r="R12" s="4">
        <f>'תקציב אגף חינוך 2020'!R12</f>
        <v>0</v>
      </c>
      <c r="S12" s="4">
        <f>'תקציב אגף חינוך 2020'!S12</f>
        <v>0</v>
      </c>
      <c r="T12" s="4">
        <f>'תקציב אגף חינוך 2020'!T12</f>
        <v>0</v>
      </c>
      <c r="U12" s="4">
        <f>'תקציב אגף חינוך 2020'!U12</f>
        <v>0</v>
      </c>
      <c r="V12" s="4">
        <f>'תקציב אגף חינוך 2020'!V12</f>
        <v>0</v>
      </c>
      <c r="W12" s="4">
        <f>'תקציב אגף חינוך 2020'!W12</f>
        <v>0</v>
      </c>
      <c r="X12" s="4">
        <f>'תקציב אגף חינוך 2020'!X12</f>
        <v>0</v>
      </c>
      <c r="Y12" s="4">
        <f>'תקציב אגף חינוך 2020'!Y12</f>
        <v>0</v>
      </c>
      <c r="Z12" s="4">
        <f>'תקציב אגף חינוך 2020'!Z12</f>
        <v>0</v>
      </c>
      <c r="AA12" s="87" t="str">
        <f>'תקציב אגף חינוך 2020'!AA12</f>
        <v>ייסגר עם קבלת תקבולי מ. החינוך.</v>
      </c>
      <c r="AB12" s="706">
        <f>'תקציב אגף חינוך 2020'!AB12</f>
        <v>810000</v>
      </c>
      <c r="AC12" s="633"/>
      <c r="AD12" s="634"/>
      <c r="AE12" s="634"/>
      <c r="AF12" s="634"/>
      <c r="AG12" s="634"/>
    </row>
    <row r="13" spans="1:35" s="636" customFormat="1" ht="30" customHeight="1">
      <c r="A13" s="630">
        <f t="shared" si="0"/>
        <v>8</v>
      </c>
      <c r="B13" s="706">
        <f>'תקציב אגף חינוך 2020'!B13</f>
        <v>1978</v>
      </c>
      <c r="C13" s="87" t="str">
        <f>'תקציב אגף חינוך 2020'!C13</f>
        <v>הצטידות חדשה בי"ס גורדון</v>
      </c>
      <c r="D13" s="4">
        <f>'תקציב אגף חינוך 2020'!D13</f>
        <v>73500</v>
      </c>
      <c r="E13" s="4">
        <f>'תקציב אגף חינוך 2020'!E13</f>
        <v>73500</v>
      </c>
      <c r="F13" s="4">
        <f>'תקציב אגף חינוך 2020'!F13</f>
        <v>0</v>
      </c>
      <c r="G13" s="4">
        <f>'תקציב אגף חינוך 2020'!G13</f>
        <v>73500</v>
      </c>
      <c r="H13" s="4">
        <f>'תקציב אגף חינוך 2020'!H13</f>
        <v>73310.990000000005</v>
      </c>
      <c r="I13" s="4">
        <f>'תקציב אגף חינוך 2020'!I13</f>
        <v>0</v>
      </c>
      <c r="J13" s="4">
        <f>'תקציב אגף חינוך 2020'!J13</f>
        <v>0</v>
      </c>
      <c r="K13" s="4">
        <f>'תקציב אגף חינוך 2020'!K13</f>
        <v>0</v>
      </c>
      <c r="L13" s="4">
        <f>'תקציב אגף חינוך 2020'!L13</f>
        <v>73310.990000000005</v>
      </c>
      <c r="M13" s="4">
        <f>'תקציב אגף חינוך 2020'!M13</f>
        <v>189.00999999999476</v>
      </c>
      <c r="N13" s="4">
        <f>'תקציב אגף חינוך 2020'!N13</f>
        <v>0</v>
      </c>
      <c r="O13" s="4">
        <f>'תקציב אגף חינוך 2020'!O13</f>
        <v>0</v>
      </c>
      <c r="P13" s="4">
        <f>'תקציב אגף חינוך 2020'!P13</f>
        <v>189.00999999999476</v>
      </c>
      <c r="Q13" s="4">
        <f>'תקציב אגף חינוך 2020'!Q13</f>
        <v>0</v>
      </c>
      <c r="R13" s="4">
        <f>'תקציב אגף חינוך 2020'!R13</f>
        <v>0</v>
      </c>
      <c r="S13" s="4">
        <f>'תקציב אגף חינוך 2020'!S13</f>
        <v>0</v>
      </c>
      <c r="T13" s="4">
        <f>'תקציב אגף חינוך 2020'!T13</f>
        <v>0</v>
      </c>
      <c r="U13" s="4">
        <f>'תקציב אגף חינוך 2020'!U13</f>
        <v>0</v>
      </c>
      <c r="V13" s="4">
        <f>'תקציב אגף חינוך 2020'!V13</f>
        <v>0</v>
      </c>
      <c r="W13" s="4">
        <f>'תקציב אגף חינוך 2020'!W13</f>
        <v>0</v>
      </c>
      <c r="X13" s="4">
        <f>'תקציב אגף חינוך 2020'!X13</f>
        <v>0</v>
      </c>
      <c r="Y13" s="4">
        <f>'תקציב אגף חינוך 2020'!Y13</f>
        <v>0</v>
      </c>
      <c r="Z13" s="4">
        <f>'תקציב אגף חינוך 2020'!Z13</f>
        <v>0</v>
      </c>
      <c r="AA13" s="87" t="str">
        <f>'תקציב אגף חינוך 2020'!AA13</f>
        <v>ייסגר עם קבלת תקבולי מ. החינוך.</v>
      </c>
      <c r="AB13" s="706">
        <f>'תקציב אגף חינוך 2020'!AB13</f>
        <v>810000</v>
      </c>
      <c r="AC13" s="633"/>
      <c r="AD13" s="634"/>
      <c r="AE13" s="634"/>
      <c r="AF13" s="634"/>
      <c r="AG13" s="634"/>
    </row>
    <row r="14" spans="1:35" s="636" customFormat="1" ht="30" customHeight="1">
      <c r="A14" s="630">
        <f t="shared" si="0"/>
        <v>9</v>
      </c>
      <c r="B14" s="706">
        <f>'תקציב אגף חינוך 2020'!B14</f>
        <v>1987</v>
      </c>
      <c r="C14" s="87" t="str">
        <f>'תקציב אגף חינוך 2020'!C14</f>
        <v>נגישות אקוסטית בי"ס</v>
      </c>
      <c r="D14" s="4">
        <f>'תקציב אגף חינוך 2020'!D14</f>
        <v>120000</v>
      </c>
      <c r="E14" s="4">
        <f>'תקציב אגף חינוך 2020'!E14</f>
        <v>120000</v>
      </c>
      <c r="F14" s="4">
        <f>'תקציב אגף חינוך 2020'!F14</f>
        <v>0</v>
      </c>
      <c r="G14" s="4">
        <f>'תקציב אגף חינוך 2020'!G14</f>
        <v>120000</v>
      </c>
      <c r="H14" s="4">
        <f>'תקציב אגף חינוך 2020'!H14</f>
        <v>77677</v>
      </c>
      <c r="I14" s="4">
        <f>'תקציב אגף חינוך 2020'!I14</f>
        <v>0</v>
      </c>
      <c r="J14" s="4">
        <f>'תקציב אגף חינוך 2020'!J14</f>
        <v>0</v>
      </c>
      <c r="K14" s="4">
        <f>'תקציב אגף חינוך 2020'!K14</f>
        <v>0</v>
      </c>
      <c r="L14" s="4">
        <f>'תקציב אגף חינוך 2020'!L14</f>
        <v>77677</v>
      </c>
      <c r="M14" s="4">
        <f>'תקציב אגף חינוך 2020'!M14</f>
        <v>42323</v>
      </c>
      <c r="N14" s="4">
        <f>'תקציב אגף חינוך 2020'!N14</f>
        <v>0</v>
      </c>
      <c r="O14" s="4">
        <f>'תקציב אגף חינוך 2020'!O14</f>
        <v>0</v>
      </c>
      <c r="P14" s="4">
        <f>'תקציב אגף חינוך 2020'!P14</f>
        <v>42323</v>
      </c>
      <c r="Q14" s="4">
        <f>'תקציב אגף חינוך 2020'!Q14</f>
        <v>0</v>
      </c>
      <c r="R14" s="4">
        <f>'תקציב אגף חינוך 2020'!R14</f>
        <v>0</v>
      </c>
      <c r="S14" s="4">
        <f>'תקציב אגף חינוך 2020'!S14</f>
        <v>0</v>
      </c>
      <c r="T14" s="4">
        <f>'תקציב אגף חינוך 2020'!T14</f>
        <v>0</v>
      </c>
      <c r="U14" s="4">
        <f>'תקציב אגף חינוך 2020'!U14</f>
        <v>0</v>
      </c>
      <c r="V14" s="4">
        <f>'תקציב אגף חינוך 2020'!V14</f>
        <v>0</v>
      </c>
      <c r="W14" s="4">
        <f>'תקציב אגף חינוך 2020'!W14</f>
        <v>0</v>
      </c>
      <c r="X14" s="4">
        <f>'תקציב אגף חינוך 2020'!X14</f>
        <v>0</v>
      </c>
      <c r="Y14" s="4">
        <f>'תקציב אגף חינוך 2020'!Y14</f>
        <v>0</v>
      </c>
      <c r="Z14" s="4">
        <f>'תקציב אגף חינוך 2020'!Z14</f>
        <v>0</v>
      </c>
      <c r="AA14" s="87" t="str">
        <f>'תקציב אגף חינוך 2020'!AA14</f>
        <v>ייסגר עם קבלת תקבולי מ. החינוך.</v>
      </c>
      <c r="AB14" s="706">
        <f>'תקציב אגף חינוך 2020'!AB14</f>
        <v>810000</v>
      </c>
      <c r="AC14" s="633"/>
      <c r="AD14" s="634"/>
      <c r="AE14" s="634"/>
      <c r="AF14" s="634"/>
      <c r="AG14" s="634"/>
    </row>
    <row r="15" spans="1:35" s="636" customFormat="1" ht="30" customHeight="1">
      <c r="A15" s="630">
        <f t="shared" si="0"/>
        <v>10</v>
      </c>
      <c r="B15" s="706">
        <f>'תקציב אגף חינוך 2020'!B15</f>
        <v>1990</v>
      </c>
      <c r="C15" s="87" t="str">
        <f>'תקציב אגף חינוך 2020'!C15</f>
        <v>הצטיידות חדשה בי"ס יוחנני</v>
      </c>
      <c r="D15" s="4">
        <f>'תקציב אגף חינוך 2020'!D15</f>
        <v>58800</v>
      </c>
      <c r="E15" s="4">
        <f>'תקציב אגף חינוך 2020'!E15</f>
        <v>58800</v>
      </c>
      <c r="F15" s="4">
        <f>'תקציב אגף חינוך 2020'!F15</f>
        <v>0</v>
      </c>
      <c r="G15" s="4">
        <f>'תקציב אגף חינוך 2020'!G15</f>
        <v>58800</v>
      </c>
      <c r="H15" s="4">
        <f>'תקציב אגף חינוך 2020'!H15</f>
        <v>54353.06</v>
      </c>
      <c r="I15" s="4">
        <f>'תקציב אגף חינוך 2020'!I15</f>
        <v>0</v>
      </c>
      <c r="J15" s="4">
        <f>'תקציב אגף חינוך 2020'!J15</f>
        <v>404.01</v>
      </c>
      <c r="K15" s="4">
        <f>'תקציב אגף חינוך 2020'!K15</f>
        <v>404.01</v>
      </c>
      <c r="L15" s="4">
        <f>'תקציב אגף חינוך 2020'!L15</f>
        <v>54757.07</v>
      </c>
      <c r="M15" s="4">
        <f>'תקציב אגף חינוך 2020'!M15</f>
        <v>4042.9300000000003</v>
      </c>
      <c r="N15" s="4">
        <f>'תקציב אגף חינוך 2020'!N15</f>
        <v>0</v>
      </c>
      <c r="O15" s="4">
        <f>'תקציב אגף חינוך 2020'!O15</f>
        <v>0</v>
      </c>
      <c r="P15" s="4">
        <f>'תקציב אגף חינוך 2020'!P15</f>
        <v>4042.9300000000003</v>
      </c>
      <c r="Q15" s="4">
        <f>'תקציב אגף חינוך 2020'!Q15</f>
        <v>0</v>
      </c>
      <c r="R15" s="4">
        <f>'תקציב אגף חינוך 2020'!R15</f>
        <v>0</v>
      </c>
      <c r="S15" s="4">
        <f>'תקציב אגף חינוך 2020'!S15</f>
        <v>0</v>
      </c>
      <c r="T15" s="4">
        <f>'תקציב אגף חינוך 2020'!T15</f>
        <v>0</v>
      </c>
      <c r="U15" s="4">
        <f>'תקציב אגף חינוך 2020'!U15</f>
        <v>0</v>
      </c>
      <c r="V15" s="4">
        <f>'תקציב אגף חינוך 2020'!V15</f>
        <v>0</v>
      </c>
      <c r="W15" s="4">
        <f>'תקציב אגף חינוך 2020'!W15</f>
        <v>0</v>
      </c>
      <c r="X15" s="4">
        <f>'תקציב אגף חינוך 2020'!X15</f>
        <v>0</v>
      </c>
      <c r="Y15" s="4">
        <f>'תקציב אגף חינוך 2020'!Y15</f>
        <v>0</v>
      </c>
      <c r="Z15" s="4">
        <f>'תקציב אגף חינוך 2020'!Z15</f>
        <v>0</v>
      </c>
      <c r="AA15" s="87">
        <f>'תקציב אגף חינוך 2020'!AA15</f>
        <v>0</v>
      </c>
      <c r="AB15" s="706">
        <f>'תקציב אגף חינוך 2020'!AB15</f>
        <v>810000</v>
      </c>
      <c r="AC15" s="633"/>
      <c r="AD15" s="634"/>
      <c r="AE15" s="634"/>
      <c r="AF15" s="634"/>
      <c r="AG15" s="634"/>
    </row>
    <row r="16" spans="1:35" s="636" customFormat="1" ht="30" customHeight="1">
      <c r="A16" s="630">
        <f t="shared" si="0"/>
        <v>11</v>
      </c>
      <c r="B16" s="706">
        <f>'תקציב אגף חינוך 2020'!B16</f>
        <v>2033</v>
      </c>
      <c r="C16" s="87" t="str">
        <f>'תקציב אגף חינוך 2020'!C16</f>
        <v>הצטיידות בר אילן לאחר שיפוץ</v>
      </c>
      <c r="D16" s="4">
        <f>'תקציב אגף חינוך 2020'!D16</f>
        <v>1000000</v>
      </c>
      <c r="E16" s="4">
        <f>'תקציב אגף חינוך 2020'!E16</f>
        <v>1000000</v>
      </c>
      <c r="F16" s="4">
        <f>'תקציב אגף חינוך 2020'!F16</f>
        <v>0</v>
      </c>
      <c r="G16" s="4">
        <f>'תקציב אגף חינוך 2020'!G16</f>
        <v>1000000</v>
      </c>
      <c r="H16" s="4">
        <f>'תקציב אגף חינוך 2020'!H16</f>
        <v>385985.5</v>
      </c>
      <c r="I16" s="4">
        <f>'תקציב אגף חינוך 2020'!I16</f>
        <v>0</v>
      </c>
      <c r="J16" s="4">
        <f>'תקציב אגף חינוך 2020'!J16</f>
        <v>129968.07</v>
      </c>
      <c r="K16" s="4">
        <f>'תקציב אגף חינוך 2020'!K16</f>
        <v>129968.07</v>
      </c>
      <c r="L16" s="4">
        <f>'תקציב אגף חינוך 2020'!L16</f>
        <v>515953.57</v>
      </c>
      <c r="M16" s="4">
        <f>'תקציב אגף חינוך 2020'!M16</f>
        <v>484046.43</v>
      </c>
      <c r="N16" s="4">
        <f>'תקציב אגף חינוך 2020'!N16</f>
        <v>0</v>
      </c>
      <c r="O16" s="4">
        <f>'תקציב אגף חינוך 2020'!O16</f>
        <v>0</v>
      </c>
      <c r="P16" s="4">
        <f>'תקציב אגף חינוך 2020'!P16</f>
        <v>484046.43</v>
      </c>
      <c r="Q16" s="4">
        <f>'תקציב אגף חינוך 2020'!Q16</f>
        <v>0</v>
      </c>
      <c r="R16" s="4">
        <f>'תקציב אגף חינוך 2020'!R16</f>
        <v>0</v>
      </c>
      <c r="S16" s="4">
        <f>'תקציב אגף חינוך 2020'!S16</f>
        <v>0</v>
      </c>
      <c r="T16" s="4">
        <f>'תקציב אגף חינוך 2020'!T16</f>
        <v>0</v>
      </c>
      <c r="U16" s="4">
        <f>'תקציב אגף חינוך 2020'!U16</f>
        <v>0</v>
      </c>
      <c r="V16" s="4">
        <f>'תקציב אגף חינוך 2020'!V16</f>
        <v>0</v>
      </c>
      <c r="W16" s="4">
        <f>'תקציב אגף חינוך 2020'!W16</f>
        <v>0</v>
      </c>
      <c r="X16" s="4">
        <f>'תקציב אגף חינוך 2020'!X16</f>
        <v>0</v>
      </c>
      <c r="Y16" s="4">
        <f>'תקציב אגף חינוך 2020'!Y16</f>
        <v>0</v>
      </c>
      <c r="Z16" s="4">
        <f>'תקציב אגף חינוך 2020'!Z16</f>
        <v>0</v>
      </c>
      <c r="AA16" s="87" t="str">
        <f>'תקציב אגף חינוך 2020'!AA16</f>
        <v>הצטיידות בי"ס בר אילן אחרי השיפוץ.</v>
      </c>
      <c r="AB16" s="706">
        <f>'תקציב אגף חינוך 2020'!AB16</f>
        <v>810000</v>
      </c>
      <c r="AC16" s="633"/>
      <c r="AD16" s="634"/>
      <c r="AE16" s="634"/>
      <c r="AF16" s="634"/>
      <c r="AG16" s="634"/>
    </row>
    <row r="17" spans="1:35" s="636" customFormat="1" ht="55.2">
      <c r="A17" s="630">
        <f t="shared" si="0"/>
        <v>12</v>
      </c>
      <c r="B17" s="706">
        <f>'תקציב אגף חינוך 2020'!B17</f>
        <v>2034</v>
      </c>
      <c r="C17" s="87" t="str">
        <f>'תקציב אגף חינוך 2020'!C17</f>
        <v>הצטיידות בי"ס יצחק נבון אלתרמן</v>
      </c>
      <c r="D17" s="4">
        <f>'תקציב אגף חינוך 2020'!D17</f>
        <v>2515000</v>
      </c>
      <c r="E17" s="4">
        <f>'תקציב אגף חינוך 2020'!E17</f>
        <v>2000000</v>
      </c>
      <c r="F17" s="4">
        <f>'תקציב אגף חינוך 2020'!F17</f>
        <v>515000</v>
      </c>
      <c r="G17" s="4">
        <f>'תקציב אגף חינוך 2020'!G17</f>
        <v>2000000</v>
      </c>
      <c r="H17" s="4">
        <f>'תקציב אגף חינוך 2020'!H17</f>
        <v>1437429.77</v>
      </c>
      <c r="I17" s="4">
        <f>'תקציב אגף חינוך 2020'!I17</f>
        <v>0</v>
      </c>
      <c r="J17" s="4">
        <f>'תקציב אגף חינוך 2020'!J17</f>
        <v>463487.8</v>
      </c>
      <c r="K17" s="4">
        <f>'תקציב אגף חינוך 2020'!K17</f>
        <v>463487.8</v>
      </c>
      <c r="L17" s="4">
        <f>'תקציב אגף חינוך 2020'!L17</f>
        <v>1900917.57</v>
      </c>
      <c r="M17" s="4">
        <f>'תקציב אגף חינוך 2020'!M17</f>
        <v>99082.429999999935</v>
      </c>
      <c r="N17" s="4">
        <f>'תקציב אגף חינוך 2020'!N17</f>
        <v>515000</v>
      </c>
      <c r="O17" s="4">
        <f>'תקציב אגף חינוך 2020'!O17</f>
        <v>0</v>
      </c>
      <c r="P17" s="4">
        <f>'תקציב אגף חינוך 2020'!P17</f>
        <v>99082.429999999935</v>
      </c>
      <c r="Q17" s="4">
        <f>'תקציב אגף חינוך 2020'!Q17</f>
        <v>0</v>
      </c>
      <c r="R17" s="4">
        <f>'תקציב אגף חינוך 2020'!R17</f>
        <v>0</v>
      </c>
      <c r="S17" s="4">
        <f>'תקציב אגף חינוך 2020'!S17</f>
        <v>0</v>
      </c>
      <c r="T17" s="4">
        <f>'תקציב אגף חינוך 2020'!T17</f>
        <v>0</v>
      </c>
      <c r="U17" s="4">
        <f>'תקציב אגף חינוך 2020'!U17</f>
        <v>515000</v>
      </c>
      <c r="V17" s="4">
        <f>'תקציב אגף חינוך 2020'!V17</f>
        <v>0</v>
      </c>
      <c r="W17" s="4">
        <f>'תקציב אגף חינוך 2020'!W17</f>
        <v>515000</v>
      </c>
      <c r="X17" s="4">
        <f>'תקציב אגף חינוך 2020'!X17</f>
        <v>0</v>
      </c>
      <c r="Y17" s="4">
        <f>'תקציב אגף חינוך 2020'!Y17</f>
        <v>0</v>
      </c>
      <c r="Z17" s="4">
        <f>'תקציב אגף חינוך 2020'!Z17</f>
        <v>0</v>
      </c>
      <c r="AA17" s="87" t="str">
        <f>'תקציב אגף חינוך 2020'!AA17</f>
        <v>המשך הצטיידות כולל מיחשוב בי"ס חדש  יצחק נבון. כולל בגין תוספת 6 כיתות לבניה 2020 החב. לפיתוח.</v>
      </c>
      <c r="AB17" s="706">
        <f>'תקציב אגף חינוך 2020'!AB17</f>
        <v>810000</v>
      </c>
      <c r="AC17" s="633"/>
      <c r="AD17" s="634"/>
      <c r="AE17" s="634"/>
      <c r="AF17" s="634"/>
      <c r="AG17" s="634"/>
    </row>
    <row r="18" spans="1:35" s="636" customFormat="1" ht="30" customHeight="1">
      <c r="A18" s="630">
        <f t="shared" si="0"/>
        <v>13</v>
      </c>
      <c r="B18" s="706">
        <f>'תקציב אגף חינוך 2020'!B18</f>
        <v>2069</v>
      </c>
      <c r="C18" s="87" t="str">
        <f>'תקציב אגף חינוך 2020'!C18</f>
        <v>הצטיידות גנ"י חדשים באלתרמן</v>
      </c>
      <c r="D18" s="4">
        <f>'תקציב אגף חינוך 2020'!D18</f>
        <v>190000</v>
      </c>
      <c r="E18" s="4">
        <f>'תקציב אגף חינוך 2020'!E18</f>
        <v>140000</v>
      </c>
      <c r="F18" s="4">
        <f>'תקציב אגף חינוך 2020'!F18</f>
        <v>50000</v>
      </c>
      <c r="G18" s="4">
        <f>'תקציב אגף חינוך 2020'!G18</f>
        <v>140000</v>
      </c>
      <c r="H18" s="4">
        <f>'תקציב אגף חינוך 2020'!H18</f>
        <v>78439.539999999994</v>
      </c>
      <c r="I18" s="4">
        <f>'תקציב אגף חינוך 2020'!I18</f>
        <v>0</v>
      </c>
      <c r="J18" s="4">
        <f>'תקציב אגף חינוך 2020'!J18</f>
        <v>53419.56</v>
      </c>
      <c r="K18" s="4">
        <f>'תקציב אגף חינוך 2020'!K18</f>
        <v>53419.56</v>
      </c>
      <c r="L18" s="4">
        <f>'תקציב אגף חינוך 2020'!L18</f>
        <v>131859.09999999998</v>
      </c>
      <c r="M18" s="4">
        <f>'תקציב אגף חינוך 2020'!M18</f>
        <v>8140.9000000000233</v>
      </c>
      <c r="N18" s="4">
        <f>'תקציב אגף חינוך 2020'!N18</f>
        <v>50000</v>
      </c>
      <c r="O18" s="4">
        <f>'תקציב אגף חינוך 2020'!O18</f>
        <v>0</v>
      </c>
      <c r="P18" s="4">
        <f>'תקציב אגף חינוך 2020'!P18</f>
        <v>8140.9000000000233</v>
      </c>
      <c r="Q18" s="4">
        <f>'תקציב אגף חינוך 2020'!Q18</f>
        <v>0</v>
      </c>
      <c r="R18" s="4">
        <f>'תקציב אגף חינוך 2020'!R18</f>
        <v>0</v>
      </c>
      <c r="S18" s="4">
        <f>'תקציב אגף חינוך 2020'!S18</f>
        <v>0</v>
      </c>
      <c r="T18" s="4">
        <f>'תקציב אגף חינוך 2020'!T18</f>
        <v>0</v>
      </c>
      <c r="U18" s="4">
        <f>'תקציב אגף חינוך 2020'!U18</f>
        <v>50000</v>
      </c>
      <c r="V18" s="4">
        <f>'תקציב אגף חינוך 2020'!V18</f>
        <v>0</v>
      </c>
      <c r="W18" s="4">
        <f>'תקציב אגף חינוך 2020'!W18</f>
        <v>50000</v>
      </c>
      <c r="X18" s="4">
        <f>'תקציב אגף חינוך 2020'!X18</f>
        <v>0</v>
      </c>
      <c r="Y18" s="4">
        <f>'תקציב אגף חינוך 2020'!Y18</f>
        <v>0</v>
      </c>
      <c r="Z18" s="4">
        <f>'תקציב אגף חינוך 2020'!Z18</f>
        <v>0</v>
      </c>
      <c r="AA18" s="87" t="str">
        <f>'תקציב אגף חינוך 2020'!AA18</f>
        <v>ייסגר עם קבלת תקבולי מ. החינוך.</v>
      </c>
      <c r="AB18" s="706">
        <f>'תקציב אגף חינוך 2020'!AB18</f>
        <v>810000</v>
      </c>
      <c r="AC18" s="633"/>
      <c r="AD18" s="634"/>
      <c r="AE18" s="651"/>
      <c r="AF18" s="651"/>
      <c r="AG18" s="651"/>
    </row>
    <row r="19" spans="1:35" s="636" customFormat="1" ht="27.6">
      <c r="A19" s="630">
        <f t="shared" si="0"/>
        <v>14</v>
      </c>
      <c r="B19" s="706">
        <f>'תקציב אגף חינוך 2020'!B19</f>
        <v>2070</v>
      </c>
      <c r="C19" s="87" t="str">
        <f>'תקציב אגף חינוך 2020'!C19</f>
        <v>הצטידות גנ"י חדשים  גליל ים מגרש301/2</v>
      </c>
      <c r="D19" s="4">
        <f>'תקציב אגף חינוך 2020'!D19</f>
        <v>500000</v>
      </c>
      <c r="E19" s="4">
        <f>'תקציב אגף חינוך 2020'!E19</f>
        <v>500000</v>
      </c>
      <c r="F19" s="4">
        <f>'תקציב אגף חינוך 2020'!F19</f>
        <v>0</v>
      </c>
      <c r="G19" s="4">
        <f>'תקציב אגף חינוך 2020'!G19</f>
        <v>500000</v>
      </c>
      <c r="H19" s="4">
        <f>'תקציב אגף חינוך 2020'!H19</f>
        <v>76569.64</v>
      </c>
      <c r="I19" s="4">
        <f>'תקציב אגף חינוך 2020'!I19</f>
        <v>0</v>
      </c>
      <c r="J19" s="4">
        <f>'תקציב אגף חינוך 2020'!J19</f>
        <v>16574.439999999999</v>
      </c>
      <c r="K19" s="4">
        <f>'תקציב אגף חינוך 2020'!K19</f>
        <v>16574.439999999999</v>
      </c>
      <c r="L19" s="4">
        <f>'תקציב אגף חינוך 2020'!L19</f>
        <v>93144.08</v>
      </c>
      <c r="M19" s="4">
        <f>'תקציב אגף חינוך 2020'!M19</f>
        <v>406855.92</v>
      </c>
      <c r="N19" s="4">
        <f>'תקציב אגף חינוך 2020'!N19</f>
        <v>0</v>
      </c>
      <c r="O19" s="4">
        <f>'תקציב אגף חינוך 2020'!O19</f>
        <v>0</v>
      </c>
      <c r="P19" s="4">
        <f>'תקציב אגף חינוך 2020'!P19</f>
        <v>406855.92</v>
      </c>
      <c r="Q19" s="4">
        <f>'תקציב אגף חינוך 2020'!Q19</f>
        <v>0</v>
      </c>
      <c r="R19" s="4">
        <f>'תקציב אגף חינוך 2020'!R19</f>
        <v>0</v>
      </c>
      <c r="S19" s="4">
        <f>'תקציב אגף חינוך 2020'!S19</f>
        <v>0</v>
      </c>
      <c r="T19" s="4">
        <f>'תקציב אגף חינוך 2020'!T19</f>
        <v>0</v>
      </c>
      <c r="U19" s="4">
        <f>'תקציב אגף חינוך 2020'!U19</f>
        <v>0</v>
      </c>
      <c r="V19" s="4">
        <f>'תקציב אגף חינוך 2020'!V19</f>
        <v>0</v>
      </c>
      <c r="W19" s="4">
        <f>'תקציב אגף חינוך 2020'!W19</f>
        <v>-78000</v>
      </c>
      <c r="X19" s="4">
        <f>'תקציב אגף חינוך 2020'!X19</f>
        <v>0</v>
      </c>
      <c r="Y19" s="4">
        <f>'תקציב אגף חינוך 2020'!Y19</f>
        <v>0</v>
      </c>
      <c r="Z19" s="4">
        <f>'תקציב אגף חינוך 2020'!Z19</f>
        <v>78000</v>
      </c>
      <c r="AA19" s="87" t="str">
        <f>'תקציב אגף חינוך 2020'!AA19</f>
        <v>שינוי מימון מ. החינוך.</v>
      </c>
      <c r="AB19" s="706">
        <f>'תקציב אגף חינוך 2020'!AB19</f>
        <v>810000</v>
      </c>
      <c r="AC19" s="653"/>
      <c r="AD19" s="634"/>
      <c r="AE19" s="634"/>
      <c r="AF19" s="634"/>
      <c r="AG19" s="634"/>
      <c r="AH19" s="635"/>
    </row>
    <row r="20" spans="1:35" s="636" customFormat="1" ht="30" customHeight="1">
      <c r="A20" s="630">
        <f t="shared" si="0"/>
        <v>15</v>
      </c>
      <c r="B20" s="706">
        <f>'תקציב אגף חינוך 2020'!B20</f>
        <v>2090</v>
      </c>
      <c r="C20" s="87" t="str">
        <f>'תקציב אגף חינוך 2020'!C20</f>
        <v>סדנת רובוטיקה בהנדסאים</v>
      </c>
      <c r="D20" s="4">
        <f>'תקציב אגף חינוך 2020'!D20</f>
        <v>350000</v>
      </c>
      <c r="E20" s="4">
        <f>'תקציב אגף חינוך 2020'!E20</f>
        <v>350000</v>
      </c>
      <c r="F20" s="4">
        <f>'תקציב אגף חינוך 2020'!F20</f>
        <v>0</v>
      </c>
      <c r="G20" s="4">
        <f>'תקציב אגף חינוך 2020'!G20</f>
        <v>350000</v>
      </c>
      <c r="H20" s="4">
        <f>'תקציב אגף חינוך 2020'!H20</f>
        <v>0</v>
      </c>
      <c r="I20" s="4">
        <f>'תקציב אגף חינוך 2020'!I20</f>
        <v>0</v>
      </c>
      <c r="J20" s="4">
        <f>'תקציב אגף חינוך 2020'!J20</f>
        <v>0</v>
      </c>
      <c r="K20" s="4">
        <f>'תקציב אגף חינוך 2020'!K20</f>
        <v>0</v>
      </c>
      <c r="L20" s="4">
        <f>'תקציב אגף חינוך 2020'!L20</f>
        <v>0</v>
      </c>
      <c r="M20" s="4">
        <f>'תקציב אגף חינוך 2020'!M20</f>
        <v>350000</v>
      </c>
      <c r="N20" s="4">
        <f>'תקציב אגף חינוך 2020'!N20</f>
        <v>0</v>
      </c>
      <c r="O20" s="4">
        <f>'תקציב אגף חינוך 2020'!O20</f>
        <v>0</v>
      </c>
      <c r="P20" s="4">
        <f>'תקציב אגף חינוך 2020'!P20</f>
        <v>350000</v>
      </c>
      <c r="Q20" s="4">
        <f>'תקציב אגף חינוך 2020'!Q20</f>
        <v>0</v>
      </c>
      <c r="R20" s="4">
        <f>'תקציב אגף חינוך 2020'!R20</f>
        <v>0</v>
      </c>
      <c r="S20" s="4">
        <f>'תקציב אגף חינוך 2020'!S20</f>
        <v>0</v>
      </c>
      <c r="T20" s="4">
        <f>'תקציב אגף חינוך 2020'!T20</f>
        <v>0</v>
      </c>
      <c r="U20" s="4">
        <f>'תקציב אגף חינוך 2020'!U20</f>
        <v>0</v>
      </c>
      <c r="V20" s="4">
        <f>'תקציב אגף חינוך 2020'!V20</f>
        <v>0</v>
      </c>
      <c r="W20" s="4">
        <f>'תקציב אגף חינוך 2020'!W20</f>
        <v>0</v>
      </c>
      <c r="X20" s="4">
        <f>'תקציב אגף חינוך 2020'!X20</f>
        <v>0</v>
      </c>
      <c r="Y20" s="4">
        <f>'תקציב אגף חינוך 2020'!Y20</f>
        <v>0</v>
      </c>
      <c r="Z20" s="4">
        <f>'תקציב אגף חינוך 2020'!Z20</f>
        <v>0</v>
      </c>
      <c r="AA20" s="87" t="str">
        <f>'תקציב אגף חינוך 2020'!AA20</f>
        <v xml:space="preserve">הצטיידות מעבדה בהנדסאים הנמצא בבניה. </v>
      </c>
      <c r="AB20" s="706">
        <f>'תקציב אגף חינוך 2020'!AB20</f>
        <v>810000</v>
      </c>
      <c r="AC20" s="633"/>
      <c r="AD20" s="634"/>
      <c r="AE20" s="634"/>
      <c r="AF20" s="634"/>
      <c r="AG20" s="634"/>
    </row>
    <row r="21" spans="1:35" s="636" customFormat="1" ht="55.2">
      <c r="A21" s="630">
        <f t="shared" si="0"/>
        <v>16</v>
      </c>
      <c r="B21" s="706">
        <f>'תקציב אגף חינוך 2020'!B21</f>
        <v>2091</v>
      </c>
      <c r="C21" s="87" t="str">
        <f>'תקציב אגף חינוך 2020'!C21</f>
        <v>מרחבי למידה</v>
      </c>
      <c r="D21" s="4">
        <f>'תקציב אגף חינוך 2020'!D21</f>
        <v>1500000</v>
      </c>
      <c r="E21" s="4">
        <f>'תקציב אגף חינוך 2020'!E21</f>
        <v>1500000</v>
      </c>
      <c r="F21" s="4">
        <f>'תקציב אגף חינוך 2020'!F21</f>
        <v>0</v>
      </c>
      <c r="G21" s="4">
        <f>'תקציב אגף חינוך 2020'!G21</f>
        <v>900000</v>
      </c>
      <c r="H21" s="4">
        <f>'תקציב אגף חינוך 2020'!H21</f>
        <v>0</v>
      </c>
      <c r="I21" s="4">
        <f>'תקציב אגף חינוך 2020'!I21</f>
        <v>0</v>
      </c>
      <c r="J21" s="4">
        <f>'תקציב אגף חינוך 2020'!J21</f>
        <v>0</v>
      </c>
      <c r="K21" s="4">
        <f>'תקציב אגף חינוך 2020'!K21</f>
        <v>0</v>
      </c>
      <c r="L21" s="4">
        <f>'תקציב אגף חינוך 2020'!L21</f>
        <v>0</v>
      </c>
      <c r="M21" s="4">
        <f>'תקציב אגף חינוך 2020'!M21</f>
        <v>300000</v>
      </c>
      <c r="N21" s="4">
        <f>'תקציב אגף חינוך 2020'!N21</f>
        <v>1200000</v>
      </c>
      <c r="O21" s="4">
        <f>'תקציב אגף חינוך 2020'!O21</f>
        <v>0</v>
      </c>
      <c r="P21" s="4">
        <f>'תקציב אגף חינוך 2020'!P21</f>
        <v>900000</v>
      </c>
      <c r="Q21" s="4">
        <f>'תקציב אגף חינוך 2020'!Q21</f>
        <v>0</v>
      </c>
      <c r="R21" s="4">
        <f>'תקציב אגף חינוך 2020'!R21</f>
        <v>0</v>
      </c>
      <c r="S21" s="4">
        <f>'תקציב אגף חינוך 2020'!S21</f>
        <v>0</v>
      </c>
      <c r="T21" s="4">
        <f>'תקציב אגף חינוך 2020'!T21</f>
        <v>600000</v>
      </c>
      <c r="U21" s="4">
        <f>'תקציב אגף חינוך 2020'!U21</f>
        <v>600000</v>
      </c>
      <c r="V21" s="4">
        <f>'תקציב אגף חינוך 2020'!V21</f>
        <v>0</v>
      </c>
      <c r="W21" s="4">
        <f>'תקציב אגף חינוך 2020'!W21</f>
        <v>600000</v>
      </c>
      <c r="X21" s="4">
        <f>'תקציב אגף חינוך 2020'!X21</f>
        <v>0</v>
      </c>
      <c r="Y21" s="4">
        <f>'תקציב אגף חינוך 2020'!Y21</f>
        <v>0</v>
      </c>
      <c r="Z21" s="4">
        <f>'תקציב אגף חינוך 2020'!Z21</f>
        <v>0</v>
      </c>
      <c r="AA21" s="87" t="str">
        <f>'תקציב אגף חינוך 2020'!AA21</f>
        <v>בניית מרחבי למידה  ב - 30 בי"ס לפי אומדן ממוצע של 50 אלפי ₪ לבי"ס בשנים 2019 -2020.יתכן השתתפות מ. החינוך.</v>
      </c>
      <c r="AB21" s="706">
        <f>'תקציב אגף חינוך 2020'!AB21</f>
        <v>810000</v>
      </c>
      <c r="AC21" s="633"/>
      <c r="AD21" s="634"/>
      <c r="AE21" s="634"/>
      <c r="AF21" s="634"/>
      <c r="AG21" s="634"/>
    </row>
    <row r="22" spans="1:35" s="636" customFormat="1" ht="41.4">
      <c r="A22" s="630">
        <f t="shared" si="0"/>
        <v>17</v>
      </c>
      <c r="B22" s="706">
        <f>'תקציב אגף חינוך 2020'!B22</f>
        <v>2092</v>
      </c>
      <c r="C22" s="87" t="str">
        <f>'תקציב אגף חינוך 2020'!C22</f>
        <v>פרויקט לווינים - ישראל 70</v>
      </c>
      <c r="D22" s="4">
        <f>'תקציב אגף חינוך 2020'!D22</f>
        <v>4800000</v>
      </c>
      <c r="E22" s="4">
        <f>'תקציב אגף חינוך 2020'!E22</f>
        <v>4800000</v>
      </c>
      <c r="F22" s="4">
        <f>'תקציב אגף חינוך 2020'!F22</f>
        <v>0</v>
      </c>
      <c r="G22" s="4">
        <f>'תקציב אגף חינוך 2020'!G22</f>
        <v>4800000</v>
      </c>
      <c r="H22" s="4">
        <f>'תקציב אגף חינוך 2020'!H22</f>
        <v>441089.5</v>
      </c>
      <c r="I22" s="4">
        <f>'תקציב אגף חינוך 2020'!I22</f>
        <v>1200000</v>
      </c>
      <c r="J22" s="4">
        <f>'תקציב אגף חינוך 2020'!J22</f>
        <v>13806</v>
      </c>
      <c r="K22" s="4">
        <f>'תקציב אגף חינוך 2020'!K22</f>
        <v>1213806</v>
      </c>
      <c r="L22" s="4">
        <f>'תקציב אגף חינוך 2020'!L22</f>
        <v>1654895.5</v>
      </c>
      <c r="M22" s="4">
        <f>'תקציב אגף חינוך 2020'!M22</f>
        <v>3145104.5</v>
      </c>
      <c r="N22" s="4">
        <f>'תקציב אגף חינוך 2020'!N22</f>
        <v>0</v>
      </c>
      <c r="O22" s="4">
        <f>'תקציב אגף חינוך 2020'!O22</f>
        <v>0</v>
      </c>
      <c r="P22" s="4">
        <f>'תקציב אגף חינוך 2020'!P22</f>
        <v>3145104.5</v>
      </c>
      <c r="Q22" s="4">
        <f>'תקציב אגף חינוך 2020'!Q22</f>
        <v>0</v>
      </c>
      <c r="R22" s="4">
        <f>'תקציב אגף חינוך 2020'!R22</f>
        <v>0</v>
      </c>
      <c r="S22" s="4">
        <f>'תקציב אגף חינוך 2020'!S22</f>
        <v>0</v>
      </c>
      <c r="T22" s="4">
        <f>'תקציב אגף חינוך 2020'!T22</f>
        <v>0</v>
      </c>
      <c r="U22" s="4">
        <f>'תקציב אגף חינוך 2020'!U22</f>
        <v>0</v>
      </c>
      <c r="V22" s="4">
        <f>'תקציב אגף חינוך 2020'!V22</f>
        <v>0</v>
      </c>
      <c r="W22" s="4">
        <f>'תקציב אגף חינוך 2020'!W22</f>
        <v>0</v>
      </c>
      <c r="X22" s="4">
        <f>'תקציב אגף חינוך 2020'!X22</f>
        <v>0</v>
      </c>
      <c r="Y22" s="4">
        <f>'תקציב אגף חינוך 2020'!Y22</f>
        <v>0</v>
      </c>
      <c r="Z22" s="4">
        <f>'תקציב אגף חינוך 2020'!Z22</f>
        <v>0</v>
      </c>
      <c r="AA22" s="87" t="str">
        <f>'תקציב אגף חינוך 2020'!AA22</f>
        <v>פרויקט שיגור 70 לווינים בשיתוף עם 70 ערים ומועצות עירוניות. מימון מ. המדע.</v>
      </c>
      <c r="AB22" s="706">
        <f>'תקציב אגף חינוך 2020'!AB22</f>
        <v>810000</v>
      </c>
      <c r="AC22" s="633"/>
      <c r="AD22" s="634"/>
      <c r="AE22" s="634"/>
      <c r="AF22" s="634"/>
      <c r="AG22" s="634"/>
    </row>
    <row r="23" spans="1:35" s="636" customFormat="1" ht="51.6" customHeight="1">
      <c r="A23" s="630">
        <f t="shared" si="0"/>
        <v>18</v>
      </c>
      <c r="B23" s="706">
        <f>'תקציב אגף חינוך 2020'!B23</f>
        <v>2135</v>
      </c>
      <c r="C23" s="87" t="str">
        <f>'תקציב אגף חינוך 2020'!C23</f>
        <v>חידוש ריהוט בי"ס</v>
      </c>
      <c r="D23" s="4">
        <f>'תקציב אגף חינוך 2020'!D23</f>
        <v>23000000</v>
      </c>
      <c r="E23" s="4">
        <f>'תקציב אגף חינוך 2020'!E23</f>
        <v>1560000</v>
      </c>
      <c r="F23" s="4">
        <f>'תקציב אגף חינוך 2020'!F23</f>
        <v>21440000</v>
      </c>
      <c r="G23" s="4">
        <f>'תקציב אגף חינוך 2020'!G23</f>
        <v>100000</v>
      </c>
      <c r="H23" s="4">
        <f>'תקציב אגף חינוך 2020'!H23</f>
        <v>0</v>
      </c>
      <c r="I23" s="4">
        <f>'תקציב אגף חינוך 2020'!I23</f>
        <v>0</v>
      </c>
      <c r="J23" s="4">
        <f>'תקציב אגף חינוך 2020'!J23</f>
        <v>0</v>
      </c>
      <c r="K23" s="4">
        <f>'תקציב אגף חינוך 2020'!K23</f>
        <v>0</v>
      </c>
      <c r="L23" s="4">
        <f>'תקציב אגף חינוך 2020'!L23</f>
        <v>0</v>
      </c>
      <c r="M23" s="4">
        <f>'תקציב אגף חינוך 2020'!M23</f>
        <v>560000</v>
      </c>
      <c r="N23" s="4">
        <f>'תקציב אגף חינוך 2020'!N23</f>
        <v>1800000</v>
      </c>
      <c r="O23" s="4">
        <f>'תקציב אגף חינוך 2020'!O23</f>
        <v>20640000</v>
      </c>
      <c r="P23" s="4">
        <f>'תקציב אגף חינוך 2020'!P23</f>
        <v>100000</v>
      </c>
      <c r="Q23" s="4">
        <f>'תקציב אגף חינוך 2020'!Q23</f>
        <v>0</v>
      </c>
      <c r="R23" s="4">
        <f>'תקציב אגף חינוך 2020'!R23</f>
        <v>460000</v>
      </c>
      <c r="S23" s="4">
        <f>'תקציב אגף חינוך 2020'!S23</f>
        <v>460000</v>
      </c>
      <c r="T23" s="4">
        <f>'תקציב אגף חינוך 2020'!T23</f>
        <v>0</v>
      </c>
      <c r="U23" s="4">
        <f>'תקציב אגף חינוך 2020'!U23</f>
        <v>1800000</v>
      </c>
      <c r="V23" s="4">
        <f>'תקציב אגף חינוך 2020'!V23</f>
        <v>0</v>
      </c>
      <c r="W23" s="4">
        <f>'תקציב אגף חינוך 2020'!W23</f>
        <v>1800000</v>
      </c>
      <c r="X23" s="4">
        <f>'תקציב אגף חינוך 2020'!X23</f>
        <v>0</v>
      </c>
      <c r="Y23" s="4">
        <f>'תקציב אגף חינוך 2020'!Y23</f>
        <v>0</v>
      </c>
      <c r="Z23" s="4">
        <f>'תקציב אגף חינוך 2020'!Z23</f>
        <v>0</v>
      </c>
      <c r="AA23" s="87" t="str">
        <f>'תקציב אגף חינוך 2020'!AA23</f>
        <v>פרויקט החלפת ריהוט המותאם למאה ה - 21  בכל ביה"ס. תוכנית רב שנתית. ב - 2020: 3 שכבות גיל.</v>
      </c>
      <c r="AB23" s="706">
        <f>'תקציב אגף חינוך 2020'!AB23</f>
        <v>810000</v>
      </c>
      <c r="AC23" s="633"/>
      <c r="AD23" s="634"/>
      <c r="AE23" s="634"/>
      <c r="AF23" s="634"/>
      <c r="AG23" s="634"/>
    </row>
    <row r="24" spans="1:35" s="636" customFormat="1" ht="55.2">
      <c r="A24" s="630">
        <f>A23+1</f>
        <v>19</v>
      </c>
      <c r="B24" s="706">
        <f>'תקציב אגף חינוך 2020'!B24</f>
        <v>2158</v>
      </c>
      <c r="C24" s="87" t="str">
        <f>'תקציב אגף חינוך 2020'!C24</f>
        <v xml:space="preserve">חדרי מייקרס בבתי הספר </v>
      </c>
      <c r="D24" s="4">
        <f>'תקציב אגף חינוך 2020'!D24</f>
        <v>954000</v>
      </c>
      <c r="E24" s="4">
        <f>'תקציב אגף חינוך 2020'!E24</f>
        <v>0</v>
      </c>
      <c r="F24" s="4">
        <f>'תקציב אגף חינוך 2020'!F24</f>
        <v>954000</v>
      </c>
      <c r="G24" s="4">
        <f>'תקציב אגף חינוך 2020'!G24</f>
        <v>0</v>
      </c>
      <c r="H24" s="4">
        <f>'תקציב אגף חינוך 2020'!H24</f>
        <v>0</v>
      </c>
      <c r="I24" s="4">
        <f>'תקציב אגף חינוך 2020'!I24</f>
        <v>0</v>
      </c>
      <c r="J24" s="4">
        <f>'תקציב אגף חינוך 2020'!J24</f>
        <v>0</v>
      </c>
      <c r="K24" s="4">
        <f>'תקציב אגף חינוך 2020'!K24</f>
        <v>0</v>
      </c>
      <c r="L24" s="4">
        <f>'תקציב אגף חינוך 2020'!L24</f>
        <v>0</v>
      </c>
      <c r="M24" s="4">
        <f>'תקציב אגף חינוך 2020'!M24</f>
        <v>0</v>
      </c>
      <c r="N24" s="4">
        <f>'תקציב אגף חינוך 2020'!N24</f>
        <v>570000</v>
      </c>
      <c r="O24" s="4">
        <f>'תקציב אגף חינוך 2020'!O24</f>
        <v>384000</v>
      </c>
      <c r="P24" s="4">
        <f>'תקציב אגף חינוך 2020'!P24</f>
        <v>0</v>
      </c>
      <c r="Q24" s="4">
        <f>'תקציב אגף חינוך 2020'!Q24</f>
        <v>0</v>
      </c>
      <c r="R24" s="4">
        <f>'תקציב אגף חינוך 2020'!R24</f>
        <v>0</v>
      </c>
      <c r="S24" s="4">
        <f>'תקציב אגף חינוך 2020'!S24</f>
        <v>0</v>
      </c>
      <c r="T24" s="4">
        <f>'תקציב אגף חינוך 2020'!T24</f>
        <v>0</v>
      </c>
      <c r="U24" s="4">
        <f>'תקציב אגף חינוך 2020'!U24</f>
        <v>570000</v>
      </c>
      <c r="V24" s="4">
        <f>'תקציב אגף חינוך 2020'!V24</f>
        <v>0</v>
      </c>
      <c r="W24" s="4">
        <f>'תקציב אגף חינוך 2020'!W24</f>
        <v>570000</v>
      </c>
      <c r="X24" s="4">
        <f>'תקציב אגף חינוך 2020'!X24</f>
        <v>0</v>
      </c>
      <c r="Y24" s="4">
        <f>'תקציב אגף חינוך 2020'!Y24</f>
        <v>0</v>
      </c>
      <c r="Z24" s="4">
        <f>'תקציב אגף חינוך 2020'!Z24</f>
        <v>0</v>
      </c>
      <c r="AA24" s="87" t="str">
        <f>'תקציב אגף חינוך 2020'!AA24</f>
        <v xml:space="preserve">בניית חדרי מייקרס בבתי הספר לפי חלוקה גאוגרפית. חדר אחד ישמש מס' בתי הספר. אומדן של חדר אחד - 80 אלף ₪ </v>
      </c>
      <c r="AB24" s="706">
        <f>'תקציב אגף חינוך 2020'!AB24</f>
        <v>810000</v>
      </c>
      <c r="AC24" s="656"/>
      <c r="AD24" s="662"/>
      <c r="AE24" s="635"/>
      <c r="AF24" s="635"/>
    </row>
    <row r="25" spans="1:35" s="636" customFormat="1" ht="57" customHeight="1">
      <c r="A25" s="630">
        <f t="shared" ref="A25:A27" si="1">A24+1</f>
        <v>20</v>
      </c>
      <c r="B25" s="706">
        <f>'תקציב אגף חינוך 2020'!B25</f>
        <v>2159</v>
      </c>
      <c r="C25" s="87" t="str">
        <f>'תקציב אגף חינוך 2020'!C25</f>
        <v>הצטיידות מעבדות תיכון ראשונים</v>
      </c>
      <c r="D25" s="4">
        <f>'תקציב אגף חינוך 2020'!D25</f>
        <v>200000</v>
      </c>
      <c r="E25" s="4">
        <f>'תקציב אגף חינוך 2020'!E25</f>
        <v>0</v>
      </c>
      <c r="F25" s="4">
        <f>'תקציב אגף חינוך 2020'!F25</f>
        <v>200000</v>
      </c>
      <c r="G25" s="4">
        <f>'תקציב אגף חינוך 2020'!G25</f>
        <v>0</v>
      </c>
      <c r="H25" s="4">
        <f>'תקציב אגף חינוך 2020'!H25</f>
        <v>0</v>
      </c>
      <c r="I25" s="4">
        <f>'תקציב אגף חינוך 2020'!I25</f>
        <v>0</v>
      </c>
      <c r="J25" s="4">
        <f>'תקציב אגף חינוך 2020'!J25</f>
        <v>0</v>
      </c>
      <c r="K25" s="4">
        <f>'תקציב אגף חינוך 2020'!K25</f>
        <v>0</v>
      </c>
      <c r="L25" s="4">
        <f>'תקציב אגף חינוך 2020'!L25</f>
        <v>0</v>
      </c>
      <c r="M25" s="4">
        <f>'תקציב אגף חינוך 2020'!M25</f>
        <v>0</v>
      </c>
      <c r="N25" s="4">
        <f>'תקציב אגף חינוך 2020'!N25</f>
        <v>200000</v>
      </c>
      <c r="O25" s="4">
        <f>'תקציב אגף חינוך 2020'!O25</f>
        <v>0</v>
      </c>
      <c r="P25" s="4">
        <f>'תקציב אגף חינוך 2020'!P25</f>
        <v>0</v>
      </c>
      <c r="Q25" s="4">
        <f>'תקציב אגף חינוך 2020'!Q25</f>
        <v>0</v>
      </c>
      <c r="R25" s="4">
        <f>'תקציב אגף חינוך 2020'!R25</f>
        <v>0</v>
      </c>
      <c r="S25" s="4">
        <f>'תקציב אגף חינוך 2020'!S25</f>
        <v>0</v>
      </c>
      <c r="T25" s="4">
        <f>'תקציב אגף חינוך 2020'!T25</f>
        <v>0</v>
      </c>
      <c r="U25" s="4">
        <f>'תקציב אגף חינוך 2020'!U25</f>
        <v>200000</v>
      </c>
      <c r="V25" s="4">
        <f>'תקציב אגף חינוך 2020'!V25</f>
        <v>0</v>
      </c>
      <c r="W25" s="4">
        <f>'תקציב אגף חינוך 2020'!W25</f>
        <v>200000</v>
      </c>
      <c r="X25" s="4">
        <f>'תקציב אגף חינוך 2020'!X25</f>
        <v>0</v>
      </c>
      <c r="Y25" s="4">
        <f>'תקציב אגף חינוך 2020'!Y25</f>
        <v>0</v>
      </c>
      <c r="Z25" s="4">
        <f>'תקציב אגף חינוך 2020'!Z25</f>
        <v>0</v>
      </c>
      <c r="AA25" s="87" t="str">
        <f>'תקציב אגף חינוך 2020'!AA25</f>
        <v>הצטיידות חדשה של מעבדות בתיכון ראשונים עקב גידול משמעותי במספר התלמידים ומספר הפעילויות .</v>
      </c>
      <c r="AB25" s="706">
        <f>'תקציב אגף חינוך 2020'!AB25</f>
        <v>810000</v>
      </c>
      <c r="AC25" s="656"/>
      <c r="AD25" s="662"/>
      <c r="AE25" s="635"/>
      <c r="AF25" s="635"/>
    </row>
    <row r="26" spans="1:35" s="636" customFormat="1" ht="41.4">
      <c r="A26" s="630">
        <f t="shared" si="1"/>
        <v>21</v>
      </c>
      <c r="B26" s="706">
        <f>'תקציב אגף חינוך 2020'!B26</f>
        <v>2160</v>
      </c>
      <c r="C26" s="87" t="str">
        <f>'תקציב אגף חינוך 2020'!C26</f>
        <v xml:space="preserve">עיצוב חדשני של כיתות האם </v>
      </c>
      <c r="D26" s="4">
        <f>'תקציב אגף חינוך 2020'!D26</f>
        <v>180000</v>
      </c>
      <c r="E26" s="4">
        <f>'תקציב אגף חינוך 2020'!E26</f>
        <v>0</v>
      </c>
      <c r="F26" s="4">
        <f>'תקציב אגף חינוך 2020'!F26</f>
        <v>180000</v>
      </c>
      <c r="G26" s="4">
        <f>'תקציב אגף חינוך 2020'!G26</f>
        <v>0</v>
      </c>
      <c r="H26" s="4">
        <f>'תקציב אגף חינוך 2020'!H26</f>
        <v>0</v>
      </c>
      <c r="I26" s="4">
        <f>'תקציב אגף חינוך 2020'!I26</f>
        <v>0</v>
      </c>
      <c r="J26" s="4">
        <f>'תקציב אגף חינוך 2020'!J26</f>
        <v>0</v>
      </c>
      <c r="K26" s="4">
        <f>'תקציב אגף חינוך 2020'!K26</f>
        <v>0</v>
      </c>
      <c r="L26" s="4">
        <f>'תקציב אגף חינוך 2020'!L26</f>
        <v>0</v>
      </c>
      <c r="M26" s="4">
        <f>'תקציב אגף חינוך 2020'!M26</f>
        <v>0</v>
      </c>
      <c r="N26" s="4">
        <f>'תקציב אגף חינוך 2020'!N26</f>
        <v>180000</v>
      </c>
      <c r="O26" s="4">
        <f>'תקציב אגף חינוך 2020'!O26</f>
        <v>0</v>
      </c>
      <c r="P26" s="4">
        <f>'תקציב אגף חינוך 2020'!P26</f>
        <v>0</v>
      </c>
      <c r="Q26" s="4">
        <f>'תקציב אגף חינוך 2020'!Q26</f>
        <v>0</v>
      </c>
      <c r="R26" s="4">
        <f>'תקציב אגף חינוך 2020'!R26</f>
        <v>0</v>
      </c>
      <c r="S26" s="4">
        <f>'תקציב אגף חינוך 2020'!S26</f>
        <v>0</v>
      </c>
      <c r="T26" s="4">
        <f>'תקציב אגף חינוך 2020'!T26</f>
        <v>0</v>
      </c>
      <c r="U26" s="4">
        <f>'תקציב אגף חינוך 2020'!U26</f>
        <v>180000</v>
      </c>
      <c r="V26" s="4">
        <f>'תקציב אגף חינוך 2020'!V26</f>
        <v>0</v>
      </c>
      <c r="W26" s="4">
        <f>'תקציב אגף חינוך 2020'!W26</f>
        <v>180000</v>
      </c>
      <c r="X26" s="4">
        <f>'תקציב אגף חינוך 2020'!X26</f>
        <v>0</v>
      </c>
      <c r="Y26" s="4">
        <f>'תקציב אגף חינוך 2020'!Y26</f>
        <v>0</v>
      </c>
      <c r="Z26" s="4">
        <f>'תקציב אגף חינוך 2020'!Z26</f>
        <v>0</v>
      </c>
      <c r="AA26" s="87" t="str">
        <f>'תקציב אגף חינוך 2020'!AA26</f>
        <v>הקמת מרחבי למידה חדשניים בשכבת כיתות ז' בחט"ב רעות הכולל ריהוט ועיצוב פנים.</v>
      </c>
      <c r="AB26" s="706">
        <f>'תקציב אגף חינוך 2020'!AB26</f>
        <v>810000</v>
      </c>
      <c r="AC26" s="656"/>
      <c r="AD26" s="662"/>
      <c r="AE26" s="635"/>
      <c r="AF26" s="635"/>
    </row>
    <row r="27" spans="1:35" s="636" customFormat="1" ht="35.1" customHeight="1">
      <c r="A27" s="630">
        <f t="shared" si="1"/>
        <v>22</v>
      </c>
      <c r="B27" s="706">
        <f>'תקציב אגף חינוך 2020'!B27</f>
        <v>2161</v>
      </c>
      <c r="C27" s="87" t="str">
        <f>'תקציב אגף חינוך 2020'!C27</f>
        <v>הצטיידות גנ"י ילדים גליל ים (מגרש 401)</v>
      </c>
      <c r="D27" s="4">
        <f>'תקציב אגף חינוך 2020'!D27</f>
        <v>180000</v>
      </c>
      <c r="E27" s="4">
        <f>'תקציב אגף חינוך 2020'!E27</f>
        <v>0</v>
      </c>
      <c r="F27" s="4">
        <f>'תקציב אגף חינוך 2020'!F27</f>
        <v>180000</v>
      </c>
      <c r="G27" s="4">
        <f>'תקציב אגף חינוך 2020'!G27</f>
        <v>0</v>
      </c>
      <c r="H27" s="4">
        <f>'תקציב אגף חינוך 2020'!H27</f>
        <v>0</v>
      </c>
      <c r="I27" s="4">
        <f>'תקציב אגף חינוך 2020'!I27</f>
        <v>0</v>
      </c>
      <c r="J27" s="4">
        <f>'תקציב אגף חינוך 2020'!J27</f>
        <v>0</v>
      </c>
      <c r="K27" s="4">
        <f>'תקציב אגף חינוך 2020'!K27</f>
        <v>0</v>
      </c>
      <c r="L27" s="4">
        <f>'תקציב אגף חינוך 2020'!L27</f>
        <v>0</v>
      </c>
      <c r="M27" s="4">
        <f>'תקציב אגף חינוך 2020'!M27</f>
        <v>0</v>
      </c>
      <c r="N27" s="4">
        <f>'תקציב אגף חינוך 2020'!N27</f>
        <v>180000</v>
      </c>
      <c r="O27" s="4">
        <f>'תקציב אגף חינוך 2020'!O27</f>
        <v>0</v>
      </c>
      <c r="P27" s="4">
        <f>'תקציב אגף חינוך 2020'!P27</f>
        <v>0</v>
      </c>
      <c r="Q27" s="4">
        <f>'תקציב אגף חינוך 2020'!Q27</f>
        <v>0</v>
      </c>
      <c r="R27" s="4">
        <f>'תקציב אגף חינוך 2020'!R27</f>
        <v>0</v>
      </c>
      <c r="S27" s="4">
        <f>'תקציב אגף חינוך 2020'!S27</f>
        <v>0</v>
      </c>
      <c r="T27" s="4">
        <f>'תקציב אגף חינוך 2020'!T27</f>
        <v>0</v>
      </c>
      <c r="U27" s="4">
        <f>'תקציב אגף חינוך 2020'!U27</f>
        <v>180000</v>
      </c>
      <c r="V27" s="4">
        <f>'תקציב אגף חינוך 2020'!V27</f>
        <v>0</v>
      </c>
      <c r="W27" s="4">
        <f>'תקציב אגף חינוך 2020'!W27</f>
        <v>180000</v>
      </c>
      <c r="X27" s="4">
        <f>'תקציב אגף חינוך 2020'!X27</f>
        <v>0</v>
      </c>
      <c r="Y27" s="4">
        <f>'תקציב אגף חינוך 2020'!Y27</f>
        <v>0</v>
      </c>
      <c r="Z27" s="4">
        <f>'תקציב אגף חינוך 2020'!Z27</f>
        <v>0</v>
      </c>
      <c r="AA27" s="87" t="str">
        <f>'תקציב אגף חינוך 2020'!AA27</f>
        <v xml:space="preserve">במקביל לבנית גנ"י בביצוע של החב. לפיתוח. </v>
      </c>
      <c r="AB27" s="706">
        <f>'תקציב אגף חינוך 2020'!AB27</f>
        <v>810000</v>
      </c>
      <c r="AC27" s="656"/>
      <c r="AD27" s="662"/>
      <c r="AE27" s="635"/>
      <c r="AF27" s="635"/>
    </row>
    <row r="28" spans="1:35" s="661" customFormat="1" ht="35.1" customHeight="1">
      <c r="A28" s="658">
        <f>A27</f>
        <v>22</v>
      </c>
      <c r="B28" s="783"/>
      <c r="C28" s="644" t="s">
        <v>699</v>
      </c>
      <c r="D28" s="88">
        <f>SUM(D6:D27)</f>
        <v>41534363</v>
      </c>
      <c r="E28" s="88">
        <f t="shared" ref="E28:Z28" si="2">SUM(E6:E27)</f>
        <v>17115363</v>
      </c>
      <c r="F28" s="88">
        <f t="shared" si="2"/>
        <v>24419000</v>
      </c>
      <c r="G28" s="88">
        <f t="shared" si="2"/>
        <v>15055363</v>
      </c>
      <c r="H28" s="88">
        <f t="shared" si="2"/>
        <v>5399054.3100000005</v>
      </c>
      <c r="I28" s="88">
        <f t="shared" si="2"/>
        <v>1200000</v>
      </c>
      <c r="J28" s="88">
        <f t="shared" si="2"/>
        <v>990427.74</v>
      </c>
      <c r="K28" s="88">
        <f t="shared" si="2"/>
        <v>2190427.7400000002</v>
      </c>
      <c r="L28" s="88">
        <f t="shared" si="2"/>
        <v>7589482.0499999989</v>
      </c>
      <c r="M28" s="88">
        <f t="shared" si="2"/>
        <v>7235880.9499999993</v>
      </c>
      <c r="N28" s="88">
        <f t="shared" si="2"/>
        <v>5685000</v>
      </c>
      <c r="O28" s="88">
        <f t="shared" si="2"/>
        <v>21024000</v>
      </c>
      <c r="P28" s="88">
        <f t="shared" si="2"/>
        <v>7465880.9499999993</v>
      </c>
      <c r="Q28" s="88">
        <f t="shared" si="2"/>
        <v>0</v>
      </c>
      <c r="R28" s="88">
        <f t="shared" si="2"/>
        <v>460000</v>
      </c>
      <c r="S28" s="88">
        <f t="shared" si="2"/>
        <v>460000</v>
      </c>
      <c r="T28" s="88">
        <f t="shared" si="2"/>
        <v>690000</v>
      </c>
      <c r="U28" s="88">
        <f t="shared" si="2"/>
        <v>4995000</v>
      </c>
      <c r="V28" s="88">
        <f t="shared" si="2"/>
        <v>0</v>
      </c>
      <c r="W28" s="88">
        <f t="shared" si="2"/>
        <v>4917000</v>
      </c>
      <c r="X28" s="88">
        <f t="shared" si="2"/>
        <v>0</v>
      </c>
      <c r="Y28" s="88">
        <f t="shared" si="2"/>
        <v>0</v>
      </c>
      <c r="Z28" s="88">
        <f t="shared" si="2"/>
        <v>78000</v>
      </c>
      <c r="AA28" s="711"/>
      <c r="AB28" s="658"/>
      <c r="AC28" s="659"/>
      <c r="AD28" s="660"/>
    </row>
    <row r="29" spans="1:35" s="634" customFormat="1">
      <c r="A29" s="655"/>
      <c r="B29" s="784"/>
      <c r="C29" s="712"/>
      <c r="D29" s="16"/>
      <c r="E29" s="657"/>
      <c r="F29" s="657"/>
      <c r="G29" s="657"/>
      <c r="H29" s="657"/>
      <c r="I29" s="657"/>
      <c r="J29" s="657"/>
      <c r="K29" s="657"/>
      <c r="L29" s="657">
        <f>K28+H28</f>
        <v>7589482.0500000007</v>
      </c>
      <c r="M29" s="657"/>
      <c r="N29" s="16"/>
      <c r="O29" s="657"/>
      <c r="P29" s="657">
        <f>G28-L29</f>
        <v>7465880.9499999993</v>
      </c>
      <c r="Q29" s="657"/>
      <c r="R29" s="657"/>
      <c r="S29" s="657"/>
      <c r="T29" s="657">
        <f>P29+S28-M28</f>
        <v>690000</v>
      </c>
      <c r="U29" s="657">
        <f>N28-T28</f>
        <v>4995000</v>
      </c>
      <c r="V29" s="655"/>
      <c r="W29" s="655"/>
      <c r="X29" s="655"/>
      <c r="Y29" s="655"/>
      <c r="Z29" s="655"/>
      <c r="AA29" s="712"/>
      <c r="AB29" s="655"/>
      <c r="AC29" s="633"/>
      <c r="AG29" s="655"/>
      <c r="AH29" s="655"/>
      <c r="AI29" s="655"/>
    </row>
  </sheetData>
  <sheetProtection formatCells="0" formatColumns="0" formatRows="0" insertColumns="0" insertRows="0" insertHyperlinks="0" deleteColumns="0" deleteRows="0" sort="0" autoFilter="0" pivotTables="0"/>
  <conditionalFormatting sqref="A1:W2 AE1:XFD2 Y1:AB2 AC1:AD6 AG4:AG19 AE3:AF19 AC7:AC22 AD7:AD23 AC24:AG26 AG28 AC28:AF1048576">
    <cfRule type="cellIs" dxfId="297" priority="8" operator="equal">
      <formula>0</formula>
    </cfRule>
  </conditionalFormatting>
  <conditionalFormatting sqref="AA4">
    <cfRule type="cellIs" dxfId="296" priority="7" operator="equal">
      <formula>0</formula>
    </cfRule>
  </conditionalFormatting>
  <conditionalFormatting sqref="X1:X2">
    <cfRule type="cellIs" dxfId="295" priority="6" operator="equal">
      <formula>0</formula>
    </cfRule>
  </conditionalFormatting>
  <conditionalFormatting sqref="AG21 AE20:AF21 AE23:AG23">
    <cfRule type="cellIs" dxfId="294" priority="5" operator="equal">
      <formula>0</formula>
    </cfRule>
  </conditionalFormatting>
  <conditionalFormatting sqref="AG20">
    <cfRule type="cellIs" dxfId="293" priority="4" operator="equal">
      <formula>0</formula>
    </cfRule>
  </conditionalFormatting>
  <conditionalFormatting sqref="AC23">
    <cfRule type="cellIs" dxfId="292" priority="3" operator="equal">
      <formula>0</formula>
    </cfRule>
  </conditionalFormatting>
  <conditionalFormatting sqref="AE22:AG22">
    <cfRule type="cellIs" dxfId="291" priority="2" operator="equal">
      <formula>0</formula>
    </cfRule>
  </conditionalFormatting>
  <conditionalFormatting sqref="AC27:AG27">
    <cfRule type="cellIs" dxfId="29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4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585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.6" thickBot="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6.2" thickBot="1">
      <c r="A5" s="273"/>
      <c r="B5" s="276" t="s">
        <v>227</v>
      </c>
      <c r="C5" s="273" t="s">
        <v>1339</v>
      </c>
      <c r="D5" s="273"/>
      <c r="E5" s="273"/>
      <c r="F5" s="277">
        <f>'תקציב אגף תנוס 2020 '!$U$17</f>
        <v>3940229</v>
      </c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H6" s="273"/>
      <c r="I6" s="273"/>
      <c r="J6" s="273"/>
      <c r="K6" s="273"/>
      <c r="L6" s="273"/>
    </row>
    <row r="7" spans="1:17" ht="16.2" thickBot="1">
      <c r="B7" s="276" t="s">
        <v>227</v>
      </c>
      <c r="C7" s="273" t="s">
        <v>377</v>
      </c>
      <c r="D7" s="273"/>
      <c r="F7" s="277">
        <f>'תקציב אגף תנוס 2020 '!$A$17</f>
        <v>11</v>
      </c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/>
      <c r="C8" s="273"/>
      <c r="D8" s="273"/>
      <c r="E8" s="273"/>
      <c r="F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 t="s">
        <v>227</v>
      </c>
      <c r="C9" s="273" t="s">
        <v>365</v>
      </c>
      <c r="D9" s="273"/>
      <c r="E9" s="273"/>
      <c r="F9" s="273"/>
      <c r="G9" s="273"/>
      <c r="H9" s="273"/>
      <c r="I9" s="273"/>
      <c r="J9" s="273"/>
      <c r="K9" s="273"/>
      <c r="L9" s="273"/>
    </row>
    <row r="10" spans="1:17" ht="16.2" thickBot="1"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D11" s="286" t="s">
        <v>366</v>
      </c>
      <c r="E11" s="287" t="s">
        <v>367</v>
      </c>
      <c r="F11" s="288" t="s">
        <v>369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D12" s="280" t="s">
        <v>14</v>
      </c>
      <c r="E12" s="757">
        <f>'תקציב אגף תנוס 2020 '!$W$17</f>
        <v>3435000</v>
      </c>
      <c r="F12" s="290">
        <f>E12/$E$14</f>
        <v>0.87177674191017829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</row>
    <row r="13" spans="1:17" ht="15.6">
      <c r="C13" s="276"/>
      <c r="D13" s="280" t="s">
        <v>105</v>
      </c>
      <c r="E13" s="289">
        <f>'תקציב אגף תנוס 2020 '!$Z$17</f>
        <v>505229</v>
      </c>
      <c r="F13" s="290">
        <f>E13/$E$14</f>
        <v>0.12822325808982168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6.2" thickBot="1">
      <c r="C14" s="276"/>
      <c r="D14" s="283" t="s">
        <v>120</v>
      </c>
      <c r="E14" s="432">
        <f>SUM(E12:E13)</f>
        <v>3940229</v>
      </c>
      <c r="F14" s="433">
        <f>SUM(F12:F13)</f>
        <v>1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B15" s="276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B16" s="276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5.6">
      <c r="B17" s="276"/>
      <c r="C17" s="273"/>
      <c r="D17" s="273"/>
      <c r="F17" s="273"/>
      <c r="H17" s="282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5.6">
      <c r="B18" s="276" t="s">
        <v>227</v>
      </c>
      <c r="C18" s="273" t="s">
        <v>1342</v>
      </c>
      <c r="D18" s="273"/>
      <c r="F18" s="273"/>
      <c r="H18" s="282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B19" s="276"/>
      <c r="C19" s="273" t="s">
        <v>1343</v>
      </c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2" spans="1:17" s="418" customFormat="1" ht="15.6">
      <c r="C22" s="420"/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</row>
    <row r="23" spans="1:17" s="418" customFormat="1" ht="15.6">
      <c r="A23" s="417"/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</row>
    <row r="24" spans="1:17" s="418" customFormat="1" ht="15.6">
      <c r="A24" s="417"/>
      <c r="B24" s="417"/>
      <c r="C24" s="417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1"/>
  <sheetViews>
    <sheetView showZeros="0" rightToLeft="1" tabSelected="1" zoomScaleNormal="100" workbookViewId="0">
      <pane xSplit="3" ySplit="4" topLeftCell="D13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7" customWidth="1"/>
    <col min="2" max="2" width="4.77734375" style="14" customWidth="1"/>
    <col min="3" max="3" width="29.33203125" style="14" customWidth="1"/>
    <col min="4" max="5" width="9.77734375" style="16" customWidth="1"/>
    <col min="6" max="6" width="8.77734375" style="16" customWidth="1"/>
    <col min="7" max="11" width="9.109375" style="16" hidden="1" customWidth="1"/>
    <col min="12" max="12" width="9.77734375" style="16" customWidth="1"/>
    <col min="13" max="15" width="8.77734375" style="16" customWidth="1"/>
    <col min="16" max="19" width="8.77734375" style="16" hidden="1" customWidth="1"/>
    <col min="20" max="20" width="8.77734375" style="16" customWidth="1"/>
    <col min="21" max="21" width="8.77734375" style="14" customWidth="1"/>
    <col min="22" max="22" width="8.77734375" style="14" hidden="1" customWidth="1"/>
    <col min="23" max="23" width="8.77734375" style="14" customWidth="1"/>
    <col min="24" max="25" width="8.77734375" style="14" hidden="1" customWidth="1"/>
    <col min="26" max="26" width="8.77734375" style="14" customWidth="1"/>
    <col min="27" max="27" width="34.88671875" style="37" customWidth="1"/>
    <col min="28" max="28" width="7.88671875" style="14" hidden="1" customWidth="1"/>
    <col min="29" max="29" width="12.88671875" style="665" customWidth="1"/>
    <col min="30" max="30" width="9.6640625" style="665" customWidth="1"/>
    <col min="31" max="31" width="9.88671875" style="665" customWidth="1"/>
    <col min="32" max="32" width="19.6640625" style="665" customWidth="1"/>
    <col min="33" max="16384" width="9.109375" style="14"/>
  </cols>
  <sheetData>
    <row r="1" spans="1:32" s="643" customFormat="1">
      <c r="A1" s="663"/>
      <c r="B1" s="663"/>
      <c r="C1" s="663"/>
      <c r="D1" s="664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  <c r="X1" s="663"/>
      <c r="Y1" s="663"/>
      <c r="Z1" s="663"/>
      <c r="AA1" s="663"/>
      <c r="AB1" s="663"/>
      <c r="AC1" s="665"/>
      <c r="AD1" s="665"/>
      <c r="AE1" s="665"/>
      <c r="AF1" s="665"/>
    </row>
    <row r="2" spans="1:32" s="643" customFormat="1">
      <c r="A2" s="663" t="s">
        <v>585</v>
      </c>
      <c r="B2" s="663"/>
      <c r="C2" s="66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3"/>
      <c r="P2" s="663"/>
      <c r="Q2" s="663"/>
      <c r="R2" s="663"/>
      <c r="S2" s="663"/>
      <c r="T2" s="663"/>
      <c r="U2" s="663"/>
      <c r="V2" s="663"/>
      <c r="W2" s="663"/>
      <c r="X2" s="663"/>
      <c r="Y2" s="663"/>
      <c r="Z2" s="663"/>
      <c r="AA2" s="663"/>
      <c r="AB2" s="663"/>
      <c r="AC2" s="665"/>
      <c r="AD2" s="665"/>
      <c r="AE2" s="665"/>
      <c r="AF2" s="665"/>
    </row>
    <row r="3" spans="1:32" ht="20.399999999999999" customHeight="1"/>
    <row r="4" spans="1:32" s="31" customFormat="1" ht="86.25" customHeight="1">
      <c r="A4" s="18" t="s">
        <v>0</v>
      </c>
      <c r="B4" s="18" t="s">
        <v>1357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925</v>
      </c>
      <c r="R4" s="18" t="s">
        <v>926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18" t="s">
        <v>410</v>
      </c>
      <c r="AB4" s="18" t="s">
        <v>16</v>
      </c>
      <c r="AC4" s="665"/>
      <c r="AD4" s="665"/>
      <c r="AE4" s="665"/>
      <c r="AF4" s="665"/>
    </row>
    <row r="5" spans="1:32" s="5" customFormat="1" ht="18.75" customHeight="1">
      <c r="A5" s="3"/>
      <c r="B5" s="3"/>
      <c r="C5" s="4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f>P5-M5+R5</f>
        <v>0</v>
      </c>
      <c r="U5" s="4">
        <f t="shared" ref="U5:U10" si="0">N5-T5</f>
        <v>0</v>
      </c>
      <c r="V5" s="4"/>
      <c r="W5" s="4"/>
      <c r="X5" s="4"/>
      <c r="Y5" s="4"/>
      <c r="Z5" s="3"/>
      <c r="AA5" s="323"/>
      <c r="AB5" s="3"/>
      <c r="AC5" s="665"/>
      <c r="AD5" s="665"/>
      <c r="AE5" s="665"/>
      <c r="AF5" s="665"/>
    </row>
    <row r="6" spans="1:32" s="5" customFormat="1" ht="30" customHeight="1">
      <c r="A6" s="39">
        <v>1</v>
      </c>
      <c r="B6" s="3">
        <v>1486</v>
      </c>
      <c r="C6" s="3" t="s">
        <v>977</v>
      </c>
      <c r="D6" s="4">
        <f>5790365+3320000</f>
        <v>9110365</v>
      </c>
      <c r="E6" s="4">
        <v>5790365</v>
      </c>
      <c r="F6" s="4">
        <f t="shared" ref="F6:F12" si="1">D6-E6</f>
        <v>3320000</v>
      </c>
      <c r="G6" s="4">
        <v>5290365</v>
      </c>
      <c r="H6" s="4">
        <v>4406919.04</v>
      </c>
      <c r="I6" s="4"/>
      <c r="J6" s="4">
        <v>451649.95</v>
      </c>
      <c r="K6" s="4">
        <f t="shared" ref="K6:K11" si="2">I6+J6</f>
        <v>451649.95</v>
      </c>
      <c r="L6" s="4">
        <f t="shared" ref="L6:L11" si="3">H6+K6</f>
        <v>4858568.99</v>
      </c>
      <c r="M6" s="4">
        <f>P6+S6-300000</f>
        <v>631796.00999999978</v>
      </c>
      <c r="N6" s="4">
        <f>1800000-300000</f>
        <v>1500000</v>
      </c>
      <c r="O6" s="4">
        <f t="shared" ref="O6:O12" si="4">D6-L6-M6-N6</f>
        <v>2120000</v>
      </c>
      <c r="P6" s="4">
        <f>G6-L6</f>
        <v>431796.00999999978</v>
      </c>
      <c r="Q6" s="4">
        <v>500000</v>
      </c>
      <c r="R6" s="4"/>
      <c r="S6" s="4">
        <f t="shared" ref="S6:S12" si="5">SUM(Q6:R6)</f>
        <v>500000</v>
      </c>
      <c r="T6" s="4">
        <f t="shared" ref="T6:T11" si="6">P6-M6+S6</f>
        <v>300000</v>
      </c>
      <c r="U6" s="4">
        <f t="shared" si="0"/>
        <v>1200000</v>
      </c>
      <c r="V6" s="4"/>
      <c r="W6" s="4">
        <f t="shared" ref="W6:W12" si="7">U6-V6-Y6-Z6</f>
        <v>1200000</v>
      </c>
      <c r="X6" s="4"/>
      <c r="Y6" s="4"/>
      <c r="Z6" s="3"/>
      <c r="AA6" s="3" t="s">
        <v>534</v>
      </c>
      <c r="AB6" s="3">
        <v>930000</v>
      </c>
      <c r="AC6" s="665"/>
      <c r="AD6" s="666"/>
      <c r="AE6" s="665"/>
      <c r="AF6" s="667"/>
    </row>
    <row r="7" spans="1:32" s="5" customFormat="1" ht="27.6">
      <c r="A7" s="39">
        <f>A6+1</f>
        <v>2</v>
      </c>
      <c r="B7" s="3">
        <v>1582</v>
      </c>
      <c r="C7" s="3" t="s">
        <v>68</v>
      </c>
      <c r="D7" s="4">
        <f>934000+720000+120000</f>
        <v>1774000</v>
      </c>
      <c r="E7" s="4">
        <v>934000</v>
      </c>
      <c r="F7" s="4">
        <f t="shared" si="1"/>
        <v>840000</v>
      </c>
      <c r="G7" s="4">
        <v>934000</v>
      </c>
      <c r="H7" s="4">
        <v>813359.51</v>
      </c>
      <c r="I7" s="4"/>
      <c r="J7" s="4">
        <v>97613.05</v>
      </c>
      <c r="K7" s="4">
        <f t="shared" si="2"/>
        <v>97613.05</v>
      </c>
      <c r="L7" s="4">
        <f t="shared" si="3"/>
        <v>910972.56</v>
      </c>
      <c r="M7" s="4">
        <f t="shared" ref="M7:M12" si="8">P7+S7</f>
        <v>23027.439999999944</v>
      </c>
      <c r="N7" s="4">
        <f>720000+120000-100000</f>
        <v>740000</v>
      </c>
      <c r="O7" s="4">
        <f t="shared" si="4"/>
        <v>100000</v>
      </c>
      <c r="P7" s="4">
        <f t="shared" ref="P7:P12" si="9">G7-L7</f>
        <v>23027.439999999944</v>
      </c>
      <c r="Q7" s="4"/>
      <c r="R7" s="4"/>
      <c r="S7" s="4">
        <f t="shared" si="5"/>
        <v>0</v>
      </c>
      <c r="T7" s="4">
        <f t="shared" si="6"/>
        <v>0</v>
      </c>
      <c r="U7" s="4">
        <f t="shared" si="0"/>
        <v>740000</v>
      </c>
      <c r="V7" s="4"/>
      <c r="W7" s="4">
        <f t="shared" si="7"/>
        <v>740000</v>
      </c>
      <c r="X7" s="4"/>
      <c r="Y7" s="4"/>
      <c r="Z7" s="3"/>
      <c r="AA7" s="87" t="s">
        <v>1474</v>
      </c>
      <c r="AB7" s="3">
        <v>829000</v>
      </c>
      <c r="AC7" s="665"/>
      <c r="AD7" s="666"/>
      <c r="AE7" s="665"/>
      <c r="AF7" s="667"/>
    </row>
    <row r="8" spans="1:32" s="5" customFormat="1" ht="30" customHeight="1">
      <c r="A8" s="39">
        <f t="shared" ref="A8:A14" si="10">A7+1</f>
        <v>3</v>
      </c>
      <c r="B8" s="3">
        <v>1678</v>
      </c>
      <c r="C8" s="3" t="s">
        <v>786</v>
      </c>
      <c r="D8" s="4">
        <f>1510000+250000</f>
        <v>1760000</v>
      </c>
      <c r="E8" s="4">
        <v>1510000</v>
      </c>
      <c r="F8" s="4">
        <f t="shared" si="1"/>
        <v>250000</v>
      </c>
      <c r="G8" s="4">
        <v>1510000</v>
      </c>
      <c r="H8" s="4">
        <v>1155732.3999999999</v>
      </c>
      <c r="I8" s="4"/>
      <c r="J8" s="4">
        <v>138683.85999999999</v>
      </c>
      <c r="K8" s="4">
        <f t="shared" si="2"/>
        <v>138683.85999999999</v>
      </c>
      <c r="L8" s="4">
        <f t="shared" si="3"/>
        <v>1294416.2599999998</v>
      </c>
      <c r="M8" s="4">
        <f t="shared" si="8"/>
        <v>215583.74000000022</v>
      </c>
      <c r="N8" s="4">
        <v>250000</v>
      </c>
      <c r="O8" s="4">
        <f t="shared" si="4"/>
        <v>0</v>
      </c>
      <c r="P8" s="4">
        <f>G8-L8</f>
        <v>215583.74000000022</v>
      </c>
      <c r="Q8" s="4"/>
      <c r="R8" s="4"/>
      <c r="S8" s="4">
        <f t="shared" si="5"/>
        <v>0</v>
      </c>
      <c r="T8" s="4">
        <f t="shared" si="6"/>
        <v>0</v>
      </c>
      <c r="U8" s="4">
        <f t="shared" si="0"/>
        <v>250000</v>
      </c>
      <c r="V8" s="4"/>
      <c r="W8" s="4">
        <f t="shared" si="7"/>
        <v>250000</v>
      </c>
      <c r="X8" s="4"/>
      <c r="Y8" s="4"/>
      <c r="Z8" s="3"/>
      <c r="AA8" s="3" t="s">
        <v>787</v>
      </c>
      <c r="AB8" s="3">
        <v>829000</v>
      </c>
      <c r="AC8" s="665"/>
      <c r="AD8" s="666"/>
      <c r="AE8" s="665"/>
      <c r="AF8" s="667"/>
    </row>
    <row r="9" spans="1:32" s="5" customFormat="1" ht="27.6">
      <c r="A9" s="39">
        <f t="shared" si="10"/>
        <v>4</v>
      </c>
      <c r="B9" s="3">
        <v>1777</v>
      </c>
      <c r="C9" s="3" t="s">
        <v>71</v>
      </c>
      <c r="D9" s="4">
        <v>390000</v>
      </c>
      <c r="E9" s="4">
        <v>390000</v>
      </c>
      <c r="F9" s="4">
        <f t="shared" si="1"/>
        <v>0</v>
      </c>
      <c r="G9" s="4">
        <v>270000</v>
      </c>
      <c r="H9" s="4">
        <v>129069.72</v>
      </c>
      <c r="I9" s="4"/>
      <c r="J9" s="4"/>
      <c r="K9" s="4">
        <f t="shared" si="2"/>
        <v>0</v>
      </c>
      <c r="L9" s="4">
        <f t="shared" si="3"/>
        <v>129069.72</v>
      </c>
      <c r="M9" s="4">
        <f t="shared" si="8"/>
        <v>140930.28</v>
      </c>
      <c r="N9" s="4">
        <v>120000</v>
      </c>
      <c r="O9" s="4">
        <f t="shared" si="4"/>
        <v>0</v>
      </c>
      <c r="P9" s="4">
        <f>G9-L9</f>
        <v>140930.28</v>
      </c>
      <c r="Q9" s="4"/>
      <c r="R9" s="4"/>
      <c r="S9" s="4">
        <f t="shared" si="5"/>
        <v>0</v>
      </c>
      <c r="T9" s="4">
        <f t="shared" si="6"/>
        <v>0</v>
      </c>
      <c r="U9" s="4">
        <f t="shared" si="0"/>
        <v>120000</v>
      </c>
      <c r="V9" s="4"/>
      <c r="W9" s="4">
        <f t="shared" si="7"/>
        <v>120000</v>
      </c>
      <c r="X9" s="4"/>
      <c r="Y9" s="4"/>
      <c r="Z9" s="3"/>
      <c r="AA9" s="3" t="s">
        <v>1371</v>
      </c>
      <c r="AB9" s="3">
        <v>829000</v>
      </c>
      <c r="AC9" s="665"/>
      <c r="AD9" s="666"/>
      <c r="AE9" s="665"/>
      <c r="AF9" s="667"/>
    </row>
    <row r="10" spans="1:32" s="5" customFormat="1" ht="41.4">
      <c r="A10" s="39">
        <f t="shared" si="10"/>
        <v>5</v>
      </c>
      <c r="B10" s="3">
        <v>1890</v>
      </c>
      <c r="C10" s="3" t="s">
        <v>978</v>
      </c>
      <c r="D10" s="4">
        <v>1100000</v>
      </c>
      <c r="E10" s="4">
        <v>1100000</v>
      </c>
      <c r="F10" s="4">
        <f t="shared" si="1"/>
        <v>0</v>
      </c>
      <c r="G10" s="4">
        <v>1100000</v>
      </c>
      <c r="H10" s="4">
        <v>933344.4</v>
      </c>
      <c r="I10" s="4"/>
      <c r="J10" s="4">
        <v>82000</v>
      </c>
      <c r="K10" s="4">
        <f t="shared" si="2"/>
        <v>82000</v>
      </c>
      <c r="L10" s="4">
        <f t="shared" si="3"/>
        <v>1015344.4</v>
      </c>
      <c r="M10" s="4">
        <f t="shared" si="8"/>
        <v>84655.599999999977</v>
      </c>
      <c r="N10" s="4"/>
      <c r="O10" s="4">
        <f t="shared" si="4"/>
        <v>0</v>
      </c>
      <c r="P10" s="4">
        <f t="shared" si="9"/>
        <v>84655.599999999977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0"/>
        <v>0</v>
      </c>
      <c r="V10" s="4"/>
      <c r="W10" s="4">
        <f t="shared" si="7"/>
        <v>-180000</v>
      </c>
      <c r="X10" s="4"/>
      <c r="Y10" s="4"/>
      <c r="Z10" s="4">
        <v>180000</v>
      </c>
      <c r="AA10" s="3" t="s">
        <v>1240</v>
      </c>
      <c r="AB10" s="3">
        <v>829000</v>
      </c>
      <c r="AC10" s="665"/>
      <c r="AD10" s="666"/>
      <c r="AE10" s="665"/>
      <c r="AF10" s="667"/>
    </row>
    <row r="11" spans="1:32" s="5" customFormat="1" ht="47.25" customHeight="1">
      <c r="A11" s="39">
        <f>A10+1</f>
        <v>6</v>
      </c>
      <c r="B11" s="323">
        <v>2004</v>
      </c>
      <c r="C11" s="3" t="s">
        <v>223</v>
      </c>
      <c r="D11" s="4">
        <v>735000</v>
      </c>
      <c r="E11" s="4">
        <v>735000</v>
      </c>
      <c r="F11" s="4">
        <f t="shared" si="1"/>
        <v>0</v>
      </c>
      <c r="G11" s="4">
        <v>535000</v>
      </c>
      <c r="H11" s="4">
        <v>242228.9</v>
      </c>
      <c r="I11" s="4"/>
      <c r="J11" s="4">
        <v>278516.67</v>
      </c>
      <c r="K11" s="4">
        <f t="shared" si="2"/>
        <v>278516.67</v>
      </c>
      <c r="L11" s="4">
        <f t="shared" si="3"/>
        <v>520745.56999999995</v>
      </c>
      <c r="M11" s="4">
        <f>P11+S11-80000</f>
        <v>14254.430000000051</v>
      </c>
      <c r="N11" s="4">
        <f>200000-50000</f>
        <v>150000</v>
      </c>
      <c r="O11" s="4">
        <f>D11-L11-M11-N11</f>
        <v>50000</v>
      </c>
      <c r="P11" s="4">
        <f>G11-L11</f>
        <v>14254.430000000051</v>
      </c>
      <c r="Q11" s="4">
        <v>80000</v>
      </c>
      <c r="R11" s="4"/>
      <c r="S11" s="4">
        <f t="shared" si="5"/>
        <v>80000</v>
      </c>
      <c r="T11" s="4">
        <f t="shared" si="6"/>
        <v>80000</v>
      </c>
      <c r="U11" s="4">
        <f>N11-T11</f>
        <v>70000</v>
      </c>
      <c r="V11" s="4"/>
      <c r="W11" s="4">
        <f t="shared" si="7"/>
        <v>70000</v>
      </c>
      <c r="X11" s="4"/>
      <c r="Y11" s="4"/>
      <c r="Z11" s="3"/>
      <c r="AA11" s="3" t="s">
        <v>1191</v>
      </c>
      <c r="AB11" s="3">
        <v>829000</v>
      </c>
      <c r="AC11" s="665"/>
      <c r="AD11" s="666"/>
      <c r="AE11" s="665"/>
      <c r="AF11" s="667"/>
    </row>
    <row r="12" spans="1:32" s="5" customFormat="1" ht="30" customHeight="1">
      <c r="A12" s="39">
        <f t="shared" si="10"/>
        <v>7</v>
      </c>
      <c r="B12" s="3">
        <v>2031</v>
      </c>
      <c r="C12" s="3" t="s">
        <v>535</v>
      </c>
      <c r="D12" s="4">
        <v>2700000</v>
      </c>
      <c r="E12" s="4">
        <v>2700000</v>
      </c>
      <c r="F12" s="4">
        <f t="shared" si="1"/>
        <v>0</v>
      </c>
      <c r="G12" s="4">
        <v>2700000</v>
      </c>
      <c r="H12" s="4">
        <v>233704.12</v>
      </c>
      <c r="I12" s="4"/>
      <c r="J12" s="4">
        <v>434142.28</v>
      </c>
      <c r="K12" s="4">
        <f>SUM(I12:J12)</f>
        <v>434142.28</v>
      </c>
      <c r="L12" s="4">
        <f>K12+H12</f>
        <v>667846.40000000002</v>
      </c>
      <c r="M12" s="4">
        <f t="shared" si="8"/>
        <v>2032153.6000000001</v>
      </c>
      <c r="N12" s="4"/>
      <c r="O12" s="4">
        <f t="shared" si="4"/>
        <v>0</v>
      </c>
      <c r="P12" s="4">
        <f t="shared" si="9"/>
        <v>2032153.6000000001</v>
      </c>
      <c r="Q12" s="4"/>
      <c r="R12" s="4"/>
      <c r="S12" s="4">
        <f t="shared" si="5"/>
        <v>0</v>
      </c>
      <c r="T12" s="4"/>
      <c r="U12" s="4">
        <f t="shared" ref="U12:U14" si="11">N12-T12</f>
        <v>0</v>
      </c>
      <c r="V12" s="4"/>
      <c r="W12" s="4">
        <f t="shared" si="7"/>
        <v>0</v>
      </c>
      <c r="X12" s="4"/>
      <c r="Y12" s="4"/>
      <c r="Z12" s="3"/>
      <c r="AA12" s="3"/>
      <c r="AB12" s="3">
        <v>826000</v>
      </c>
      <c r="AC12" s="665"/>
      <c r="AD12" s="666"/>
      <c r="AE12" s="665"/>
      <c r="AF12" s="667"/>
    </row>
    <row r="13" spans="1:32" s="5" customFormat="1" ht="41.4">
      <c r="A13" s="39">
        <f t="shared" si="10"/>
        <v>8</v>
      </c>
      <c r="B13" s="323">
        <v>2060</v>
      </c>
      <c r="C13" s="3" t="s">
        <v>785</v>
      </c>
      <c r="D13" s="4">
        <f>1465000+15000+350000+180000+100000-100000+60229</f>
        <v>2070229</v>
      </c>
      <c r="E13" s="4">
        <f>1465000+15000</f>
        <v>1480000</v>
      </c>
      <c r="F13" s="4">
        <f>D13-E13</f>
        <v>590229</v>
      </c>
      <c r="G13" s="4">
        <v>1480000</v>
      </c>
      <c r="H13" s="4">
        <v>365835.91</v>
      </c>
      <c r="I13" s="4"/>
      <c r="J13" s="4">
        <v>651040.21</v>
      </c>
      <c r="K13" s="4">
        <f>I13+J13</f>
        <v>651040.21</v>
      </c>
      <c r="L13" s="4">
        <f>H13+K13</f>
        <v>1016876.1199999999</v>
      </c>
      <c r="M13" s="4">
        <f>P13+S13</f>
        <v>463123.88000000012</v>
      </c>
      <c r="N13" s="4">
        <f>180000+350000+100000-100000+60229</f>
        <v>590229</v>
      </c>
      <c r="O13" s="4">
        <f>D13-L13-M13-N13</f>
        <v>0</v>
      </c>
      <c r="P13" s="4">
        <f>G13-L13</f>
        <v>463123.88000000012</v>
      </c>
      <c r="Q13" s="4"/>
      <c r="R13" s="4"/>
      <c r="S13" s="4">
        <f>SUM(Q13:R13)</f>
        <v>0</v>
      </c>
      <c r="T13" s="4">
        <f>P13-M13+S13</f>
        <v>0</v>
      </c>
      <c r="U13" s="4">
        <f t="shared" si="11"/>
        <v>590229</v>
      </c>
      <c r="V13" s="4">
        <f>500000-500000</f>
        <v>0</v>
      </c>
      <c r="W13" s="4">
        <f>U13-V13-Y13-Z13</f>
        <v>530000</v>
      </c>
      <c r="X13" s="4"/>
      <c r="Y13" s="4"/>
      <c r="Z13" s="4">
        <v>60229</v>
      </c>
      <c r="AA13" s="3" t="s">
        <v>1440</v>
      </c>
      <c r="AB13" s="3">
        <v>829000</v>
      </c>
      <c r="AC13" s="665"/>
      <c r="AD13" s="666"/>
      <c r="AE13" s="665"/>
      <c r="AF13" s="667"/>
    </row>
    <row r="14" spans="1:32" s="5" customFormat="1" ht="52.8" customHeight="1">
      <c r="A14" s="39">
        <f t="shared" si="10"/>
        <v>9</v>
      </c>
      <c r="B14" s="39">
        <v>2089</v>
      </c>
      <c r="C14" s="3" t="s">
        <v>536</v>
      </c>
      <c r="D14" s="4">
        <v>350000</v>
      </c>
      <c r="E14" s="4">
        <v>350000</v>
      </c>
      <c r="F14" s="4">
        <f>D14-E14</f>
        <v>0</v>
      </c>
      <c r="G14" s="4">
        <v>0</v>
      </c>
      <c r="H14" s="4">
        <v>0</v>
      </c>
      <c r="I14" s="4"/>
      <c r="J14" s="4"/>
      <c r="K14" s="4">
        <f>I14+J14</f>
        <v>0</v>
      </c>
      <c r="L14" s="4">
        <f>H14+K14</f>
        <v>0</v>
      </c>
      <c r="M14" s="4">
        <f>P14+S14</f>
        <v>350000</v>
      </c>
      <c r="N14" s="4"/>
      <c r="O14" s="4">
        <f>D14-L14-M14-N14</f>
        <v>0</v>
      </c>
      <c r="P14" s="4">
        <f>G14-L14</f>
        <v>0</v>
      </c>
      <c r="Q14" s="4">
        <v>350000</v>
      </c>
      <c r="R14" s="4"/>
      <c r="S14" s="4">
        <f>SUM(Q14:R14)</f>
        <v>350000</v>
      </c>
      <c r="T14" s="4">
        <f>P14-M14+S14</f>
        <v>0</v>
      </c>
      <c r="U14" s="4">
        <f t="shared" si="11"/>
        <v>0</v>
      </c>
      <c r="V14" s="4"/>
      <c r="W14" s="4">
        <f>U14-V14-Y14-Z14</f>
        <v>0</v>
      </c>
      <c r="X14" s="4"/>
      <c r="Y14" s="4"/>
      <c r="Z14" s="4"/>
      <c r="AA14" s="3" t="s">
        <v>895</v>
      </c>
      <c r="AB14" s="3">
        <v>826000</v>
      </c>
      <c r="AC14" s="665"/>
      <c r="AD14" s="666"/>
      <c r="AE14" s="665"/>
      <c r="AF14" s="665"/>
    </row>
    <row r="15" spans="1:32" s="5" customFormat="1" ht="35.1" customHeight="1">
      <c r="A15" s="39">
        <f>A14+1</f>
        <v>10</v>
      </c>
      <c r="B15" s="682">
        <v>2162</v>
      </c>
      <c r="C15" s="3" t="s">
        <v>1192</v>
      </c>
      <c r="D15" s="4">
        <v>540000</v>
      </c>
      <c r="E15" s="4"/>
      <c r="F15" s="4">
        <f>D15-E15</f>
        <v>540000</v>
      </c>
      <c r="G15" s="4">
        <v>0</v>
      </c>
      <c r="H15" s="4">
        <v>0</v>
      </c>
      <c r="I15" s="4"/>
      <c r="J15" s="4"/>
      <c r="K15" s="4">
        <f>SUM(I15:J15)</f>
        <v>0</v>
      </c>
      <c r="L15" s="4">
        <f>H15+K15</f>
        <v>0</v>
      </c>
      <c r="M15" s="4">
        <f>P15+S15</f>
        <v>0</v>
      </c>
      <c r="N15" s="4">
        <f>540000-100000</f>
        <v>440000</v>
      </c>
      <c r="O15" s="4">
        <f>D15-L15-M15-N15</f>
        <v>100000</v>
      </c>
      <c r="P15" s="4">
        <f>G15-L15</f>
        <v>0</v>
      </c>
      <c r="Q15" s="4"/>
      <c r="R15" s="4"/>
      <c r="S15" s="4">
        <f>SUM(Q15:R15)</f>
        <v>0</v>
      </c>
      <c r="T15" s="4">
        <f>P15-M15+S15</f>
        <v>0</v>
      </c>
      <c r="U15" s="4">
        <f>N15-T15</f>
        <v>440000</v>
      </c>
      <c r="V15" s="4">
        <f>U15-Z15-W15-Y15</f>
        <v>0</v>
      </c>
      <c r="W15" s="4">
        <v>440000</v>
      </c>
      <c r="X15" s="4"/>
      <c r="Y15" s="4"/>
      <c r="Z15" s="4"/>
      <c r="AA15" s="3" t="s">
        <v>1193</v>
      </c>
      <c r="AB15" s="3">
        <v>828000</v>
      </c>
      <c r="AC15" s="52"/>
      <c r="AD15" s="6"/>
      <c r="AE15" s="6"/>
    </row>
    <row r="16" spans="1:32" s="5" customFormat="1" ht="55.2">
      <c r="A16" s="39">
        <f>A15+1</f>
        <v>11</v>
      </c>
      <c r="B16" s="682">
        <v>2163</v>
      </c>
      <c r="C16" s="3" t="s">
        <v>1194</v>
      </c>
      <c r="D16" s="4">
        <v>530000</v>
      </c>
      <c r="E16" s="4"/>
      <c r="F16" s="4">
        <f>D16-E16</f>
        <v>530000</v>
      </c>
      <c r="G16" s="4">
        <v>0</v>
      </c>
      <c r="H16" s="4">
        <v>0</v>
      </c>
      <c r="I16" s="4"/>
      <c r="J16" s="4"/>
      <c r="K16" s="4">
        <f>SUM(I16:J16)</f>
        <v>0</v>
      </c>
      <c r="L16" s="4">
        <f>H16+K16</f>
        <v>0</v>
      </c>
      <c r="M16" s="4">
        <f>P16+S16</f>
        <v>0</v>
      </c>
      <c r="N16" s="4">
        <v>530000</v>
      </c>
      <c r="O16" s="4">
        <f>D16-L16-M16-N16</f>
        <v>0</v>
      </c>
      <c r="P16" s="4">
        <f>G16-L16</f>
        <v>0</v>
      </c>
      <c r="Q16" s="4"/>
      <c r="R16" s="4"/>
      <c r="S16" s="4">
        <f>SUM(Q16:R16)</f>
        <v>0</v>
      </c>
      <c r="T16" s="4">
        <f>P16-M16+S16</f>
        <v>0</v>
      </c>
      <c r="U16" s="4">
        <f>N16-T16</f>
        <v>530000</v>
      </c>
      <c r="V16" s="4">
        <f>U16-Z16-W16-Y16</f>
        <v>0</v>
      </c>
      <c r="W16" s="4">
        <f>U16-Z16</f>
        <v>265000</v>
      </c>
      <c r="X16" s="4"/>
      <c r="Y16" s="4"/>
      <c r="Z16" s="4">
        <f>U16/2</f>
        <v>265000</v>
      </c>
      <c r="AA16" s="3" t="s">
        <v>1502</v>
      </c>
      <c r="AB16" s="3">
        <v>824000</v>
      </c>
      <c r="AC16" s="52"/>
      <c r="AD16" s="6"/>
      <c r="AE16" s="6"/>
    </row>
    <row r="17" spans="1:32" s="84" customFormat="1" ht="35.1" customHeight="1">
      <c r="A17" s="41">
        <f>A16</f>
        <v>11</v>
      </c>
      <c r="B17" s="41"/>
      <c r="C17" s="204" t="s">
        <v>685</v>
      </c>
      <c r="D17" s="88">
        <f>SUM(D6:D16)</f>
        <v>21059594</v>
      </c>
      <c r="E17" s="88">
        <f t="shared" ref="E17:Z17" si="12">SUM(E6:E16)</f>
        <v>14989365</v>
      </c>
      <c r="F17" s="88">
        <f t="shared" si="12"/>
        <v>6070229</v>
      </c>
      <c r="G17" s="88">
        <f t="shared" si="12"/>
        <v>13819365</v>
      </c>
      <c r="H17" s="88">
        <f t="shared" si="12"/>
        <v>8280194</v>
      </c>
      <c r="I17" s="88">
        <f t="shared" si="12"/>
        <v>0</v>
      </c>
      <c r="J17" s="88">
        <f t="shared" si="12"/>
        <v>2133646.02</v>
      </c>
      <c r="K17" s="88">
        <f t="shared" si="12"/>
        <v>2133646.02</v>
      </c>
      <c r="L17" s="88">
        <f t="shared" si="12"/>
        <v>10413840.02</v>
      </c>
      <c r="M17" s="88">
        <f t="shared" si="12"/>
        <v>3955524.9800000004</v>
      </c>
      <c r="N17" s="88">
        <f t="shared" si="12"/>
        <v>4320229</v>
      </c>
      <c r="O17" s="88">
        <f t="shared" si="12"/>
        <v>2370000</v>
      </c>
      <c r="P17" s="88">
        <f t="shared" si="12"/>
        <v>3405524.9800000004</v>
      </c>
      <c r="Q17" s="88">
        <f t="shared" si="12"/>
        <v>930000</v>
      </c>
      <c r="R17" s="88">
        <f t="shared" si="12"/>
        <v>0</v>
      </c>
      <c r="S17" s="88">
        <f t="shared" si="12"/>
        <v>930000</v>
      </c>
      <c r="T17" s="88">
        <f t="shared" si="12"/>
        <v>380000</v>
      </c>
      <c r="U17" s="88">
        <f t="shared" si="12"/>
        <v>3940229</v>
      </c>
      <c r="V17" s="88">
        <f t="shared" si="12"/>
        <v>0</v>
      </c>
      <c r="W17" s="88">
        <f t="shared" si="12"/>
        <v>3435000</v>
      </c>
      <c r="X17" s="88">
        <f t="shared" si="12"/>
        <v>0</v>
      </c>
      <c r="Y17" s="88">
        <f t="shared" si="12"/>
        <v>0</v>
      </c>
      <c r="Z17" s="88">
        <f t="shared" si="12"/>
        <v>505229</v>
      </c>
      <c r="AA17" s="431"/>
      <c r="AB17" s="41"/>
      <c r="AC17" s="438"/>
    </row>
    <row r="18" spans="1:32" s="5" customFormat="1" hidden="1">
      <c r="A18" s="29"/>
      <c r="B18" s="14"/>
      <c r="C18" s="14"/>
      <c r="D18" s="16"/>
      <c r="E18" s="16"/>
      <c r="F18" s="16"/>
      <c r="G18" s="16"/>
      <c r="H18" s="16"/>
      <c r="I18" s="16"/>
      <c r="J18" s="16"/>
      <c r="K18" s="16"/>
      <c r="L18" s="16">
        <f>K17+H17</f>
        <v>10413840.02</v>
      </c>
      <c r="M18" s="16"/>
      <c r="N18" s="16"/>
      <c r="O18" s="16"/>
      <c r="P18" s="16">
        <f>G17-L18</f>
        <v>3405524.9800000004</v>
      </c>
      <c r="Q18" s="16"/>
      <c r="R18" s="16"/>
      <c r="S18" s="16"/>
      <c r="T18" s="16">
        <f>P18+S17-M17</f>
        <v>380000</v>
      </c>
      <c r="U18" s="16">
        <f>N17-T17</f>
        <v>3940229</v>
      </c>
      <c r="V18" s="14"/>
      <c r="W18" s="14"/>
      <c r="X18" s="14"/>
      <c r="Y18" s="14"/>
      <c r="Z18" s="14"/>
      <c r="AA18" s="14"/>
      <c r="AB18" s="14"/>
      <c r="AC18" s="665"/>
      <c r="AD18" s="665"/>
      <c r="AE18" s="665"/>
      <c r="AF18" s="665"/>
    </row>
    <row r="19" spans="1:32">
      <c r="M19" s="25"/>
      <c r="N19" s="25"/>
      <c r="O19" s="25"/>
      <c r="P19" s="29"/>
      <c r="Q19" s="25"/>
      <c r="R19" s="25"/>
      <c r="S19" s="25"/>
    </row>
    <row r="20" spans="1:32">
      <c r="M20" s="25"/>
      <c r="N20" s="25"/>
      <c r="O20" s="25"/>
      <c r="P20" s="25"/>
      <c r="Q20" s="25"/>
      <c r="R20" s="25"/>
      <c r="S20" s="25"/>
    </row>
    <row r="21" spans="1:32">
      <c r="M21" s="25"/>
      <c r="N21" s="25"/>
      <c r="O21" s="25"/>
      <c r="P21" s="25"/>
      <c r="Q21" s="25"/>
      <c r="R21" s="25"/>
      <c r="S21" s="25"/>
    </row>
    <row r="22" spans="1:32">
      <c r="M22" s="25"/>
      <c r="N22" s="25"/>
      <c r="O22" s="25"/>
      <c r="P22" s="25"/>
      <c r="Q22" s="25"/>
      <c r="R22" s="25"/>
      <c r="S22" s="25"/>
    </row>
    <row r="23" spans="1:32">
      <c r="M23" s="25"/>
      <c r="N23" s="25"/>
      <c r="O23" s="25"/>
      <c r="P23" s="25"/>
      <c r="Q23" s="25"/>
      <c r="R23" s="25"/>
      <c r="S23" s="25"/>
    </row>
    <row r="24" spans="1:32">
      <c r="M24" s="25"/>
      <c r="N24" s="25"/>
      <c r="O24" s="25"/>
      <c r="P24" s="25"/>
      <c r="Q24" s="25"/>
      <c r="R24" s="25"/>
      <c r="S24" s="25"/>
    </row>
    <row r="25" spans="1:32">
      <c r="M25" s="25"/>
      <c r="N25" s="25"/>
      <c r="O25" s="25"/>
      <c r="P25" s="25"/>
      <c r="Q25" s="25"/>
      <c r="R25" s="25"/>
      <c r="S25" s="25"/>
    </row>
    <row r="26" spans="1:32">
      <c r="M26" s="25"/>
      <c r="N26" s="25"/>
      <c r="O26" s="25"/>
      <c r="P26" s="25"/>
      <c r="Q26" s="25"/>
      <c r="R26" s="25"/>
      <c r="S26" s="25"/>
    </row>
    <row r="27" spans="1:32">
      <c r="M27" s="25"/>
      <c r="N27" s="25"/>
      <c r="O27" s="25"/>
      <c r="P27" s="25"/>
      <c r="Q27" s="25"/>
      <c r="R27" s="25"/>
      <c r="S27" s="25"/>
    </row>
    <row r="28" spans="1:32">
      <c r="M28" s="25"/>
      <c r="N28" s="25"/>
      <c r="O28" s="25"/>
      <c r="P28" s="25"/>
      <c r="Q28" s="25"/>
      <c r="R28" s="25"/>
      <c r="S28" s="25"/>
    </row>
    <row r="29" spans="1:32">
      <c r="M29" s="25"/>
      <c r="N29" s="25"/>
      <c r="O29" s="25"/>
      <c r="P29" s="25"/>
      <c r="Q29" s="25"/>
      <c r="R29" s="25"/>
      <c r="S29" s="25"/>
    </row>
    <row r="30" spans="1:32">
      <c r="M30" s="25"/>
      <c r="N30" s="25"/>
      <c r="O30" s="25"/>
      <c r="P30" s="25"/>
      <c r="Q30" s="25"/>
      <c r="R30" s="25"/>
      <c r="S30" s="25"/>
    </row>
    <row r="31" spans="1:32">
      <c r="M31" s="25"/>
      <c r="N31" s="25"/>
      <c r="O31" s="25"/>
      <c r="P31" s="25"/>
      <c r="Q31" s="25"/>
      <c r="R31" s="25"/>
      <c r="S31" s="25"/>
    </row>
  </sheetData>
  <sheetProtection formatCells="0" formatColumns="0" formatRows="0" insertColumns="0" insertRows="0" insertHyperlinks="0" deleteColumns="0" deleteRows="0" sort="0" autoFilter="0" pivotTables="0"/>
  <conditionalFormatting sqref="AF1:XFD2 A1:A2 AD1:AE6 AF3:AF12 AE7:AE12 AD7:AD14 AC1:AC14 AC15:AF1048576">
    <cfRule type="cellIs" dxfId="289" priority="5" operator="equal">
      <formula>0</formula>
    </cfRule>
  </conditionalFormatting>
  <conditionalFormatting sqref="AE13:AF13">
    <cfRule type="cellIs" dxfId="288" priority="4" operator="equal">
      <formula>0</formula>
    </cfRule>
  </conditionalFormatting>
  <conditionalFormatting sqref="AE14">
    <cfRule type="cellIs" dxfId="287" priority="3" operator="equal">
      <formula>0</formula>
    </cfRule>
  </conditionalFormatting>
  <conditionalFormatting sqref="AF14">
    <cfRule type="cellIs" dxfId="286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3"/>
  <sheetViews>
    <sheetView showZeros="0" rightToLeft="1" zoomScaleNormal="100" workbookViewId="0">
      <pane xSplit="3" ySplit="4" topLeftCell="D14" activePane="bottomRight" state="frozen"/>
      <selection activeCell="C28" sqref="C28"/>
      <selection pane="topRight" activeCell="C28" sqref="C28"/>
      <selection pane="bottomLeft" activeCell="C28" sqref="C28"/>
      <selection pane="bottomRight" activeCell="C28" sqref="C28"/>
    </sheetView>
  </sheetViews>
  <sheetFormatPr defaultColWidth="9.109375" defaultRowHeight="18"/>
  <cols>
    <col min="1" max="1" width="6.33203125" style="37" customWidth="1"/>
    <col min="2" max="2" width="7.88671875" style="26" customWidth="1"/>
    <col min="3" max="3" width="31.6640625" style="407" customWidth="1"/>
    <col min="4" max="4" width="10.44140625" style="16" customWidth="1"/>
    <col min="5" max="5" width="12.6640625" style="16" customWidth="1"/>
    <col min="6" max="6" width="11.109375" style="16" customWidth="1"/>
    <col min="7" max="10" width="12.6640625" style="16" customWidth="1"/>
    <col min="11" max="11" width="11.33203125" style="16" customWidth="1"/>
    <col min="12" max="12" width="10.33203125" style="16" bestFit="1" customWidth="1"/>
    <col min="13" max="13" width="9.88671875" style="16" customWidth="1"/>
    <col min="14" max="14" width="9.33203125" style="16" customWidth="1"/>
    <col min="15" max="15" width="9.109375" style="16" customWidth="1"/>
    <col min="16" max="17" width="11.109375" style="16" hidden="1" customWidth="1"/>
    <col min="18" max="19" width="12" style="16" hidden="1" customWidth="1"/>
    <col min="20" max="20" width="10" style="16" customWidth="1"/>
    <col min="21" max="21" width="9.88671875" style="14" customWidth="1"/>
    <col min="22" max="22" width="9.109375" style="14" hidden="1" customWidth="1"/>
    <col min="23" max="23" width="11.88671875" style="14" customWidth="1"/>
    <col min="24" max="25" width="7.44140625" style="14" hidden="1" customWidth="1"/>
    <col min="26" max="26" width="8.44140625" style="14" customWidth="1"/>
    <col min="27" max="27" width="34.88671875" style="407" hidden="1" customWidth="1"/>
    <col min="28" max="28" width="7.88671875" style="14" customWidth="1"/>
    <col min="29" max="29" width="12.88671875" style="665" customWidth="1"/>
    <col min="30" max="30" width="9.6640625" style="665" customWidth="1"/>
    <col min="31" max="31" width="9.88671875" style="665" customWidth="1"/>
    <col min="32" max="32" width="19.6640625" style="665" customWidth="1"/>
    <col min="33" max="16384" width="9.109375" style="14"/>
  </cols>
  <sheetData>
    <row r="1" spans="1:32" s="643" customFormat="1">
      <c r="A1" s="663"/>
      <c r="B1" s="786"/>
      <c r="C1" s="713"/>
      <c r="D1" s="664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  <c r="X1" s="663"/>
      <c r="Y1" s="663"/>
      <c r="Z1" s="663"/>
      <c r="AA1" s="713"/>
      <c r="AB1" s="663"/>
      <c r="AC1" s="665"/>
      <c r="AD1" s="665"/>
      <c r="AE1" s="665"/>
      <c r="AF1" s="665"/>
    </row>
    <row r="2" spans="1:32" s="643" customFormat="1">
      <c r="A2" s="663" t="s">
        <v>585</v>
      </c>
      <c r="B2" s="786"/>
      <c r="C2" s="71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3"/>
      <c r="P2" s="663"/>
      <c r="Q2" s="663"/>
      <c r="R2" s="663"/>
      <c r="S2" s="663"/>
      <c r="T2" s="663"/>
      <c r="U2" s="663"/>
      <c r="V2" s="663"/>
      <c r="W2" s="663"/>
      <c r="X2" s="663"/>
      <c r="Y2" s="663"/>
      <c r="Z2" s="663"/>
      <c r="AA2" s="713"/>
      <c r="AB2" s="663"/>
      <c r="AC2" s="665"/>
      <c r="AD2" s="665"/>
      <c r="AE2" s="665"/>
      <c r="AF2" s="665"/>
    </row>
    <row r="4" spans="1:32" s="31" customFormat="1" ht="86.25" customHeight="1">
      <c r="A4" s="18" t="s">
        <v>0</v>
      </c>
      <c r="B4" s="756" t="s">
        <v>1228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925</v>
      </c>
      <c r="R4" s="18" t="s">
        <v>926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18" t="s">
        <v>410</v>
      </c>
      <c r="AB4" s="18" t="s">
        <v>16</v>
      </c>
      <c r="AC4" s="665"/>
      <c r="AD4" s="665"/>
      <c r="AE4" s="665"/>
      <c r="AF4" s="665"/>
    </row>
    <row r="5" spans="1:32" s="5" customFormat="1" ht="18.75" customHeight="1">
      <c r="A5" s="3"/>
      <c r="B5" s="706"/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f>P5-M5+R5</f>
        <v>0</v>
      </c>
      <c r="U5" s="4">
        <f t="shared" ref="U5" si="0">N5-T5</f>
        <v>0</v>
      </c>
      <c r="V5" s="4"/>
      <c r="W5" s="4"/>
      <c r="X5" s="4"/>
      <c r="Y5" s="4"/>
      <c r="Z5" s="3"/>
      <c r="AA5" s="463"/>
      <c r="AB5" s="3"/>
      <c r="AC5" s="665"/>
      <c r="AD5" s="665"/>
      <c r="AE5" s="665"/>
      <c r="AF5" s="665"/>
    </row>
    <row r="6" spans="1:32" s="5" customFormat="1" ht="55.2">
      <c r="A6" s="39">
        <f t="shared" ref="A6:A15" si="1">A5+1</f>
        <v>1</v>
      </c>
      <c r="B6" s="706">
        <f>'תקציב אגף תנוס 2020 '!B16</f>
        <v>2163</v>
      </c>
      <c r="C6" s="87" t="str">
        <f>'תקציב אגף תנוס 2020 '!C16</f>
        <v>רישות מוסדות תרבות ופנאי</v>
      </c>
      <c r="D6" s="4">
        <f>'תקציב אגף תנוס 2020 '!D16</f>
        <v>530000</v>
      </c>
      <c r="E6" s="4">
        <f>'תקציב אגף תנוס 2020 '!E16</f>
        <v>0</v>
      </c>
      <c r="F6" s="4">
        <f>'תקציב אגף תנוס 2020 '!F16</f>
        <v>530000</v>
      </c>
      <c r="G6" s="4">
        <f>'תקציב אגף תנוס 2020 '!G16</f>
        <v>0</v>
      </c>
      <c r="H6" s="4">
        <f>'תקציב אגף תנוס 2020 '!H16</f>
        <v>0</v>
      </c>
      <c r="I6" s="4">
        <f>'תקציב אגף תנוס 2020 '!I16</f>
        <v>0</v>
      </c>
      <c r="J6" s="4">
        <f>'תקציב אגף תנוס 2020 '!J16</f>
        <v>0</v>
      </c>
      <c r="K6" s="4">
        <f>'תקציב אגף תנוס 2020 '!K16</f>
        <v>0</v>
      </c>
      <c r="L6" s="4">
        <f>'תקציב אגף תנוס 2020 '!L16</f>
        <v>0</v>
      </c>
      <c r="M6" s="4">
        <f>'תקציב אגף תנוס 2020 '!M16</f>
        <v>0</v>
      </c>
      <c r="N6" s="4">
        <f>'תקציב אגף תנוס 2020 '!N16</f>
        <v>530000</v>
      </c>
      <c r="O6" s="4">
        <f>'תקציב אגף תנוס 2020 '!O16</f>
        <v>0</v>
      </c>
      <c r="P6" s="4">
        <f>'תקציב אגף תנוס 2020 '!P16</f>
        <v>0</v>
      </c>
      <c r="Q6" s="4">
        <f>'תקציב אגף תנוס 2020 '!Q16</f>
        <v>0</v>
      </c>
      <c r="R6" s="4">
        <f>'תקציב אגף תנוס 2020 '!R16</f>
        <v>0</v>
      </c>
      <c r="S6" s="4">
        <f>'תקציב אגף תנוס 2020 '!S16</f>
        <v>0</v>
      </c>
      <c r="T6" s="4">
        <f>'תקציב אגף תנוס 2020 '!T16</f>
        <v>0</v>
      </c>
      <c r="U6" s="4">
        <f>'תקציב אגף תנוס 2020 '!U16</f>
        <v>530000</v>
      </c>
      <c r="V6" s="4">
        <f>'תקציב אגף תנוס 2020 '!V16</f>
        <v>0</v>
      </c>
      <c r="W6" s="4">
        <f>'תקציב אגף תנוס 2020 '!W16</f>
        <v>265000</v>
      </c>
      <c r="X6" s="4">
        <f>'תקציב אגף תנוס 2020 '!X16</f>
        <v>0</v>
      </c>
      <c r="Y6" s="4">
        <f>'תקציב אגף תנוס 2020 '!Y16</f>
        <v>0</v>
      </c>
      <c r="Z6" s="4">
        <f>'תקציב אגף תנוס 2020 '!Z16</f>
        <v>265000</v>
      </c>
      <c r="AA6" s="87" t="str">
        <f>'תקציב אגף תנוס 2020 '!AA16</f>
        <v>התקנת מצלמות במרכזים קהילתיים שמשמשים את הנוער : בית פוסטר,יבור, נחלת עדה, נוף ים. בשיתוף עם אגף המיחשוב.מימון מ. לביטחון פנים.</v>
      </c>
      <c r="AB6" s="706">
        <f>'תקציב אגף תנוס 2020 '!AB16</f>
        <v>824000</v>
      </c>
      <c r="AC6" s="52"/>
      <c r="AD6" s="6"/>
      <c r="AE6" s="6"/>
    </row>
    <row r="7" spans="1:32" s="5" customFormat="1">
      <c r="A7" s="39">
        <f t="shared" si="1"/>
        <v>2</v>
      </c>
      <c r="B7" s="706">
        <f>'תקציב אגף תנוס 2020 '!B12</f>
        <v>2031</v>
      </c>
      <c r="C7" s="87" t="str">
        <f>'תקציב אגף תנוס 2020 '!C12</f>
        <v>הצטיידות מבנה תרבות מערב העיר</v>
      </c>
      <c r="D7" s="4">
        <f>'תקציב אגף תנוס 2020 '!D12</f>
        <v>2700000</v>
      </c>
      <c r="E7" s="4">
        <f>'תקציב אגף תנוס 2020 '!E12</f>
        <v>2700000</v>
      </c>
      <c r="F7" s="4">
        <f>'תקציב אגף תנוס 2020 '!F12</f>
        <v>0</v>
      </c>
      <c r="G7" s="4">
        <f>'תקציב אגף תנוס 2020 '!G12</f>
        <v>2700000</v>
      </c>
      <c r="H7" s="4">
        <f>'תקציב אגף תנוס 2020 '!H12</f>
        <v>233704.12</v>
      </c>
      <c r="I7" s="4">
        <f>'תקציב אגף תנוס 2020 '!I12</f>
        <v>0</v>
      </c>
      <c r="J7" s="4">
        <f>'תקציב אגף תנוס 2020 '!J12</f>
        <v>434142.28</v>
      </c>
      <c r="K7" s="4">
        <f>'תקציב אגף תנוס 2020 '!K12</f>
        <v>434142.28</v>
      </c>
      <c r="L7" s="4">
        <f>'תקציב אגף תנוס 2020 '!L12</f>
        <v>667846.40000000002</v>
      </c>
      <c r="M7" s="4">
        <f>'תקציב אגף תנוס 2020 '!M12</f>
        <v>2032153.6000000001</v>
      </c>
      <c r="N7" s="4">
        <f>'תקציב אגף תנוס 2020 '!N12</f>
        <v>0</v>
      </c>
      <c r="O7" s="4">
        <f>'תקציב אגף תנוס 2020 '!O12</f>
        <v>0</v>
      </c>
      <c r="P7" s="4">
        <f>'תקציב אגף תנוס 2020 '!P12</f>
        <v>2032153.6000000001</v>
      </c>
      <c r="Q7" s="4">
        <f>'תקציב אגף תנוס 2020 '!Q12</f>
        <v>0</v>
      </c>
      <c r="R7" s="4">
        <f>'תקציב אגף תנוס 2020 '!R12</f>
        <v>0</v>
      </c>
      <c r="S7" s="4">
        <f>'תקציב אגף תנוס 2020 '!S12</f>
        <v>0</v>
      </c>
      <c r="T7" s="4">
        <f>'תקציב אגף תנוס 2020 '!T12</f>
        <v>0</v>
      </c>
      <c r="U7" s="4">
        <f>'תקציב אגף תנוס 2020 '!U12</f>
        <v>0</v>
      </c>
      <c r="V7" s="4">
        <f>'תקציב אגף תנוס 2020 '!V12</f>
        <v>0</v>
      </c>
      <c r="W7" s="4">
        <f>'תקציב אגף תנוס 2020 '!W12</f>
        <v>0</v>
      </c>
      <c r="X7" s="4">
        <f>'תקציב אגף תנוס 2020 '!X12</f>
        <v>0</v>
      </c>
      <c r="Y7" s="4">
        <f>'תקציב אגף תנוס 2020 '!Y12</f>
        <v>0</v>
      </c>
      <c r="Z7" s="4">
        <f>'תקציב אגף תנוס 2020 '!Z12</f>
        <v>0</v>
      </c>
      <c r="AA7" s="87">
        <f>'תקציב אגף תנוס 2020 '!AA12</f>
        <v>0</v>
      </c>
      <c r="AB7" s="706">
        <f>'תקציב אגף תנוס 2020 '!AB12</f>
        <v>826000</v>
      </c>
      <c r="AC7" s="665"/>
      <c r="AD7" s="666"/>
      <c r="AE7" s="665"/>
      <c r="AF7" s="667"/>
    </row>
    <row r="8" spans="1:32" s="5" customFormat="1" ht="41.4">
      <c r="A8" s="39">
        <f t="shared" si="1"/>
        <v>3</v>
      </c>
      <c r="B8" s="706">
        <f>'תקציב אגף תנוס 2020 '!B14</f>
        <v>2089</v>
      </c>
      <c r="C8" s="87" t="str">
        <f>'תקציב אגף תנוס 2020 '!C14</f>
        <v>מקרן דיגיטלי לסינמטק</v>
      </c>
      <c r="D8" s="4">
        <f>'תקציב אגף תנוס 2020 '!D14</f>
        <v>350000</v>
      </c>
      <c r="E8" s="4">
        <f>'תקציב אגף תנוס 2020 '!E14</f>
        <v>350000</v>
      </c>
      <c r="F8" s="4">
        <f>'תקציב אגף תנוס 2020 '!F14</f>
        <v>0</v>
      </c>
      <c r="G8" s="4">
        <f>'תקציב אגף תנוס 2020 '!G14</f>
        <v>0</v>
      </c>
      <c r="H8" s="4">
        <f>'תקציב אגף תנוס 2020 '!H14</f>
        <v>0</v>
      </c>
      <c r="I8" s="4">
        <f>'תקציב אגף תנוס 2020 '!I14</f>
        <v>0</v>
      </c>
      <c r="J8" s="4">
        <f>'תקציב אגף תנוס 2020 '!J14</f>
        <v>0</v>
      </c>
      <c r="K8" s="4">
        <f>'תקציב אגף תנוס 2020 '!K14</f>
        <v>0</v>
      </c>
      <c r="L8" s="4">
        <f>'תקציב אגף תנוס 2020 '!L14</f>
        <v>0</v>
      </c>
      <c r="M8" s="4">
        <f>'תקציב אגף תנוס 2020 '!M14</f>
        <v>350000</v>
      </c>
      <c r="N8" s="4">
        <f>'תקציב אגף תנוס 2020 '!N14</f>
        <v>0</v>
      </c>
      <c r="O8" s="4">
        <f>'תקציב אגף תנוס 2020 '!O14</f>
        <v>0</v>
      </c>
      <c r="P8" s="4">
        <f>'תקציב אגף תנוס 2020 '!P14</f>
        <v>0</v>
      </c>
      <c r="Q8" s="4">
        <f>'תקציב אגף תנוס 2020 '!Q14</f>
        <v>350000</v>
      </c>
      <c r="R8" s="4">
        <f>'תקציב אגף תנוס 2020 '!R14</f>
        <v>0</v>
      </c>
      <c r="S8" s="4">
        <f>'תקציב אגף תנוס 2020 '!S14</f>
        <v>350000</v>
      </c>
      <c r="T8" s="4">
        <f>'תקציב אגף תנוס 2020 '!T14</f>
        <v>0</v>
      </c>
      <c r="U8" s="4">
        <f>'תקציב אגף תנוס 2020 '!U14</f>
        <v>0</v>
      </c>
      <c r="V8" s="4">
        <f>'תקציב אגף תנוס 2020 '!V14</f>
        <v>0</v>
      </c>
      <c r="W8" s="4">
        <f>'תקציב אגף תנוס 2020 '!W14</f>
        <v>0</v>
      </c>
      <c r="X8" s="4">
        <f>'תקציב אגף תנוס 2020 '!X14</f>
        <v>0</v>
      </c>
      <c r="Y8" s="4">
        <f>'תקציב אגף תנוס 2020 '!Y14</f>
        <v>0</v>
      </c>
      <c r="Z8" s="4">
        <f>'תקציב אגף תנוס 2020 '!Z14</f>
        <v>0</v>
      </c>
      <c r="AA8" s="87" t="str">
        <f>'תקציב אגף תנוס 2020 '!AA14</f>
        <v xml:space="preserve">מערכות הקרנה דיגיטליות, באמצעות מקרןdcp, במטרה לאפשר הקרנת סרטים בשיטה חדשנית שתגרום להרחבת היצע התכנים לקהל. </v>
      </c>
      <c r="AB8" s="706">
        <f>'תקציב אגף תנוס 2020 '!AB14</f>
        <v>826000</v>
      </c>
      <c r="AC8" s="665"/>
      <c r="AD8" s="666"/>
      <c r="AE8" s="665"/>
      <c r="AF8" s="665"/>
    </row>
    <row r="9" spans="1:32" s="5" customFormat="1" ht="27.6">
      <c r="A9" s="39">
        <f t="shared" si="1"/>
        <v>4</v>
      </c>
      <c r="B9" s="706">
        <f>'תקציב אגף תנוס 2020 '!B15</f>
        <v>2162</v>
      </c>
      <c r="C9" s="87" t="str">
        <f>'תקציב אגף תנוס 2020 '!C15</f>
        <v>שיפוץ מבנה מועדון נוער הכוכב השמיני</v>
      </c>
      <c r="D9" s="4">
        <f>'תקציב אגף תנוס 2020 '!D15</f>
        <v>540000</v>
      </c>
      <c r="E9" s="4">
        <f>'תקציב אגף תנוס 2020 '!E15</f>
        <v>0</v>
      </c>
      <c r="F9" s="4">
        <f>'תקציב אגף תנוס 2020 '!F15</f>
        <v>540000</v>
      </c>
      <c r="G9" s="4">
        <f>'תקציב אגף תנוס 2020 '!G15</f>
        <v>0</v>
      </c>
      <c r="H9" s="4">
        <f>'תקציב אגף תנוס 2020 '!H15</f>
        <v>0</v>
      </c>
      <c r="I9" s="4">
        <f>'תקציב אגף תנוס 2020 '!I15</f>
        <v>0</v>
      </c>
      <c r="J9" s="4">
        <f>'תקציב אגף תנוס 2020 '!J15</f>
        <v>0</v>
      </c>
      <c r="K9" s="4">
        <f>'תקציב אגף תנוס 2020 '!K15</f>
        <v>0</v>
      </c>
      <c r="L9" s="4">
        <f>'תקציב אגף תנוס 2020 '!L15</f>
        <v>0</v>
      </c>
      <c r="M9" s="4">
        <f>'תקציב אגף תנוס 2020 '!M15</f>
        <v>0</v>
      </c>
      <c r="N9" s="4">
        <f>'תקציב אגף תנוס 2020 '!N15</f>
        <v>440000</v>
      </c>
      <c r="O9" s="4">
        <f>'תקציב אגף תנוס 2020 '!O15</f>
        <v>100000</v>
      </c>
      <c r="P9" s="4">
        <f>'תקציב אגף תנוס 2020 '!P15</f>
        <v>0</v>
      </c>
      <c r="Q9" s="4">
        <f>'תקציב אגף תנוס 2020 '!Q15</f>
        <v>0</v>
      </c>
      <c r="R9" s="4">
        <f>'תקציב אגף תנוס 2020 '!R15</f>
        <v>0</v>
      </c>
      <c r="S9" s="4">
        <f>'תקציב אגף תנוס 2020 '!S15</f>
        <v>0</v>
      </c>
      <c r="T9" s="4">
        <f>'תקציב אגף תנוס 2020 '!T15</f>
        <v>0</v>
      </c>
      <c r="U9" s="4">
        <f>'תקציב אגף תנוס 2020 '!U15</f>
        <v>440000</v>
      </c>
      <c r="V9" s="4">
        <f>'תקציב אגף תנוס 2020 '!V15</f>
        <v>0</v>
      </c>
      <c r="W9" s="4">
        <f>'תקציב אגף תנוס 2020 '!W15</f>
        <v>440000</v>
      </c>
      <c r="X9" s="4">
        <f>'תקציב אגף תנוס 2020 '!X15</f>
        <v>0</v>
      </c>
      <c r="Y9" s="4">
        <f>'תקציב אגף תנוס 2020 '!Y15</f>
        <v>0</v>
      </c>
      <c r="Z9" s="4">
        <f>'תקציב אגף תנוס 2020 '!Z15</f>
        <v>0</v>
      </c>
      <c r="AA9" s="87" t="str">
        <f>'תקציב אגף תנוס 2020 '!AA15</f>
        <v>שיפוץ מועדון הנוער יוסף נבו 18 הכולל איטום גגות וקירות, החלפות תקרות.</v>
      </c>
      <c r="AB9" s="706">
        <f>'תקציב אגף תנוס 2020 '!AB15</f>
        <v>828000</v>
      </c>
      <c r="AC9" s="52"/>
      <c r="AD9" s="6"/>
      <c r="AE9" s="6"/>
    </row>
    <row r="10" spans="1:32" s="5" customFormat="1" ht="27.6">
      <c r="A10" s="39">
        <f t="shared" si="1"/>
        <v>5</v>
      </c>
      <c r="B10" s="706">
        <f>'תקציב אגף תנוס 2020 '!B7</f>
        <v>1582</v>
      </c>
      <c r="C10" s="87" t="str">
        <f>'תקציב אגף תנוס 2020 '!C7</f>
        <v>גידור שיפוץ גדרות מ.ספורט</v>
      </c>
      <c r="D10" s="4">
        <f>'תקציב אגף תנוס 2020 '!D7</f>
        <v>1774000</v>
      </c>
      <c r="E10" s="4">
        <f>'תקציב אגף תנוס 2020 '!E7</f>
        <v>934000</v>
      </c>
      <c r="F10" s="4">
        <f>'תקציב אגף תנוס 2020 '!F7</f>
        <v>840000</v>
      </c>
      <c r="G10" s="4">
        <f>'תקציב אגף תנוס 2020 '!G7</f>
        <v>934000</v>
      </c>
      <c r="H10" s="4">
        <f>'תקציב אגף תנוס 2020 '!H7</f>
        <v>813359.51</v>
      </c>
      <c r="I10" s="4">
        <f>'תקציב אגף תנוס 2020 '!I7</f>
        <v>0</v>
      </c>
      <c r="J10" s="4">
        <f>'תקציב אגף תנוס 2020 '!J7</f>
        <v>97613.05</v>
      </c>
      <c r="K10" s="4">
        <f>'תקציב אגף תנוס 2020 '!K7</f>
        <v>97613.05</v>
      </c>
      <c r="L10" s="4">
        <f>'תקציב אגף תנוס 2020 '!L7</f>
        <v>910972.56</v>
      </c>
      <c r="M10" s="4">
        <f>'תקציב אגף תנוס 2020 '!M7</f>
        <v>23027.439999999944</v>
      </c>
      <c r="N10" s="4">
        <f>'תקציב אגף תנוס 2020 '!N7</f>
        <v>740000</v>
      </c>
      <c r="O10" s="4">
        <f>'תקציב אגף תנוס 2020 '!O7</f>
        <v>100000</v>
      </c>
      <c r="P10" s="4">
        <f>'תקציב אגף תנוס 2020 '!P7</f>
        <v>23027.439999999944</v>
      </c>
      <c r="Q10" s="4">
        <f>'תקציב אגף תנוס 2020 '!Q7</f>
        <v>0</v>
      </c>
      <c r="R10" s="4">
        <f>'תקציב אגף תנוס 2020 '!R7</f>
        <v>0</v>
      </c>
      <c r="S10" s="4">
        <f>'תקציב אגף תנוס 2020 '!S7</f>
        <v>0</v>
      </c>
      <c r="T10" s="4">
        <f>'תקציב אגף תנוס 2020 '!T7</f>
        <v>0</v>
      </c>
      <c r="U10" s="4">
        <f>'תקציב אגף תנוס 2020 '!U7</f>
        <v>740000</v>
      </c>
      <c r="V10" s="4">
        <f>'תקציב אגף תנוס 2020 '!V7</f>
        <v>0</v>
      </c>
      <c r="W10" s="4">
        <f>'תקציב אגף תנוס 2020 '!W7</f>
        <v>740000</v>
      </c>
      <c r="X10" s="4">
        <f>'תקציב אגף תנוס 2020 '!X7</f>
        <v>0</v>
      </c>
      <c r="Y10" s="4">
        <f>'תקציב אגף תנוס 2020 '!Y7</f>
        <v>0</v>
      </c>
      <c r="Z10" s="4">
        <f>'תקציב אגף תנוס 2020 '!Z7</f>
        <v>0</v>
      </c>
      <c r="AA10" s="87" t="str">
        <f>'תקציב אגף תנוס 2020 '!AA7</f>
        <v>גדר בגובה 4 מ' סביב מגרשי אימונים במתחם האצטדיון מול משרדי תבל .</v>
      </c>
      <c r="AB10" s="706">
        <f>'תקציב אגף תנוס 2020 '!AB7</f>
        <v>829000</v>
      </c>
      <c r="AC10" s="665"/>
      <c r="AD10" s="666"/>
      <c r="AE10" s="665"/>
      <c r="AF10" s="667"/>
    </row>
    <row r="11" spans="1:32" s="5" customFormat="1" ht="27.6">
      <c r="A11" s="39">
        <f t="shared" si="1"/>
        <v>6</v>
      </c>
      <c r="B11" s="706">
        <f>'תקציב אגף תנוס 2020 '!B8</f>
        <v>1678</v>
      </c>
      <c r="C11" s="87" t="str">
        <f>'תקציב אגף תנוס 2020 '!C8</f>
        <v>עבודות התאמה לתקן חדש מגרשי ספורט</v>
      </c>
      <c r="D11" s="4">
        <f>'תקציב אגף תנוס 2020 '!D8</f>
        <v>1760000</v>
      </c>
      <c r="E11" s="4">
        <f>'תקציב אגף תנוס 2020 '!E8</f>
        <v>1510000</v>
      </c>
      <c r="F11" s="4">
        <f>'תקציב אגף תנוס 2020 '!F8</f>
        <v>250000</v>
      </c>
      <c r="G11" s="4">
        <f>'תקציב אגף תנוס 2020 '!G8</f>
        <v>1510000</v>
      </c>
      <c r="H11" s="4">
        <f>'תקציב אגף תנוס 2020 '!H8</f>
        <v>1155732.3999999999</v>
      </c>
      <c r="I11" s="4">
        <f>'תקציב אגף תנוס 2020 '!I8</f>
        <v>0</v>
      </c>
      <c r="J11" s="4">
        <f>'תקציב אגף תנוס 2020 '!J8</f>
        <v>138683.85999999999</v>
      </c>
      <c r="K11" s="4">
        <f>'תקציב אגף תנוס 2020 '!K8</f>
        <v>138683.85999999999</v>
      </c>
      <c r="L11" s="4">
        <f>'תקציב אגף תנוס 2020 '!L8</f>
        <v>1294416.2599999998</v>
      </c>
      <c r="M11" s="4">
        <f>'תקציב אגף תנוס 2020 '!M8</f>
        <v>215583.74000000022</v>
      </c>
      <c r="N11" s="4">
        <f>'תקציב אגף תנוס 2020 '!N8</f>
        <v>250000</v>
      </c>
      <c r="O11" s="4">
        <f>'תקציב אגף תנוס 2020 '!O8</f>
        <v>0</v>
      </c>
      <c r="P11" s="4">
        <f>'תקציב אגף תנוס 2020 '!P8</f>
        <v>215583.74000000022</v>
      </c>
      <c r="Q11" s="4">
        <f>'תקציב אגף תנוס 2020 '!Q8</f>
        <v>0</v>
      </c>
      <c r="R11" s="4">
        <f>'תקציב אגף תנוס 2020 '!R8</f>
        <v>0</v>
      </c>
      <c r="S11" s="4">
        <f>'תקציב אגף תנוס 2020 '!S8</f>
        <v>0</v>
      </c>
      <c r="T11" s="4">
        <f>'תקציב אגף תנוס 2020 '!T8</f>
        <v>0</v>
      </c>
      <c r="U11" s="4">
        <f>'תקציב אגף תנוס 2020 '!U8</f>
        <v>250000</v>
      </c>
      <c r="V11" s="4">
        <f>'תקציב אגף תנוס 2020 '!V8</f>
        <v>0</v>
      </c>
      <c r="W11" s="4">
        <f>'תקציב אגף תנוס 2020 '!W8</f>
        <v>250000</v>
      </c>
      <c r="X11" s="4">
        <f>'תקציב אגף תנוס 2020 '!X8</f>
        <v>0</v>
      </c>
      <c r="Y11" s="4">
        <f>'תקציב אגף תנוס 2020 '!Y8</f>
        <v>0</v>
      </c>
      <c r="Z11" s="4">
        <f>'תקציב אגף תנוס 2020 '!Z8</f>
        <v>0</v>
      </c>
      <c r="AA11" s="87" t="str">
        <f>'תקציב אגף תנוס 2020 '!AA8</f>
        <v>עבודות שיפוץ במתקנים במגרשי הספורט בהתאם לדוחות מכון התקנים.</v>
      </c>
      <c r="AB11" s="706">
        <f>'תקציב אגף תנוס 2020 '!AB8</f>
        <v>829000</v>
      </c>
      <c r="AC11" s="665"/>
      <c r="AD11" s="666"/>
      <c r="AE11" s="665"/>
      <c r="AF11" s="667"/>
    </row>
    <row r="12" spans="1:32" s="5" customFormat="1" ht="27.6">
      <c r="A12" s="39">
        <f t="shared" si="1"/>
        <v>7</v>
      </c>
      <c r="B12" s="706">
        <f>'תקציב אגף תנוס 2020 '!B9</f>
        <v>1777</v>
      </c>
      <c r="C12" s="87" t="str">
        <f>'תקציב אגף תנוס 2020 '!C9</f>
        <v>מתקני כושר חוף הים</v>
      </c>
      <c r="D12" s="4">
        <f>'תקציב אגף תנוס 2020 '!D9</f>
        <v>390000</v>
      </c>
      <c r="E12" s="4">
        <f>'תקציב אגף תנוס 2020 '!E9</f>
        <v>390000</v>
      </c>
      <c r="F12" s="4">
        <f>'תקציב אגף תנוס 2020 '!F9</f>
        <v>0</v>
      </c>
      <c r="G12" s="4">
        <f>'תקציב אגף תנוס 2020 '!G9</f>
        <v>270000</v>
      </c>
      <c r="H12" s="4">
        <f>'תקציב אגף תנוס 2020 '!H9</f>
        <v>129069.72</v>
      </c>
      <c r="I12" s="4">
        <f>'תקציב אגף תנוס 2020 '!I9</f>
        <v>0</v>
      </c>
      <c r="J12" s="4">
        <f>'תקציב אגף תנוס 2020 '!J9</f>
        <v>0</v>
      </c>
      <c r="K12" s="4">
        <f>'תקציב אגף תנוס 2020 '!K9</f>
        <v>0</v>
      </c>
      <c r="L12" s="4">
        <f>'תקציב אגף תנוס 2020 '!L9</f>
        <v>129069.72</v>
      </c>
      <c r="M12" s="4">
        <f>'תקציב אגף תנוס 2020 '!M9</f>
        <v>140930.28</v>
      </c>
      <c r="N12" s="4">
        <f>'תקציב אגף תנוס 2020 '!N9</f>
        <v>120000</v>
      </c>
      <c r="O12" s="4">
        <f>'תקציב אגף תנוס 2020 '!O9</f>
        <v>0</v>
      </c>
      <c r="P12" s="4">
        <f>'תקציב אגף תנוס 2020 '!P9</f>
        <v>140930.28</v>
      </c>
      <c r="Q12" s="4">
        <f>'תקציב אגף תנוס 2020 '!Q9</f>
        <v>0</v>
      </c>
      <c r="R12" s="4">
        <f>'תקציב אגף תנוס 2020 '!R9</f>
        <v>0</v>
      </c>
      <c r="S12" s="4">
        <f>'תקציב אגף תנוס 2020 '!S9</f>
        <v>0</v>
      </c>
      <c r="T12" s="4">
        <f>'תקציב אגף תנוס 2020 '!T9</f>
        <v>0</v>
      </c>
      <c r="U12" s="4">
        <f>'תקציב אגף תנוס 2020 '!U9</f>
        <v>120000</v>
      </c>
      <c r="V12" s="4">
        <f>'תקציב אגף תנוס 2020 '!V9</f>
        <v>0</v>
      </c>
      <c r="W12" s="4">
        <f>'תקציב אגף תנוס 2020 '!W9</f>
        <v>120000</v>
      </c>
      <c r="X12" s="4">
        <f>'תקציב אגף תנוס 2020 '!X9</f>
        <v>0</v>
      </c>
      <c r="Y12" s="4">
        <f>'תקציב אגף תנוס 2020 '!Y9</f>
        <v>0</v>
      </c>
      <c r="Z12" s="4">
        <f>'תקציב אגף תנוס 2020 '!Z9</f>
        <v>0</v>
      </c>
      <c r="AA12" s="87" t="str">
        <f>'תקציב אגף תנוס 2020 '!AA9</f>
        <v xml:space="preserve">הקמת מתקנים בחוף כוכבים וחוף זבולון. בשנת 2020 מתוכנן בחוף הנכים והשרון. </v>
      </c>
      <c r="AB12" s="706">
        <f>'תקציב אגף תנוס 2020 '!AB9</f>
        <v>829000</v>
      </c>
      <c r="AC12" s="665"/>
      <c r="AD12" s="666"/>
      <c r="AE12" s="665"/>
      <c r="AF12" s="667"/>
    </row>
    <row r="13" spans="1:32" s="5" customFormat="1" ht="41.4">
      <c r="A13" s="39">
        <f t="shared" si="1"/>
        <v>8</v>
      </c>
      <c r="B13" s="706">
        <f>'תקציב אגף תנוס 2020 '!B10</f>
        <v>1890</v>
      </c>
      <c r="C13" s="87" t="str">
        <f>'תקציב אגף תנוס 2020 '!C10</f>
        <v xml:space="preserve">סירות מתקנים מועדון ימי </v>
      </c>
      <c r="D13" s="4">
        <f>'תקציב אגף תנוס 2020 '!D10</f>
        <v>1100000</v>
      </c>
      <c r="E13" s="4">
        <f>'תקציב אגף תנוס 2020 '!E10</f>
        <v>1100000</v>
      </c>
      <c r="F13" s="4">
        <f>'תקציב אגף תנוס 2020 '!F10</f>
        <v>0</v>
      </c>
      <c r="G13" s="4">
        <f>'תקציב אגף תנוס 2020 '!G10</f>
        <v>1100000</v>
      </c>
      <c r="H13" s="4">
        <f>'תקציב אגף תנוס 2020 '!H10</f>
        <v>933344.4</v>
      </c>
      <c r="I13" s="4">
        <f>'תקציב אגף תנוס 2020 '!I10</f>
        <v>0</v>
      </c>
      <c r="J13" s="4">
        <f>'תקציב אגף תנוס 2020 '!J10</f>
        <v>82000</v>
      </c>
      <c r="K13" s="4">
        <f>'תקציב אגף תנוס 2020 '!K10</f>
        <v>82000</v>
      </c>
      <c r="L13" s="4">
        <f>'תקציב אגף תנוס 2020 '!L10</f>
        <v>1015344.4</v>
      </c>
      <c r="M13" s="4">
        <f>'תקציב אגף תנוס 2020 '!M10</f>
        <v>84655.599999999977</v>
      </c>
      <c r="N13" s="4">
        <f>'תקציב אגף תנוס 2020 '!N10</f>
        <v>0</v>
      </c>
      <c r="O13" s="4">
        <f>'תקציב אגף תנוס 2020 '!O10</f>
        <v>0</v>
      </c>
      <c r="P13" s="4">
        <f>'תקציב אגף תנוס 2020 '!P10</f>
        <v>84655.599999999977</v>
      </c>
      <c r="Q13" s="4">
        <f>'תקציב אגף תנוס 2020 '!Q10</f>
        <v>0</v>
      </c>
      <c r="R13" s="4">
        <f>'תקציב אגף תנוס 2020 '!R10</f>
        <v>0</v>
      </c>
      <c r="S13" s="4">
        <f>'תקציב אגף תנוס 2020 '!S10</f>
        <v>0</v>
      </c>
      <c r="T13" s="4">
        <f>'תקציב אגף תנוס 2020 '!T10</f>
        <v>0</v>
      </c>
      <c r="U13" s="4">
        <f>'תקציב אגף תנוס 2020 '!U10</f>
        <v>0</v>
      </c>
      <c r="V13" s="4">
        <f>'תקציב אגף תנוס 2020 '!V10</f>
        <v>0</v>
      </c>
      <c r="W13" s="4">
        <f>'תקציב אגף תנוס 2020 '!W10</f>
        <v>-180000</v>
      </c>
      <c r="X13" s="4">
        <f>'תקציב אגף תנוס 2020 '!X10</f>
        <v>0</v>
      </c>
      <c r="Y13" s="4">
        <f>'תקציב אגף תנוס 2020 '!Y10</f>
        <v>0</v>
      </c>
      <c r="Z13" s="4">
        <f>'תקציב אגף תנוס 2020 '!Z10</f>
        <v>180000</v>
      </c>
      <c r="AA13" s="87" t="str">
        <f>'תקציב אגף תנוס 2020 '!AA10</f>
        <v>הצטיידות כלי שייט עבור המרכז לחינוך וספורט ימי כולל החינוך המיוחד. התקבל מימון מ. התרבות והספורט.</v>
      </c>
      <c r="AB13" s="706">
        <f>'תקציב אגף תנוס 2020 '!AB10</f>
        <v>829000</v>
      </c>
      <c r="AC13" s="665"/>
      <c r="AD13" s="666"/>
      <c r="AE13" s="665"/>
      <c r="AF13" s="667"/>
    </row>
    <row r="14" spans="1:32" s="5" customFormat="1" ht="41.4">
      <c r="A14" s="39">
        <f t="shared" si="1"/>
        <v>9</v>
      </c>
      <c r="B14" s="706">
        <f>'תקציב אגף תנוס 2020 '!B11</f>
        <v>2004</v>
      </c>
      <c r="C14" s="87" t="str">
        <f>'תקציב אגף תנוס 2020 '!C11</f>
        <v>ציפוי מגרשי ספורט</v>
      </c>
      <c r="D14" s="4">
        <f>'תקציב אגף תנוס 2020 '!D11</f>
        <v>735000</v>
      </c>
      <c r="E14" s="4">
        <f>'תקציב אגף תנוס 2020 '!E11</f>
        <v>735000</v>
      </c>
      <c r="F14" s="4">
        <f>'תקציב אגף תנוס 2020 '!F11</f>
        <v>0</v>
      </c>
      <c r="G14" s="4">
        <f>'תקציב אגף תנוס 2020 '!G11</f>
        <v>535000</v>
      </c>
      <c r="H14" s="4">
        <f>'תקציב אגף תנוס 2020 '!H11</f>
        <v>242228.9</v>
      </c>
      <c r="I14" s="4">
        <f>'תקציב אגף תנוס 2020 '!I11</f>
        <v>0</v>
      </c>
      <c r="J14" s="4">
        <f>'תקציב אגף תנוס 2020 '!J11</f>
        <v>278516.67</v>
      </c>
      <c r="K14" s="4">
        <f>'תקציב אגף תנוס 2020 '!K11</f>
        <v>278516.67</v>
      </c>
      <c r="L14" s="4">
        <f>'תקציב אגף תנוס 2020 '!L11</f>
        <v>520745.56999999995</v>
      </c>
      <c r="M14" s="4">
        <f>'תקציב אגף תנוס 2020 '!M11</f>
        <v>14254.430000000051</v>
      </c>
      <c r="N14" s="4">
        <f>'תקציב אגף תנוס 2020 '!N11</f>
        <v>150000</v>
      </c>
      <c r="O14" s="4">
        <f>'תקציב אגף תנוס 2020 '!O11</f>
        <v>50000</v>
      </c>
      <c r="P14" s="4">
        <f>'תקציב אגף תנוס 2020 '!P11</f>
        <v>14254.430000000051</v>
      </c>
      <c r="Q14" s="4">
        <f>'תקציב אגף תנוס 2020 '!Q11</f>
        <v>80000</v>
      </c>
      <c r="R14" s="4">
        <f>'תקציב אגף תנוס 2020 '!R11</f>
        <v>0</v>
      </c>
      <c r="S14" s="4">
        <f>'תקציב אגף תנוס 2020 '!S11</f>
        <v>80000</v>
      </c>
      <c r="T14" s="4">
        <f>'תקציב אגף תנוס 2020 '!T11</f>
        <v>80000</v>
      </c>
      <c r="U14" s="4">
        <f>'תקציב אגף תנוס 2020 '!U11</f>
        <v>70000</v>
      </c>
      <c r="V14" s="4">
        <f>'תקציב אגף תנוס 2020 '!V11</f>
        <v>0</v>
      </c>
      <c r="W14" s="4">
        <f>'תקציב אגף תנוס 2020 '!W11</f>
        <v>70000</v>
      </c>
      <c r="X14" s="4">
        <f>'תקציב אגף תנוס 2020 '!X11</f>
        <v>0</v>
      </c>
      <c r="Y14" s="4">
        <f>'תקציב אגף תנוס 2020 '!Y11</f>
        <v>0</v>
      </c>
      <c r="Z14" s="4">
        <f>'תקציב אגף תנוס 2020 '!Z11</f>
        <v>0</v>
      </c>
      <c r="AA14" s="87" t="str">
        <f>'תקציב אגף תנוס 2020 '!AA11</f>
        <v>המשך חידוש ציפוי מגרשי הספורט לפי התוכנית השנתית. אילנות, היובל, רעות, שיכון דרום, סמדר.</v>
      </c>
      <c r="AB14" s="706">
        <f>'תקציב אגף תנוס 2020 '!AB11</f>
        <v>829000</v>
      </c>
      <c r="AC14" s="665"/>
      <c r="AD14" s="666"/>
      <c r="AE14" s="665"/>
      <c r="AF14" s="667"/>
    </row>
    <row r="15" spans="1:32" s="5" customFormat="1" ht="41.4">
      <c r="A15" s="39">
        <f t="shared" si="1"/>
        <v>10</v>
      </c>
      <c r="B15" s="706">
        <f>'תקציב אגף תנוס 2020 '!B13</f>
        <v>2060</v>
      </c>
      <c r="C15" s="87" t="str">
        <f>'תקציב אגף תנוס 2020 '!C13</f>
        <v>הקמה שיפוץ רצפות פרקט אולמות ספורט</v>
      </c>
      <c r="D15" s="4">
        <f>'תקציב אגף תנוס 2020 '!D13</f>
        <v>2070229</v>
      </c>
      <c r="E15" s="4">
        <f>'תקציב אגף תנוס 2020 '!E13</f>
        <v>1480000</v>
      </c>
      <c r="F15" s="4">
        <f>'תקציב אגף תנוס 2020 '!F13</f>
        <v>590229</v>
      </c>
      <c r="G15" s="4">
        <f>'תקציב אגף תנוס 2020 '!G13</f>
        <v>1480000</v>
      </c>
      <c r="H15" s="4">
        <f>'תקציב אגף תנוס 2020 '!H13</f>
        <v>365835.91</v>
      </c>
      <c r="I15" s="4">
        <f>'תקציב אגף תנוס 2020 '!I13</f>
        <v>0</v>
      </c>
      <c r="J15" s="4">
        <f>'תקציב אגף תנוס 2020 '!J13</f>
        <v>651040.21</v>
      </c>
      <c r="K15" s="4">
        <f>'תקציב אגף תנוס 2020 '!K13</f>
        <v>651040.21</v>
      </c>
      <c r="L15" s="4">
        <f>'תקציב אגף תנוס 2020 '!L13</f>
        <v>1016876.1199999999</v>
      </c>
      <c r="M15" s="4">
        <f>'תקציב אגף תנוס 2020 '!M13</f>
        <v>463123.88000000012</v>
      </c>
      <c r="N15" s="4">
        <f>'תקציב אגף תנוס 2020 '!N13</f>
        <v>590229</v>
      </c>
      <c r="O15" s="4">
        <f>'תקציב אגף תנוס 2020 '!O13</f>
        <v>0</v>
      </c>
      <c r="P15" s="4">
        <f>'תקציב אגף תנוס 2020 '!P13</f>
        <v>463123.88000000012</v>
      </c>
      <c r="Q15" s="4">
        <f>'תקציב אגף תנוס 2020 '!Q13</f>
        <v>0</v>
      </c>
      <c r="R15" s="4">
        <f>'תקציב אגף תנוס 2020 '!R13</f>
        <v>0</v>
      </c>
      <c r="S15" s="4">
        <f>'תקציב אגף תנוס 2020 '!S13</f>
        <v>0</v>
      </c>
      <c r="T15" s="4">
        <f>'תקציב אגף תנוס 2020 '!T13</f>
        <v>0</v>
      </c>
      <c r="U15" s="4">
        <f>'תקציב אגף תנוס 2020 '!U13</f>
        <v>590229</v>
      </c>
      <c r="V15" s="4">
        <f>'תקציב אגף תנוס 2020 '!V13</f>
        <v>0</v>
      </c>
      <c r="W15" s="4">
        <f>'תקציב אגף תנוס 2020 '!W13</f>
        <v>530000</v>
      </c>
      <c r="X15" s="4">
        <f>'תקציב אגף תנוס 2020 '!X13</f>
        <v>0</v>
      </c>
      <c r="Y15" s="4">
        <f>'תקציב אגף תנוס 2020 '!Y13</f>
        <v>0</v>
      </c>
      <c r="Z15" s="4">
        <f>'תקציב אגף תנוס 2020 '!Z13</f>
        <v>60229</v>
      </c>
      <c r="AA15" s="87" t="str">
        <f>'תקציב אגף תנוס 2020 '!AA13</f>
        <v>הקמה ושיפוץ רצפות פרקט:חידוש באולם היובל , הקמה באולם נוף ים , חידוש אולם בנווה ישראל. מימון מ. התרבות והספורט.</v>
      </c>
      <c r="AB15" s="706">
        <f>'תקציב אגף תנוס 2020 '!AB13</f>
        <v>829000</v>
      </c>
      <c r="AC15" s="665"/>
      <c r="AD15" s="666"/>
      <c r="AE15" s="665"/>
      <c r="AF15" s="667"/>
    </row>
    <row r="16" spans="1:32" s="84" customFormat="1">
      <c r="A16" s="41"/>
      <c r="B16" s="787"/>
      <c r="C16" s="705" t="s">
        <v>695</v>
      </c>
      <c r="D16" s="88">
        <f>SUM(D6:D15)</f>
        <v>11949229</v>
      </c>
      <c r="E16" s="88">
        <f t="shared" ref="E16:Z16" si="2">SUM(E6:E15)</f>
        <v>9199000</v>
      </c>
      <c r="F16" s="88">
        <f t="shared" si="2"/>
        <v>2750229</v>
      </c>
      <c r="G16" s="88">
        <f t="shared" si="2"/>
        <v>8529000</v>
      </c>
      <c r="H16" s="88">
        <f t="shared" si="2"/>
        <v>3873274.96</v>
      </c>
      <c r="I16" s="88">
        <f t="shared" si="2"/>
        <v>0</v>
      </c>
      <c r="J16" s="88">
        <f t="shared" si="2"/>
        <v>1681996.07</v>
      </c>
      <c r="K16" s="88">
        <f t="shared" si="2"/>
        <v>1681996.07</v>
      </c>
      <c r="L16" s="88">
        <f t="shared" si="2"/>
        <v>5555271.0300000003</v>
      </c>
      <c r="M16" s="88">
        <f t="shared" si="2"/>
        <v>3323728.9700000007</v>
      </c>
      <c r="N16" s="88">
        <f t="shared" si="2"/>
        <v>2820229</v>
      </c>
      <c r="O16" s="88">
        <f t="shared" si="2"/>
        <v>250000</v>
      </c>
      <c r="P16" s="88">
        <f t="shared" si="2"/>
        <v>2973728.9700000007</v>
      </c>
      <c r="Q16" s="88">
        <f t="shared" si="2"/>
        <v>430000</v>
      </c>
      <c r="R16" s="88">
        <f t="shared" si="2"/>
        <v>0</v>
      </c>
      <c r="S16" s="88">
        <f t="shared" si="2"/>
        <v>430000</v>
      </c>
      <c r="T16" s="88">
        <f t="shared" si="2"/>
        <v>80000</v>
      </c>
      <c r="U16" s="88">
        <f t="shared" si="2"/>
        <v>2740229</v>
      </c>
      <c r="V16" s="88">
        <f t="shared" si="2"/>
        <v>0</v>
      </c>
      <c r="W16" s="88">
        <f t="shared" si="2"/>
        <v>2235000</v>
      </c>
      <c r="X16" s="88">
        <f t="shared" si="2"/>
        <v>0</v>
      </c>
      <c r="Y16" s="88">
        <f t="shared" si="2"/>
        <v>0</v>
      </c>
      <c r="Z16" s="88">
        <f t="shared" si="2"/>
        <v>505229</v>
      </c>
      <c r="AA16" s="410"/>
      <c r="AB16" s="725"/>
      <c r="AC16" s="731"/>
      <c r="AD16" s="732"/>
      <c r="AE16" s="731"/>
      <c r="AF16" s="733"/>
    </row>
    <row r="17" spans="1:32" s="5" customFormat="1" ht="27.6">
      <c r="A17" s="39">
        <f>A15+1</f>
        <v>11</v>
      </c>
      <c r="B17" s="706">
        <f>'תקציב אגף תנוס 2020 '!B6</f>
        <v>1486</v>
      </c>
      <c r="C17" s="87" t="str">
        <f>'תקציב אגף תנוס 2020 '!C6</f>
        <v xml:space="preserve">שיפוץ מבני  תרבות ונוער </v>
      </c>
      <c r="D17" s="4">
        <f>'תקציב אגף תנוס 2020 '!D6</f>
        <v>9110365</v>
      </c>
      <c r="E17" s="4">
        <f>'תקציב אגף תנוס 2020 '!E6</f>
        <v>5790365</v>
      </c>
      <c r="F17" s="4">
        <f>'תקציב אגף תנוס 2020 '!F6</f>
        <v>3320000</v>
      </c>
      <c r="G17" s="4">
        <f>'תקציב אגף תנוס 2020 '!G6</f>
        <v>5290365</v>
      </c>
      <c r="H17" s="4">
        <f>'תקציב אגף תנוס 2020 '!H6</f>
        <v>4406919.04</v>
      </c>
      <c r="I17" s="4">
        <f>'תקציב אגף תנוס 2020 '!I6</f>
        <v>0</v>
      </c>
      <c r="J17" s="4">
        <f>'תקציב אגף תנוס 2020 '!J6</f>
        <v>451649.95</v>
      </c>
      <c r="K17" s="4">
        <f>'תקציב אגף תנוס 2020 '!K6</f>
        <v>451649.95</v>
      </c>
      <c r="L17" s="4">
        <f>'תקציב אגף תנוס 2020 '!L6</f>
        <v>4858568.99</v>
      </c>
      <c r="M17" s="4">
        <f>'תקציב אגף תנוס 2020 '!M6</f>
        <v>631796.00999999978</v>
      </c>
      <c r="N17" s="4">
        <f>'תקציב אגף תנוס 2020 '!N6</f>
        <v>1500000</v>
      </c>
      <c r="O17" s="4">
        <f>'תקציב אגף תנוס 2020 '!O6</f>
        <v>2120000</v>
      </c>
      <c r="P17" s="4">
        <f>'תקציב אגף תנוס 2020 '!P6</f>
        <v>431796.00999999978</v>
      </c>
      <c r="Q17" s="4">
        <f>'תקציב אגף תנוס 2020 '!Q6</f>
        <v>500000</v>
      </c>
      <c r="R17" s="4">
        <f>'תקציב אגף תנוס 2020 '!R6</f>
        <v>0</v>
      </c>
      <c r="S17" s="4">
        <f>'תקציב אגף תנוס 2020 '!S6</f>
        <v>500000</v>
      </c>
      <c r="T17" s="4">
        <f>'תקציב אגף תנוס 2020 '!T6</f>
        <v>300000</v>
      </c>
      <c r="U17" s="4">
        <f>'תקציב אגף תנוס 2020 '!U6</f>
        <v>1200000</v>
      </c>
      <c r="V17" s="4">
        <f>'תקציב אגף תנוס 2020 '!V6</f>
        <v>0</v>
      </c>
      <c r="W17" s="4">
        <f>'תקציב אגף תנוס 2020 '!W6</f>
        <v>1200000</v>
      </c>
      <c r="X17" s="4">
        <f>'תקציב אגף תנוס 2020 '!X6</f>
        <v>0</v>
      </c>
      <c r="Y17" s="4">
        <f>'תקציב אגף תנוס 2020 '!Y6</f>
        <v>0</v>
      </c>
      <c r="Z17" s="4">
        <f>'תקציב אגף תנוס 2020 '!Z6</f>
        <v>0</v>
      </c>
      <c r="AA17" s="87" t="str">
        <f>'תקציב אגף תנוס 2020 '!AA6</f>
        <v>עבודות שונות,שיפוצים, ציוד בספריות, מרכזים קהילתיים, מוזיאונים.לפי פרוט.</v>
      </c>
      <c r="AB17" s="706">
        <f>'תקציב אגף תנוס 2020 '!AB6</f>
        <v>930000</v>
      </c>
      <c r="AC17" s="665"/>
      <c r="AD17" s="666"/>
      <c r="AE17" s="665"/>
      <c r="AF17" s="667"/>
    </row>
    <row r="18" spans="1:32" s="84" customFormat="1">
      <c r="A18" s="41"/>
      <c r="B18" s="725"/>
      <c r="C18" s="705" t="s">
        <v>696</v>
      </c>
      <c r="D18" s="88">
        <f>SUM(D17)</f>
        <v>9110365</v>
      </c>
      <c r="E18" s="88">
        <f t="shared" ref="E18:Z18" si="3">SUM(E17)</f>
        <v>5790365</v>
      </c>
      <c r="F18" s="88">
        <f t="shared" si="3"/>
        <v>3320000</v>
      </c>
      <c r="G18" s="88">
        <f t="shared" si="3"/>
        <v>5290365</v>
      </c>
      <c r="H18" s="88">
        <f t="shared" si="3"/>
        <v>4406919.04</v>
      </c>
      <c r="I18" s="88">
        <f t="shared" si="3"/>
        <v>0</v>
      </c>
      <c r="J18" s="88">
        <f t="shared" si="3"/>
        <v>451649.95</v>
      </c>
      <c r="K18" s="88">
        <f t="shared" si="3"/>
        <v>451649.95</v>
      </c>
      <c r="L18" s="88">
        <f t="shared" si="3"/>
        <v>4858568.99</v>
      </c>
      <c r="M18" s="88">
        <f t="shared" si="3"/>
        <v>631796.00999999978</v>
      </c>
      <c r="N18" s="88">
        <f t="shared" si="3"/>
        <v>1500000</v>
      </c>
      <c r="O18" s="88">
        <f t="shared" si="3"/>
        <v>2120000</v>
      </c>
      <c r="P18" s="88">
        <f t="shared" si="3"/>
        <v>431796.00999999978</v>
      </c>
      <c r="Q18" s="88">
        <f t="shared" si="3"/>
        <v>500000</v>
      </c>
      <c r="R18" s="88">
        <f t="shared" si="3"/>
        <v>0</v>
      </c>
      <c r="S18" s="88">
        <f t="shared" si="3"/>
        <v>500000</v>
      </c>
      <c r="T18" s="88">
        <f t="shared" si="3"/>
        <v>300000</v>
      </c>
      <c r="U18" s="88">
        <f t="shared" si="3"/>
        <v>1200000</v>
      </c>
      <c r="V18" s="88">
        <f t="shared" si="3"/>
        <v>0</v>
      </c>
      <c r="W18" s="88">
        <f t="shared" si="3"/>
        <v>1200000</v>
      </c>
      <c r="X18" s="88">
        <f t="shared" si="3"/>
        <v>0</v>
      </c>
      <c r="Y18" s="88">
        <f t="shared" si="3"/>
        <v>0</v>
      </c>
      <c r="Z18" s="88">
        <f t="shared" si="3"/>
        <v>0</v>
      </c>
      <c r="AA18" s="410"/>
      <c r="AB18" s="725"/>
      <c r="AC18" s="731"/>
      <c r="AD18" s="732"/>
      <c r="AE18" s="731"/>
      <c r="AF18" s="733"/>
    </row>
    <row r="19" spans="1:32" s="84" customFormat="1" ht="13.8">
      <c r="A19" s="41">
        <f>A17</f>
        <v>11</v>
      </c>
      <c r="B19" s="725"/>
      <c r="C19" s="221" t="s">
        <v>685</v>
      </c>
      <c r="D19" s="88">
        <f>D18+D16</f>
        <v>21059594</v>
      </c>
      <c r="E19" s="88">
        <f t="shared" ref="E19:Z19" si="4">E18+E16</f>
        <v>14989365</v>
      </c>
      <c r="F19" s="88">
        <f t="shared" si="4"/>
        <v>6070229</v>
      </c>
      <c r="G19" s="88">
        <f t="shared" si="4"/>
        <v>13819365</v>
      </c>
      <c r="H19" s="88">
        <f t="shared" si="4"/>
        <v>8280194</v>
      </c>
      <c r="I19" s="88">
        <f t="shared" si="4"/>
        <v>0</v>
      </c>
      <c r="J19" s="88">
        <f t="shared" si="4"/>
        <v>2133646.02</v>
      </c>
      <c r="K19" s="88">
        <f t="shared" si="4"/>
        <v>2133646.02</v>
      </c>
      <c r="L19" s="88">
        <f t="shared" si="4"/>
        <v>10413840.02</v>
      </c>
      <c r="M19" s="88">
        <f t="shared" si="4"/>
        <v>3955524.9800000004</v>
      </c>
      <c r="N19" s="88">
        <f t="shared" si="4"/>
        <v>4320229</v>
      </c>
      <c r="O19" s="88">
        <f t="shared" si="4"/>
        <v>2370000</v>
      </c>
      <c r="P19" s="88">
        <f t="shared" si="4"/>
        <v>3405524.9800000004</v>
      </c>
      <c r="Q19" s="88">
        <f t="shared" si="4"/>
        <v>930000</v>
      </c>
      <c r="R19" s="88">
        <f t="shared" si="4"/>
        <v>0</v>
      </c>
      <c r="S19" s="88">
        <f t="shared" si="4"/>
        <v>930000</v>
      </c>
      <c r="T19" s="88">
        <f t="shared" si="4"/>
        <v>380000</v>
      </c>
      <c r="U19" s="88">
        <f t="shared" si="4"/>
        <v>3940229</v>
      </c>
      <c r="V19" s="88">
        <f t="shared" si="4"/>
        <v>0</v>
      </c>
      <c r="W19" s="88">
        <f t="shared" si="4"/>
        <v>3435000</v>
      </c>
      <c r="X19" s="88">
        <f t="shared" si="4"/>
        <v>0</v>
      </c>
      <c r="Y19" s="88">
        <f t="shared" si="4"/>
        <v>0</v>
      </c>
      <c r="Z19" s="88">
        <f t="shared" si="4"/>
        <v>505229</v>
      </c>
      <c r="AA19" s="714"/>
      <c r="AB19" s="41"/>
      <c r="AC19" s="438"/>
    </row>
    <row r="20" spans="1:32" s="5" customFormat="1">
      <c r="A20" s="29"/>
      <c r="B20" s="26"/>
      <c r="C20" s="407"/>
      <c r="D20" s="16"/>
      <c r="E20" s="16"/>
      <c r="F20" s="16"/>
      <c r="G20" s="16"/>
      <c r="H20" s="16"/>
      <c r="I20" s="16"/>
      <c r="J20" s="16"/>
      <c r="K20" s="16"/>
      <c r="L20" s="16">
        <f>K19+H19</f>
        <v>10413840.02</v>
      </c>
      <c r="M20" s="16"/>
      <c r="N20" s="16"/>
      <c r="O20" s="16"/>
      <c r="P20" s="16">
        <f>G19-L20</f>
        <v>3405524.9800000004</v>
      </c>
      <c r="Q20" s="16"/>
      <c r="R20" s="16"/>
      <c r="S20" s="16"/>
      <c r="T20" s="16">
        <f>P20+S19-M19</f>
        <v>380000</v>
      </c>
      <c r="U20" s="16">
        <f>N19-T19</f>
        <v>3940229</v>
      </c>
      <c r="V20" s="14"/>
      <c r="W20" s="14"/>
      <c r="X20" s="14"/>
      <c r="Y20" s="14"/>
      <c r="Z20" s="14"/>
      <c r="AA20" s="407"/>
      <c r="AB20" s="14"/>
      <c r="AC20" s="665"/>
      <c r="AD20" s="665"/>
      <c r="AE20" s="665"/>
      <c r="AF20" s="665"/>
    </row>
    <row r="21" spans="1:32">
      <c r="M21" s="25"/>
      <c r="N21" s="25"/>
      <c r="O21" s="25"/>
      <c r="P21" s="29"/>
      <c r="Q21" s="25"/>
      <c r="R21" s="25"/>
      <c r="S21" s="25"/>
    </row>
    <row r="22" spans="1:32">
      <c r="M22" s="25"/>
      <c r="N22" s="25"/>
      <c r="O22" s="25"/>
      <c r="P22" s="25"/>
      <c r="Q22" s="25"/>
      <c r="R22" s="25"/>
      <c r="S22" s="25"/>
    </row>
    <row r="23" spans="1:32">
      <c r="M23" s="25"/>
      <c r="N23" s="25"/>
      <c r="O23" s="25"/>
      <c r="P23" s="25"/>
      <c r="Q23" s="25"/>
      <c r="R23" s="25"/>
      <c r="S23" s="25"/>
    </row>
    <row r="24" spans="1:32">
      <c r="M24" s="25"/>
      <c r="N24" s="25"/>
      <c r="O24" s="25"/>
      <c r="P24" s="25"/>
      <c r="Q24" s="25"/>
      <c r="R24" s="25"/>
      <c r="S24" s="25"/>
    </row>
    <row r="25" spans="1:32">
      <c r="M25" s="25"/>
      <c r="N25" s="25"/>
      <c r="O25" s="25"/>
      <c r="P25" s="25"/>
      <c r="Q25" s="25"/>
      <c r="R25" s="25"/>
      <c r="S25" s="25"/>
    </row>
    <row r="26" spans="1:32">
      <c r="M26" s="25"/>
      <c r="N26" s="25"/>
      <c r="O26" s="25"/>
      <c r="P26" s="25"/>
      <c r="Q26" s="25"/>
      <c r="R26" s="25"/>
      <c r="S26" s="25"/>
    </row>
    <row r="27" spans="1:32">
      <c r="M27" s="25"/>
      <c r="N27" s="25"/>
      <c r="O27" s="25"/>
      <c r="P27" s="25"/>
      <c r="Q27" s="25"/>
      <c r="R27" s="25"/>
      <c r="S27" s="25"/>
    </row>
    <row r="28" spans="1:32">
      <c r="M28" s="25"/>
      <c r="N28" s="25"/>
      <c r="O28" s="25"/>
      <c r="P28" s="25"/>
      <c r="Q28" s="25"/>
      <c r="R28" s="25"/>
      <c r="S28" s="25"/>
    </row>
    <row r="29" spans="1:32">
      <c r="M29" s="25"/>
      <c r="N29" s="25"/>
      <c r="O29" s="25"/>
      <c r="P29" s="25"/>
      <c r="Q29" s="25"/>
      <c r="R29" s="25"/>
      <c r="S29" s="25"/>
    </row>
    <row r="30" spans="1:32">
      <c r="M30" s="25"/>
      <c r="N30" s="25"/>
      <c r="O30" s="25"/>
      <c r="P30" s="25"/>
      <c r="Q30" s="25"/>
      <c r="R30" s="25"/>
      <c r="S30" s="25"/>
    </row>
    <row r="31" spans="1:32">
      <c r="M31" s="25"/>
      <c r="N31" s="25"/>
      <c r="O31" s="25"/>
      <c r="P31" s="25"/>
      <c r="Q31" s="25"/>
      <c r="R31" s="25"/>
      <c r="S31" s="25"/>
    </row>
    <row r="32" spans="1:32">
      <c r="M32" s="25"/>
      <c r="N32" s="25"/>
      <c r="O32" s="25"/>
      <c r="P32" s="25"/>
      <c r="Q32" s="25"/>
      <c r="R32" s="25"/>
      <c r="S32" s="25"/>
    </row>
    <row r="33" spans="13:19">
      <c r="M33" s="25"/>
      <c r="N33" s="25"/>
      <c r="O33" s="25"/>
      <c r="P33" s="25"/>
      <c r="Q33" s="25"/>
      <c r="R33" s="25"/>
      <c r="S33" s="25"/>
    </row>
  </sheetData>
  <sheetProtection formatCells="0" formatColumns="0" formatRows="0" insertColumns="0" insertRows="0" insertHyperlinks="0" deleteColumns="0" deleteRows="0" sort="0" autoFilter="0" pivotTables="0"/>
  <sortState ref="A6:AF16">
    <sortCondition ref="AB6:AB16"/>
  </sortState>
  <conditionalFormatting sqref="AF1:XFD2 A1:A2 AD1:AE6 AF3:AF12 AE7:AE12 AD7:AD14 AC1:AC14 AC15:AF1048576">
    <cfRule type="cellIs" dxfId="285" priority="4" operator="equal">
      <formula>0</formula>
    </cfRule>
  </conditionalFormatting>
  <conditionalFormatting sqref="AE13:AF13">
    <cfRule type="cellIs" dxfId="284" priority="3" operator="equal">
      <formula>0</formula>
    </cfRule>
  </conditionalFormatting>
  <conditionalFormatting sqref="AE14">
    <cfRule type="cellIs" dxfId="283" priority="2" operator="equal">
      <formula>0</formula>
    </cfRule>
  </conditionalFormatting>
  <conditionalFormatting sqref="AF14">
    <cfRule type="cellIs" dxfId="28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rightToLeft="1" tabSelected="1" topLeftCell="A13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230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A5" s="273"/>
      <c r="C5" s="273" t="s">
        <v>379</v>
      </c>
      <c r="D5" s="273"/>
      <c r="E5" s="273"/>
      <c r="F5" s="273"/>
      <c r="G5" s="273"/>
      <c r="H5" s="273"/>
      <c r="I5" s="273"/>
      <c r="J5" s="273"/>
      <c r="K5" s="273"/>
      <c r="L5" s="273"/>
    </row>
    <row r="6" spans="1:17" ht="16.2" thickBot="1">
      <c r="A6" s="273"/>
      <c r="C6" s="273"/>
      <c r="D6" s="273"/>
      <c r="E6" s="273"/>
      <c r="F6" s="273"/>
      <c r="G6" s="273"/>
      <c r="H6" s="273"/>
      <c r="I6" s="273"/>
      <c r="J6" s="273"/>
      <c r="K6" s="273"/>
      <c r="L6" s="273"/>
    </row>
    <row r="7" spans="1:17" ht="16.2" thickBot="1">
      <c r="A7" s="273"/>
      <c r="B7" s="276" t="s">
        <v>227</v>
      </c>
      <c r="C7" s="273" t="s">
        <v>1339</v>
      </c>
      <c r="D7" s="273"/>
      <c r="E7" s="273"/>
      <c r="F7" s="277">
        <f>'תקציב אגף שאיפה  2020 '!$U$48</f>
        <v>33192000</v>
      </c>
      <c r="I7" s="273"/>
      <c r="J7" s="273"/>
      <c r="K7" s="273"/>
      <c r="L7" s="273"/>
    </row>
    <row r="8" spans="1:17" ht="21.6" thickBot="1">
      <c r="A8" s="273"/>
      <c r="C8" s="275"/>
      <c r="D8" s="273"/>
      <c r="E8" s="273"/>
      <c r="F8" s="273"/>
      <c r="H8" s="273"/>
      <c r="I8" s="273"/>
      <c r="J8" s="273"/>
      <c r="K8" s="273"/>
      <c r="L8" s="273"/>
    </row>
    <row r="9" spans="1:17" ht="16.2" thickBot="1">
      <c r="B9" s="276" t="s">
        <v>227</v>
      </c>
      <c r="C9" s="273" t="s">
        <v>393</v>
      </c>
      <c r="D9" s="273"/>
      <c r="F9" s="285">
        <f>'תקציב אגף שאיפה  2020 '!$A$48</f>
        <v>41</v>
      </c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B10" s="276"/>
      <c r="C10" s="273"/>
      <c r="D10" s="273"/>
      <c r="F10" s="279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B11" s="276"/>
      <c r="C11" s="273"/>
      <c r="D11" s="273"/>
      <c r="F11" s="279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B12" s="276" t="s">
        <v>227</v>
      </c>
      <c r="C12" s="273" t="s">
        <v>365</v>
      </c>
      <c r="D12" s="273"/>
      <c r="E12" s="273"/>
      <c r="F12" s="273"/>
      <c r="G12" s="273"/>
      <c r="H12" s="273"/>
      <c r="I12" s="273"/>
      <c r="J12" s="273"/>
      <c r="K12" s="273"/>
      <c r="L12" s="273"/>
    </row>
    <row r="13" spans="1:17" ht="16.2" thickBot="1"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D14" s="286" t="s">
        <v>366</v>
      </c>
      <c r="E14" s="287" t="s">
        <v>367</v>
      </c>
      <c r="F14" s="288" t="s">
        <v>369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13</v>
      </c>
      <c r="E15" s="289">
        <f>'תקציב אגף שאיפה  2020 '!$V$48</f>
        <v>2930000</v>
      </c>
      <c r="F15" s="297">
        <f>E15/$E$18</f>
        <v>8.8274282959749331E-2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14</v>
      </c>
      <c r="E16" s="289">
        <f>'תקציב אגף שאיפה  2020 '!$W$48</f>
        <v>12522000</v>
      </c>
      <c r="F16" s="297">
        <f>E16/$E$18</f>
        <v>0.37725958062183657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5.6">
      <c r="C17" s="276"/>
      <c r="D17" s="280" t="s">
        <v>105</v>
      </c>
      <c r="E17" s="289">
        <f>'תקציב אגף שאיפה  2020 '!$Z$48</f>
        <v>17740000</v>
      </c>
      <c r="F17" s="297">
        <f>E17/$E$18</f>
        <v>0.53446613641841412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6.2" thickBot="1">
      <c r="C18" s="276"/>
      <c r="D18" s="283" t="s">
        <v>120</v>
      </c>
      <c r="E18" s="291">
        <f>SUM(E15:E17)</f>
        <v>33192000</v>
      </c>
      <c r="F18" s="163">
        <f>SUM(F15:F17)</f>
        <v>1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C19" s="276"/>
      <c r="D19" s="279"/>
      <c r="E19" s="300"/>
      <c r="F19" s="30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1:17" ht="15.6">
      <c r="C20" s="276"/>
      <c r="D20" s="279"/>
      <c r="E20" s="300"/>
      <c r="F20" s="30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1:17" ht="15.6">
      <c r="B21" s="276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</row>
    <row r="22" spans="1:17" ht="21">
      <c r="C22" s="273"/>
      <c r="D22" s="424"/>
      <c r="E22" s="273"/>
      <c r="F22" s="273"/>
      <c r="H22" s="273"/>
      <c r="I22" s="273"/>
      <c r="J22" s="273"/>
      <c r="K22" s="273"/>
      <c r="L22" s="273"/>
    </row>
    <row r="23" spans="1:17" s="418" customFormat="1" ht="15.6">
      <c r="A23" s="417"/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</row>
    <row r="24" spans="1:17" ht="15.6">
      <c r="B24" s="276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</row>
    <row r="25" spans="1:17" ht="15.6">
      <c r="B25" s="276"/>
      <c r="C25" s="273"/>
      <c r="D25" s="417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</row>
    <row r="28" spans="1:17" s="454" customFormat="1" ht="15.6">
      <c r="C28" s="455" t="s">
        <v>227</v>
      </c>
      <c r="D28" s="456" t="s">
        <v>1398</v>
      </c>
      <c r="E28" s="456"/>
      <c r="F28" s="456"/>
      <c r="G28" s="456"/>
      <c r="H28" s="456"/>
      <c r="I28" s="456"/>
      <c r="J28" s="456"/>
      <c r="K28" s="456"/>
      <c r="L28" s="456"/>
      <c r="M28" s="456"/>
      <c r="N28" s="456"/>
      <c r="O28" s="456"/>
      <c r="P28" s="456"/>
      <c r="Q28" s="45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230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C5" s="276"/>
      <c r="D5" s="279"/>
      <c r="E5" s="300"/>
      <c r="F5" s="30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</row>
    <row r="6" spans="1:17" ht="15.6">
      <c r="C6" s="276"/>
      <c r="D6" s="279"/>
      <c r="E6" s="300"/>
      <c r="F6" s="30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</row>
    <row r="7" spans="1:17" ht="15.6">
      <c r="B7" s="276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</row>
    <row r="8" spans="1:17" ht="15.6">
      <c r="B8" s="276" t="s">
        <v>227</v>
      </c>
      <c r="C8" s="273" t="s">
        <v>924</v>
      </c>
      <c r="D8" s="273"/>
      <c r="F8" s="273"/>
      <c r="H8" s="282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/>
      <c r="C9" s="273"/>
      <c r="D9" s="273" t="s">
        <v>861</v>
      </c>
      <c r="E9" s="273"/>
      <c r="F9" s="273"/>
      <c r="G9" s="273"/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B10" s="276"/>
      <c r="C10" s="273"/>
      <c r="D10" s="273" t="s">
        <v>1344</v>
      </c>
      <c r="E10" s="273"/>
      <c r="F10" s="273"/>
      <c r="G10" s="273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B11" s="276"/>
      <c r="C11" s="273"/>
      <c r="D11" s="273" t="s">
        <v>1345</v>
      </c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D12" s="273" t="s">
        <v>862</v>
      </c>
      <c r="E12" s="273"/>
    </row>
    <row r="13" spans="1:17" ht="15.6">
      <c r="B13" s="276"/>
      <c r="C13" s="273"/>
      <c r="D13" s="273" t="s">
        <v>863</v>
      </c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B14" s="276"/>
      <c r="C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B15" s="276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B16" s="276"/>
      <c r="C16" s="273"/>
      <c r="D16" s="445" t="s">
        <v>1418</v>
      </c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2:17" ht="15.6">
      <c r="B17" s="276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2:17" ht="15.6">
      <c r="B18" s="276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2:17" ht="15.6">
      <c r="B19" s="276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2:17" ht="15.6">
      <c r="B20" s="276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2:17" ht="15.6">
      <c r="B21" s="276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</row>
    <row r="22" spans="2:17" ht="15.6">
      <c r="B22" s="276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</row>
    <row r="23" spans="2:17" ht="15.6">
      <c r="B23" s="276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</row>
    <row r="34" spans="4:4" ht="15.6">
      <c r="D34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50"/>
  <sheetViews>
    <sheetView showZeros="0" rightToLeft="1" tabSelected="1" zoomScale="93" zoomScaleNormal="93" workbookViewId="0">
      <pane xSplit="3" ySplit="5" topLeftCell="D4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7" customWidth="1"/>
    <col min="2" max="2" width="4.77734375" style="14" customWidth="1"/>
    <col min="3" max="3" width="27.109375" style="14" customWidth="1"/>
    <col min="4" max="6" width="10.6640625" style="16" customWidth="1"/>
    <col min="7" max="7" width="11.109375" style="16" hidden="1" customWidth="1"/>
    <col min="8" max="10" width="12.6640625" style="16" hidden="1" customWidth="1"/>
    <col min="11" max="11" width="11.33203125" style="16" hidden="1" customWidth="1"/>
    <col min="12" max="15" width="10.6640625" style="16" customWidth="1"/>
    <col min="16" max="19" width="10.6640625" style="16" hidden="1" customWidth="1"/>
    <col min="20" max="20" width="10.6640625" style="16" customWidth="1"/>
    <col min="21" max="23" width="10.6640625" style="14" customWidth="1"/>
    <col min="24" max="25" width="10.6640625" style="14" hidden="1" customWidth="1"/>
    <col min="26" max="26" width="10.6640625" style="14" customWidth="1"/>
    <col min="27" max="27" width="31.88671875" style="20" hidden="1" customWidth="1"/>
    <col min="28" max="28" width="7.88671875" style="14" hidden="1" customWidth="1"/>
    <col min="29" max="29" width="19.44140625" style="210" customWidth="1"/>
    <col min="30" max="30" width="10.88671875" style="330" bestFit="1" customWidth="1"/>
    <col min="31" max="31" width="10.5546875" style="330" customWidth="1"/>
    <col min="32" max="32" width="13.44140625" style="330" customWidth="1"/>
    <col min="33" max="33" width="30.6640625" style="333" customWidth="1"/>
    <col min="34" max="34" width="9.109375" style="19" customWidth="1"/>
    <col min="35" max="35" width="30.6640625" style="191" customWidth="1"/>
    <col min="36" max="36" width="9.109375" style="19" customWidth="1"/>
    <col min="37" max="37" width="1.5546875" style="19" customWidth="1"/>
    <col min="38" max="39" width="9.109375" style="19" customWidth="1"/>
    <col min="40" max="16384" width="9.109375" style="14"/>
  </cols>
  <sheetData>
    <row r="2" spans="1:39" s="331" customFormat="1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668"/>
      <c r="AC2" s="210"/>
      <c r="AD2" s="330"/>
      <c r="AE2" s="330"/>
      <c r="AF2" s="330"/>
      <c r="AG2" s="333"/>
      <c r="AI2" s="191"/>
    </row>
    <row r="3" spans="1:39" s="191" customFormat="1">
      <c r="A3" s="329" t="s">
        <v>230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210"/>
      <c r="AC3" s="210"/>
      <c r="AD3" s="330"/>
      <c r="AE3" s="330"/>
      <c r="AF3" s="330"/>
      <c r="AG3" s="333"/>
    </row>
    <row r="4" spans="1:39" ht="24" customHeight="1"/>
    <row r="5" spans="1:39" s="31" customFormat="1" ht="86.25" customHeight="1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918</v>
      </c>
      <c r="N5" s="18" t="s">
        <v>919</v>
      </c>
      <c r="O5" s="18" t="s">
        <v>920</v>
      </c>
      <c r="P5" s="18" t="s">
        <v>12</v>
      </c>
      <c r="Q5" s="18" t="s">
        <v>925</v>
      </c>
      <c r="R5" s="18" t="s">
        <v>926</v>
      </c>
      <c r="S5" s="18" t="s">
        <v>927</v>
      </c>
      <c r="T5" s="18" t="s">
        <v>921</v>
      </c>
      <c r="U5" s="18" t="s">
        <v>922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18" t="s">
        <v>410</v>
      </c>
      <c r="AB5" s="18" t="s">
        <v>16</v>
      </c>
      <c r="AC5" s="210"/>
      <c r="AD5" s="330"/>
      <c r="AE5" s="330"/>
      <c r="AF5" s="330"/>
      <c r="AI5" s="191"/>
    </row>
    <row r="6" spans="1:39" s="5" customFormat="1">
      <c r="A6" s="3"/>
      <c r="B6" s="3"/>
      <c r="C6" s="4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"/>
      <c r="AB6" s="3"/>
      <c r="AC6" s="210"/>
      <c r="AD6" s="330"/>
      <c r="AE6" s="330"/>
      <c r="AF6" s="330"/>
      <c r="AG6" s="333"/>
      <c r="AH6" s="29"/>
      <c r="AI6" s="191"/>
      <c r="AJ6" s="29"/>
      <c r="AK6" s="29"/>
      <c r="AL6" s="29"/>
      <c r="AM6" s="29"/>
    </row>
    <row r="7" spans="1:39" s="5" customFormat="1" ht="35.1" customHeight="1">
      <c r="A7" s="3">
        <v>1</v>
      </c>
      <c r="B7" s="3">
        <v>135</v>
      </c>
      <c r="C7" s="3" t="s">
        <v>76</v>
      </c>
      <c r="D7" s="4">
        <v>1233000</v>
      </c>
      <c r="E7" s="4">
        <v>1233000</v>
      </c>
      <c r="F7" s="4">
        <f t="shared" ref="F7:F39" si="0">D7-E7</f>
        <v>0</v>
      </c>
      <c r="G7" s="4">
        <v>1233000</v>
      </c>
      <c r="H7" s="4">
        <v>1149152.1299999999</v>
      </c>
      <c r="I7" s="4"/>
      <c r="J7" s="4"/>
      <c r="K7" s="4">
        <f>I7+J7</f>
        <v>0</v>
      </c>
      <c r="L7" s="4">
        <f>H7+K7</f>
        <v>1149152.1299999999</v>
      </c>
      <c r="M7" s="4">
        <f>P7+S7-50000</f>
        <v>33847.870000000112</v>
      </c>
      <c r="N7" s="4"/>
      <c r="O7" s="4">
        <f>D7-L7-M7-N7</f>
        <v>50000</v>
      </c>
      <c r="P7" s="4">
        <f>G7-L7</f>
        <v>83847.870000000112</v>
      </c>
      <c r="Q7" s="4"/>
      <c r="R7" s="4"/>
      <c r="S7" s="4">
        <f>SUM(Q7:R7)</f>
        <v>0</v>
      </c>
      <c r="T7" s="4">
        <f>P7-M7+S7</f>
        <v>50000</v>
      </c>
      <c r="U7" s="4">
        <f>N7-T7</f>
        <v>-50000</v>
      </c>
      <c r="V7" s="11">
        <v>-50000</v>
      </c>
      <c r="W7" s="4">
        <f>U7-V7-Y7-Z7</f>
        <v>0</v>
      </c>
      <c r="X7" s="4"/>
      <c r="Y7" s="4"/>
      <c r="Z7" s="3"/>
      <c r="AA7" s="3"/>
      <c r="AB7" s="3">
        <v>747000</v>
      </c>
      <c r="AC7" s="210"/>
      <c r="AD7" s="392"/>
      <c r="AE7" s="392"/>
      <c r="AF7" s="330"/>
      <c r="AG7" s="19"/>
      <c r="AH7" s="19"/>
      <c r="AI7" s="28"/>
      <c r="AJ7" s="29"/>
      <c r="AK7" s="29"/>
      <c r="AL7" s="29"/>
      <c r="AM7" s="29"/>
    </row>
    <row r="8" spans="1:39" s="5" customFormat="1" ht="35.1" customHeight="1">
      <c r="A8" s="3">
        <f>A7+1</f>
        <v>2</v>
      </c>
      <c r="B8" s="3">
        <v>1134</v>
      </c>
      <c r="C8" s="3" t="s">
        <v>77</v>
      </c>
      <c r="D8" s="4">
        <f>2700000+95000</f>
        <v>2795000</v>
      </c>
      <c r="E8" s="4">
        <v>2700000</v>
      </c>
      <c r="F8" s="4">
        <f t="shared" si="0"/>
        <v>95000</v>
      </c>
      <c r="G8" s="4">
        <v>2595000</v>
      </c>
      <c r="H8" s="4">
        <v>2456417.7400000002</v>
      </c>
      <c r="I8" s="4"/>
      <c r="J8" s="4">
        <v>49497.11</v>
      </c>
      <c r="K8" s="4">
        <f t="shared" ref="K8:K42" si="1">I8+J8</f>
        <v>49497.11</v>
      </c>
      <c r="L8" s="4">
        <f t="shared" ref="L8:L42" si="2">H8+K8</f>
        <v>2505914.85</v>
      </c>
      <c r="M8" s="4">
        <f t="shared" ref="M8:M42" si="3">P8+S8</f>
        <v>89085.149999999907</v>
      </c>
      <c r="N8" s="4">
        <v>200000</v>
      </c>
      <c r="O8" s="4">
        <f t="shared" ref="O8:O42" si="4">D8-L8-M8-N8</f>
        <v>0</v>
      </c>
      <c r="P8" s="4">
        <f t="shared" ref="P8:P42" si="5">G8-L8</f>
        <v>89085.149999999907</v>
      </c>
      <c r="Q8" s="4"/>
      <c r="R8" s="4"/>
      <c r="S8" s="4">
        <f t="shared" ref="S8:S42" si="6">SUM(Q8:R8)</f>
        <v>0</v>
      </c>
      <c r="T8" s="4">
        <f t="shared" ref="T8:T42" si="7">P8-M8+S8</f>
        <v>0</v>
      </c>
      <c r="U8" s="4">
        <f t="shared" ref="U8:U42" si="8">N8-T8</f>
        <v>200000</v>
      </c>
      <c r="V8" s="11">
        <f>U8-W8-X8-Y8-Z8</f>
        <v>0</v>
      </c>
      <c r="W8" s="4">
        <v>200000</v>
      </c>
      <c r="X8" s="4"/>
      <c r="Y8" s="4"/>
      <c r="Z8" s="3"/>
      <c r="AA8" s="3" t="s">
        <v>1366</v>
      </c>
      <c r="AB8" s="3">
        <v>746000</v>
      </c>
      <c r="AC8" s="210"/>
      <c r="AD8" s="392"/>
      <c r="AE8" s="392"/>
      <c r="AF8" s="330"/>
      <c r="AG8" s="19"/>
      <c r="AH8" s="19"/>
      <c r="AI8" s="28"/>
      <c r="AJ8" s="29"/>
      <c r="AK8" s="29"/>
      <c r="AL8" s="29"/>
      <c r="AM8" s="29"/>
    </row>
    <row r="9" spans="1:39" s="5" customFormat="1" ht="35.1" customHeight="1">
      <c r="A9" s="3">
        <f t="shared" ref="A9:A42" si="9">A8+1</f>
        <v>3</v>
      </c>
      <c r="B9" s="3">
        <v>1165</v>
      </c>
      <c r="C9" s="3" t="s">
        <v>107</v>
      </c>
      <c r="D9" s="4">
        <v>12050000</v>
      </c>
      <c r="E9" s="4">
        <v>12050000</v>
      </c>
      <c r="F9" s="4">
        <f t="shared" si="0"/>
        <v>0</v>
      </c>
      <c r="G9" s="4">
        <v>12050000</v>
      </c>
      <c r="H9" s="4">
        <v>11892807.189999999</v>
      </c>
      <c r="I9" s="4"/>
      <c r="J9" s="4">
        <v>2882.2</v>
      </c>
      <c r="K9" s="4">
        <f t="shared" si="1"/>
        <v>2882.2</v>
      </c>
      <c r="L9" s="4">
        <f t="shared" si="2"/>
        <v>11895689.389999999</v>
      </c>
      <c r="M9" s="4">
        <f t="shared" si="3"/>
        <v>154310.61000000127</v>
      </c>
      <c r="N9" s="4"/>
      <c r="O9" s="4">
        <f t="shared" si="4"/>
        <v>0</v>
      </c>
      <c r="P9" s="4">
        <f t="shared" si="5"/>
        <v>154310.61000000127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0</v>
      </c>
      <c r="V9" s="11"/>
      <c r="W9" s="4">
        <f>U9-V9-Y9-Z9</f>
        <v>0</v>
      </c>
      <c r="X9" s="4"/>
      <c r="Y9" s="4"/>
      <c r="Z9" s="3"/>
      <c r="AA9" s="3" t="s">
        <v>1475</v>
      </c>
      <c r="AB9" s="3">
        <v>746000</v>
      </c>
      <c r="AC9" s="210"/>
      <c r="AD9" s="392"/>
      <c r="AE9" s="392"/>
      <c r="AF9" s="330"/>
      <c r="AG9" s="333"/>
      <c r="AH9" s="28"/>
      <c r="AI9" s="191"/>
      <c r="AJ9" s="28"/>
      <c r="AK9" s="28"/>
      <c r="AL9" s="28"/>
      <c r="AM9" s="28"/>
    </row>
    <row r="10" spans="1:39" s="5" customFormat="1" ht="35.1" customHeight="1">
      <c r="A10" s="3">
        <f t="shared" si="9"/>
        <v>4</v>
      </c>
      <c r="B10" s="3">
        <v>1166</v>
      </c>
      <c r="C10" s="3" t="s">
        <v>537</v>
      </c>
      <c r="D10" s="4">
        <v>9115000</v>
      </c>
      <c r="E10" s="4">
        <v>9115000</v>
      </c>
      <c r="F10" s="4">
        <f t="shared" si="0"/>
        <v>0</v>
      </c>
      <c r="G10" s="4">
        <v>9115000</v>
      </c>
      <c r="H10" s="4">
        <v>9068337.2400000002</v>
      </c>
      <c r="I10" s="4"/>
      <c r="J10" s="4">
        <v>46623.28</v>
      </c>
      <c r="K10" s="4">
        <f t="shared" si="1"/>
        <v>46623.28</v>
      </c>
      <c r="L10" s="4">
        <f t="shared" si="2"/>
        <v>9114960.5199999996</v>
      </c>
      <c r="M10" s="4">
        <f t="shared" si="3"/>
        <v>39.480000000447035</v>
      </c>
      <c r="N10" s="4"/>
      <c r="O10" s="4">
        <f t="shared" si="4"/>
        <v>0</v>
      </c>
      <c r="P10" s="4">
        <f t="shared" si="5"/>
        <v>39.480000000447035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0</v>
      </c>
      <c r="V10" s="4"/>
      <c r="W10" s="4">
        <f>U10-V10-Y10-Z10</f>
        <v>0</v>
      </c>
      <c r="X10" s="4"/>
      <c r="Y10" s="4"/>
      <c r="Z10" s="3"/>
      <c r="AA10" s="3" t="s">
        <v>1195</v>
      </c>
      <c r="AB10" s="3">
        <v>746000</v>
      </c>
      <c r="AC10" s="210"/>
      <c r="AD10" s="392"/>
      <c r="AE10" s="392"/>
      <c r="AF10" s="330"/>
      <c r="AG10" s="333"/>
      <c r="AH10" s="28"/>
      <c r="AI10" s="191"/>
      <c r="AJ10" s="28"/>
      <c r="AK10" s="28"/>
      <c r="AL10" s="28"/>
      <c r="AM10" s="28"/>
    </row>
    <row r="11" spans="1:39" s="5" customFormat="1" ht="35.1" customHeight="1">
      <c r="A11" s="3">
        <f t="shared" si="9"/>
        <v>5</v>
      </c>
      <c r="B11" s="3">
        <v>1210</v>
      </c>
      <c r="C11" s="3" t="s">
        <v>81</v>
      </c>
      <c r="D11" s="4">
        <f>88000000+950000+700000</f>
        <v>89650000</v>
      </c>
      <c r="E11" s="4">
        <v>88000000</v>
      </c>
      <c r="F11" s="4">
        <f t="shared" si="0"/>
        <v>1650000</v>
      </c>
      <c r="G11" s="4">
        <v>71450000</v>
      </c>
      <c r="H11" s="4">
        <v>69535503</v>
      </c>
      <c r="I11" s="4"/>
      <c r="J11" s="4">
        <v>185655</v>
      </c>
      <c r="K11" s="4">
        <f t="shared" si="1"/>
        <v>185655</v>
      </c>
      <c r="L11" s="4">
        <f t="shared" si="2"/>
        <v>69721158</v>
      </c>
      <c r="M11" s="4">
        <f t="shared" si="3"/>
        <v>2428842</v>
      </c>
      <c r="N11" s="4">
        <v>17500000</v>
      </c>
      <c r="O11" s="4">
        <f t="shared" si="4"/>
        <v>0</v>
      </c>
      <c r="P11" s="4">
        <f t="shared" si="5"/>
        <v>1728842</v>
      </c>
      <c r="Q11" s="4">
        <v>700000</v>
      </c>
      <c r="R11" s="4"/>
      <c r="S11" s="4">
        <f t="shared" si="6"/>
        <v>700000</v>
      </c>
      <c r="T11" s="4">
        <f t="shared" si="7"/>
        <v>0</v>
      </c>
      <c r="U11" s="4">
        <f t="shared" si="8"/>
        <v>17500000</v>
      </c>
      <c r="V11" s="11"/>
      <c r="W11" s="4"/>
      <c r="X11" s="4"/>
      <c r="Y11" s="4"/>
      <c r="Z11" s="4">
        <f>U11</f>
        <v>17500000</v>
      </c>
      <c r="AA11" s="3" t="s">
        <v>1359</v>
      </c>
      <c r="AB11" s="3">
        <v>764000</v>
      </c>
      <c r="AC11" s="210"/>
      <c r="AD11" s="392"/>
      <c r="AE11" s="392"/>
      <c r="AF11" s="330"/>
      <c r="AG11" s="333"/>
      <c r="AH11" s="14"/>
      <c r="AI11" s="191"/>
    </row>
    <row r="12" spans="1:39" s="5" customFormat="1" ht="35.1" customHeight="1">
      <c r="A12" s="3">
        <f t="shared" si="9"/>
        <v>6</v>
      </c>
      <c r="B12" s="3">
        <v>1254</v>
      </c>
      <c r="C12" s="3" t="s">
        <v>539</v>
      </c>
      <c r="D12" s="4">
        <f>37990000+8000000</f>
        <v>45990000</v>
      </c>
      <c r="E12" s="4">
        <v>37990000</v>
      </c>
      <c r="F12" s="4">
        <f t="shared" si="0"/>
        <v>8000000</v>
      </c>
      <c r="G12" s="4">
        <v>37990000</v>
      </c>
      <c r="H12" s="4">
        <v>34036953.539999999</v>
      </c>
      <c r="I12" s="4"/>
      <c r="J12" s="4">
        <v>3524759.54</v>
      </c>
      <c r="K12" s="4">
        <f t="shared" si="1"/>
        <v>3524759.54</v>
      </c>
      <c r="L12" s="4">
        <f t="shared" si="2"/>
        <v>37561713.079999998</v>
      </c>
      <c r="M12" s="4">
        <f t="shared" si="3"/>
        <v>428286.92000000179</v>
      </c>
      <c r="N12" s="4">
        <f>8000000-1000000-500000</f>
        <v>6500000</v>
      </c>
      <c r="O12" s="4">
        <f t="shared" si="4"/>
        <v>1500000</v>
      </c>
      <c r="P12" s="4">
        <f t="shared" si="5"/>
        <v>428286.92000000179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6500000</v>
      </c>
      <c r="V12" s="11">
        <f>U12*0.5-1500000-750000</f>
        <v>1000000</v>
      </c>
      <c r="W12" s="4">
        <f t="shared" ref="W12:W39" si="10">U12-V12-Y12-Z12</f>
        <v>5500000</v>
      </c>
      <c r="X12" s="4"/>
      <c r="Y12" s="4"/>
      <c r="Z12" s="3"/>
      <c r="AA12" s="3" t="s">
        <v>1360</v>
      </c>
      <c r="AB12" s="3">
        <v>746000</v>
      </c>
      <c r="AC12" s="210"/>
      <c r="AD12" s="392"/>
      <c r="AE12" s="392"/>
      <c r="AF12" s="330"/>
      <c r="AG12" s="333"/>
      <c r="AH12" s="28"/>
      <c r="AI12" s="191"/>
      <c r="AJ12" s="28"/>
      <c r="AK12" s="28"/>
      <c r="AL12" s="28"/>
      <c r="AM12" s="28"/>
    </row>
    <row r="13" spans="1:39" s="5" customFormat="1" ht="35.1" customHeight="1">
      <c r="A13" s="3">
        <f t="shared" si="9"/>
        <v>7</v>
      </c>
      <c r="B13" s="3">
        <v>1342</v>
      </c>
      <c r="C13" s="3" t="s">
        <v>90</v>
      </c>
      <c r="D13" s="4">
        <v>4000000</v>
      </c>
      <c r="E13" s="4">
        <v>4000000</v>
      </c>
      <c r="F13" s="4">
        <f t="shared" si="0"/>
        <v>0</v>
      </c>
      <c r="G13" s="4">
        <v>2950000</v>
      </c>
      <c r="H13" s="4">
        <v>2269553.59</v>
      </c>
      <c r="I13" s="4"/>
      <c r="J13" s="4">
        <v>38087.25</v>
      </c>
      <c r="K13" s="4">
        <f t="shared" si="1"/>
        <v>38087.25</v>
      </c>
      <c r="L13" s="4">
        <f t="shared" si="2"/>
        <v>2307640.84</v>
      </c>
      <c r="M13" s="4">
        <f>P13+S13-500000</f>
        <v>642359.16000000015</v>
      </c>
      <c r="N13" s="4">
        <v>500000</v>
      </c>
      <c r="O13" s="4">
        <f t="shared" si="4"/>
        <v>550000</v>
      </c>
      <c r="P13" s="4">
        <f t="shared" si="5"/>
        <v>642359.16000000015</v>
      </c>
      <c r="Q13" s="4">
        <v>500000</v>
      </c>
      <c r="R13" s="4"/>
      <c r="S13" s="4">
        <f t="shared" si="6"/>
        <v>500000</v>
      </c>
      <c r="T13" s="4">
        <f t="shared" si="7"/>
        <v>500000</v>
      </c>
      <c r="U13" s="4">
        <f t="shared" si="8"/>
        <v>0</v>
      </c>
      <c r="V13" s="11">
        <f>U13-W13-X13-Y13-Z13</f>
        <v>0</v>
      </c>
      <c r="W13" s="4"/>
      <c r="X13" s="4"/>
      <c r="Y13" s="4"/>
      <c r="Z13" s="3"/>
      <c r="AA13" s="3" t="s">
        <v>1370</v>
      </c>
      <c r="AB13" s="3">
        <v>746000</v>
      </c>
      <c r="AC13" s="210"/>
      <c r="AD13" s="392"/>
      <c r="AE13" s="392"/>
      <c r="AF13" s="330"/>
      <c r="AG13" s="333"/>
      <c r="AH13" s="28"/>
      <c r="AI13" s="191"/>
      <c r="AJ13" s="28"/>
      <c r="AK13" s="28"/>
      <c r="AL13" s="28"/>
      <c r="AM13" s="28"/>
    </row>
    <row r="14" spans="1:39" s="5" customFormat="1" ht="35.1" customHeight="1">
      <c r="A14" s="3">
        <f t="shared" si="9"/>
        <v>8</v>
      </c>
      <c r="B14" s="3">
        <v>1343</v>
      </c>
      <c r="C14" s="3" t="s">
        <v>91</v>
      </c>
      <c r="D14" s="4">
        <v>8320000</v>
      </c>
      <c r="E14" s="4">
        <v>8320000</v>
      </c>
      <c r="F14" s="4">
        <f t="shared" si="0"/>
        <v>0</v>
      </c>
      <c r="G14" s="4">
        <v>6520000</v>
      </c>
      <c r="H14" s="4">
        <v>5532043.8499999996</v>
      </c>
      <c r="I14" s="4"/>
      <c r="J14" s="4">
        <v>937492.49</v>
      </c>
      <c r="K14" s="4">
        <f t="shared" si="1"/>
        <v>937492.49</v>
      </c>
      <c r="L14" s="4">
        <f t="shared" si="2"/>
        <v>6469536.3399999999</v>
      </c>
      <c r="M14" s="4">
        <f t="shared" si="3"/>
        <v>550463.66000000015</v>
      </c>
      <c r="N14" s="4">
        <f>500000-100000</f>
        <v>400000</v>
      </c>
      <c r="O14" s="4">
        <f t="shared" si="4"/>
        <v>900000</v>
      </c>
      <c r="P14" s="4">
        <f t="shared" si="5"/>
        <v>50463.660000000149</v>
      </c>
      <c r="Q14" s="4">
        <v>500000</v>
      </c>
      <c r="R14" s="4"/>
      <c r="S14" s="4">
        <f t="shared" si="6"/>
        <v>500000</v>
      </c>
      <c r="T14" s="4">
        <f t="shared" si="7"/>
        <v>0</v>
      </c>
      <c r="U14" s="4">
        <f t="shared" si="8"/>
        <v>400000</v>
      </c>
      <c r="V14" s="11">
        <f>U14-W14-X14-Y14-Z14</f>
        <v>0</v>
      </c>
      <c r="W14" s="4">
        <v>400000</v>
      </c>
      <c r="X14" s="4"/>
      <c r="Y14" s="4"/>
      <c r="Z14" s="3"/>
      <c r="AA14" s="3" t="s">
        <v>1196</v>
      </c>
      <c r="AB14" s="3">
        <v>746000</v>
      </c>
      <c r="AC14" s="210"/>
      <c r="AD14" s="392"/>
      <c r="AE14" s="392"/>
      <c r="AF14" s="330"/>
      <c r="AG14" s="333"/>
      <c r="AH14" s="28"/>
      <c r="AI14" s="191"/>
      <c r="AJ14" s="28"/>
      <c r="AK14" s="28"/>
      <c r="AL14" s="28"/>
      <c r="AM14" s="28"/>
    </row>
    <row r="15" spans="1:39" s="5" customFormat="1" ht="35.1" customHeight="1">
      <c r="A15" s="3">
        <f t="shared" si="9"/>
        <v>9</v>
      </c>
      <c r="B15" s="3">
        <v>1345</v>
      </c>
      <c r="C15" s="3" t="s">
        <v>791</v>
      </c>
      <c r="D15" s="4">
        <v>1739000</v>
      </c>
      <c r="E15" s="4">
        <v>1739000</v>
      </c>
      <c r="F15" s="4">
        <f t="shared" si="0"/>
        <v>0</v>
      </c>
      <c r="G15" s="4">
        <v>915000</v>
      </c>
      <c r="H15" s="4">
        <v>808403.94</v>
      </c>
      <c r="I15" s="4"/>
      <c r="J15" s="4">
        <v>39678.550000000003</v>
      </c>
      <c r="K15" s="4">
        <f t="shared" si="1"/>
        <v>39678.550000000003</v>
      </c>
      <c r="L15" s="4">
        <f t="shared" si="2"/>
        <v>848082.49</v>
      </c>
      <c r="M15" s="4">
        <f t="shared" si="3"/>
        <v>66917.510000000009</v>
      </c>
      <c r="N15" s="4">
        <v>80000</v>
      </c>
      <c r="O15" s="4">
        <f t="shared" si="4"/>
        <v>744000</v>
      </c>
      <c r="P15" s="4">
        <f t="shared" si="5"/>
        <v>66917.510000000009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80000</v>
      </c>
      <c r="V15" s="11"/>
      <c r="W15" s="4">
        <f t="shared" si="10"/>
        <v>80000</v>
      </c>
      <c r="X15" s="4"/>
      <c r="Y15" s="4"/>
      <c r="Z15" s="3"/>
      <c r="AA15" s="3" t="s">
        <v>1197</v>
      </c>
      <c r="AB15" s="3">
        <v>870000</v>
      </c>
      <c r="AC15" s="210"/>
      <c r="AD15" s="392"/>
      <c r="AE15" s="392"/>
      <c r="AF15" s="330"/>
      <c r="AG15" s="19"/>
      <c r="AH15" s="19"/>
      <c r="AI15" s="28"/>
      <c r="AJ15" s="29"/>
      <c r="AK15" s="29"/>
      <c r="AL15" s="29"/>
      <c r="AM15" s="29"/>
    </row>
    <row r="16" spans="1:39" s="5" customFormat="1" ht="35.1" customHeight="1">
      <c r="A16" s="3">
        <f t="shared" si="9"/>
        <v>10</v>
      </c>
      <c r="B16" s="3">
        <v>1435</v>
      </c>
      <c r="C16" s="39" t="s">
        <v>1198</v>
      </c>
      <c r="D16" s="4">
        <f>27300000+3974320</f>
        <v>31274320</v>
      </c>
      <c r="E16" s="4">
        <v>27300000</v>
      </c>
      <c r="F16" s="4">
        <f t="shared" si="0"/>
        <v>3974320</v>
      </c>
      <c r="G16" s="4">
        <v>25774320</v>
      </c>
      <c r="H16" s="4">
        <v>22936668.030000001</v>
      </c>
      <c r="I16" s="4"/>
      <c r="J16" s="4">
        <v>2365688.2400000002</v>
      </c>
      <c r="K16" s="4">
        <f t="shared" si="1"/>
        <v>2365688.2400000002</v>
      </c>
      <c r="L16" s="4">
        <f t="shared" si="2"/>
        <v>25302356.270000003</v>
      </c>
      <c r="M16" s="4">
        <f t="shared" si="3"/>
        <v>971963.72999999672</v>
      </c>
      <c r="N16" s="4">
        <f>3500000+1500000-2000000-200000</f>
        <v>2800000</v>
      </c>
      <c r="O16" s="4">
        <f t="shared" si="4"/>
        <v>2200000</v>
      </c>
      <c r="P16" s="4">
        <f t="shared" si="5"/>
        <v>471963.72999999672</v>
      </c>
      <c r="Q16" s="4">
        <v>500000</v>
      </c>
      <c r="R16" s="4"/>
      <c r="S16" s="4">
        <f t="shared" si="6"/>
        <v>500000</v>
      </c>
      <c r="T16" s="4">
        <f t="shared" si="7"/>
        <v>0</v>
      </c>
      <c r="U16" s="4">
        <f t="shared" si="8"/>
        <v>2800000</v>
      </c>
      <c r="V16" s="11">
        <f>3000000-3000000</f>
        <v>0</v>
      </c>
      <c r="W16" s="4">
        <f t="shared" si="10"/>
        <v>2800000</v>
      </c>
      <c r="X16" s="4"/>
      <c r="Y16" s="4"/>
      <c r="Z16" s="3"/>
      <c r="AA16" s="87" t="s">
        <v>1364</v>
      </c>
      <c r="AB16" s="3">
        <v>848500</v>
      </c>
      <c r="AC16" s="210"/>
      <c r="AD16" s="392"/>
      <c r="AE16" s="392"/>
      <c r="AF16" s="330"/>
      <c r="AG16" s="333"/>
      <c r="AH16" s="28"/>
      <c r="AI16" s="191"/>
      <c r="AJ16" s="28"/>
      <c r="AK16" s="28"/>
      <c r="AL16" s="28"/>
      <c r="AM16" s="28"/>
    </row>
    <row r="17" spans="1:39" s="5" customFormat="1" ht="35.1" customHeight="1">
      <c r="A17" s="3">
        <f t="shared" si="9"/>
        <v>11</v>
      </c>
      <c r="B17" s="3">
        <v>1491</v>
      </c>
      <c r="C17" s="3" t="s">
        <v>92</v>
      </c>
      <c r="D17" s="4">
        <v>6870000</v>
      </c>
      <c r="E17" s="4">
        <v>6870000</v>
      </c>
      <c r="F17" s="4">
        <f t="shared" si="0"/>
        <v>0</v>
      </c>
      <c r="G17" s="4">
        <v>6870000</v>
      </c>
      <c r="H17" s="4">
        <v>6396807.6100000003</v>
      </c>
      <c r="I17" s="4"/>
      <c r="J17" s="4">
        <v>438194.45</v>
      </c>
      <c r="K17" s="4">
        <f t="shared" si="1"/>
        <v>438194.45</v>
      </c>
      <c r="L17" s="4">
        <f t="shared" si="2"/>
        <v>6835002.0600000005</v>
      </c>
      <c r="M17" s="4">
        <f t="shared" si="3"/>
        <v>34997.939999999478</v>
      </c>
      <c r="N17" s="4"/>
      <c r="O17" s="4">
        <f t="shared" si="4"/>
        <v>0</v>
      </c>
      <c r="P17" s="4">
        <f t="shared" si="5"/>
        <v>34997.939999999478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11"/>
      <c r="W17" s="4">
        <f t="shared" si="10"/>
        <v>0</v>
      </c>
      <c r="X17" s="4"/>
      <c r="Y17" s="4"/>
      <c r="Z17" s="3"/>
      <c r="AA17" s="87" t="s">
        <v>1476</v>
      </c>
      <c r="AB17" s="3">
        <v>746000</v>
      </c>
      <c r="AC17" s="210"/>
      <c r="AD17" s="392"/>
      <c r="AE17" s="392"/>
      <c r="AF17" s="330"/>
      <c r="AG17" s="333"/>
      <c r="AH17" s="28"/>
      <c r="AI17" s="191"/>
      <c r="AJ17" s="28"/>
      <c r="AK17" s="28"/>
      <c r="AL17" s="28"/>
      <c r="AM17" s="28"/>
    </row>
    <row r="18" spans="1:39" s="5" customFormat="1" ht="35.1" customHeight="1">
      <c r="A18" s="3">
        <f t="shared" si="9"/>
        <v>12</v>
      </c>
      <c r="B18" s="3">
        <v>1504</v>
      </c>
      <c r="C18" s="3" t="s">
        <v>93</v>
      </c>
      <c r="D18" s="4">
        <f>1700000+300000</f>
        <v>2000000</v>
      </c>
      <c r="E18" s="4">
        <v>1700000</v>
      </c>
      <c r="F18" s="4">
        <f t="shared" si="0"/>
        <v>300000</v>
      </c>
      <c r="G18" s="4">
        <v>1500000</v>
      </c>
      <c r="H18" s="4">
        <v>1424566.83</v>
      </c>
      <c r="I18" s="4"/>
      <c r="J18" s="4">
        <v>6500.72</v>
      </c>
      <c r="K18" s="4">
        <f t="shared" si="1"/>
        <v>6500.72</v>
      </c>
      <c r="L18" s="4">
        <f t="shared" si="2"/>
        <v>1431067.55</v>
      </c>
      <c r="M18" s="4">
        <f t="shared" si="3"/>
        <v>68932.449999999953</v>
      </c>
      <c r="N18" s="4">
        <f>500000-100000</f>
        <v>400000</v>
      </c>
      <c r="O18" s="4">
        <f t="shared" si="4"/>
        <v>100000</v>
      </c>
      <c r="P18" s="4">
        <f t="shared" si="5"/>
        <v>68932.449999999953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400000</v>
      </c>
      <c r="V18" s="11">
        <f>U18-W18-X18-Y18-Z18</f>
        <v>400000</v>
      </c>
      <c r="W18" s="4"/>
      <c r="X18" s="4"/>
      <c r="Y18" s="4"/>
      <c r="Z18" s="3"/>
      <c r="AA18" s="3" t="s">
        <v>1199</v>
      </c>
      <c r="AB18" s="3">
        <v>746000</v>
      </c>
      <c r="AC18" s="210"/>
      <c r="AD18" s="392"/>
      <c r="AE18" s="392"/>
      <c r="AF18" s="330"/>
      <c r="AG18" s="333"/>
      <c r="AH18" s="28"/>
      <c r="AI18" s="191"/>
      <c r="AJ18" s="28"/>
      <c r="AK18" s="28"/>
      <c r="AL18" s="28"/>
      <c r="AM18" s="28"/>
    </row>
    <row r="19" spans="1:39" s="5" customFormat="1" ht="35.1" customHeight="1">
      <c r="A19" s="3">
        <f t="shared" si="9"/>
        <v>13</v>
      </c>
      <c r="B19" s="3">
        <v>1579</v>
      </c>
      <c r="C19" s="3" t="s">
        <v>614</v>
      </c>
      <c r="D19" s="4">
        <v>170000</v>
      </c>
      <c r="E19" s="4">
        <v>170000</v>
      </c>
      <c r="F19" s="4">
        <f t="shared" si="0"/>
        <v>0</v>
      </c>
      <c r="G19" s="4">
        <v>170000</v>
      </c>
      <c r="H19" s="4">
        <v>146641.28</v>
      </c>
      <c r="I19" s="4"/>
      <c r="J19" s="4">
        <v>14237.18</v>
      </c>
      <c r="K19" s="4">
        <f t="shared" si="1"/>
        <v>14237.18</v>
      </c>
      <c r="L19" s="4">
        <f t="shared" si="2"/>
        <v>160878.46</v>
      </c>
      <c r="M19" s="4">
        <f t="shared" si="3"/>
        <v>9121.5400000000081</v>
      </c>
      <c r="N19" s="4"/>
      <c r="O19" s="4">
        <f t="shared" si="4"/>
        <v>0</v>
      </c>
      <c r="P19" s="4">
        <f t="shared" si="5"/>
        <v>9121.5400000000081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11"/>
      <c r="W19" s="4">
        <f t="shared" si="10"/>
        <v>0</v>
      </c>
      <c r="X19" s="4"/>
      <c r="Y19" s="4"/>
      <c r="Z19" s="3"/>
      <c r="AA19" s="3"/>
      <c r="AB19" s="3">
        <v>870000</v>
      </c>
      <c r="AC19" s="210"/>
      <c r="AD19" s="392"/>
      <c r="AE19" s="392"/>
      <c r="AF19" s="330"/>
      <c r="AG19" s="19"/>
      <c r="AH19" s="19"/>
      <c r="AI19" s="28"/>
      <c r="AJ19" s="29"/>
      <c r="AK19" s="29"/>
      <c r="AL19" s="29"/>
      <c r="AM19" s="29"/>
    </row>
    <row r="20" spans="1:39" s="5" customFormat="1" ht="35.1" customHeight="1">
      <c r="A20" s="3">
        <f t="shared" si="9"/>
        <v>14</v>
      </c>
      <c r="B20" s="3">
        <v>1598</v>
      </c>
      <c r="C20" s="3" t="s">
        <v>78</v>
      </c>
      <c r="D20" s="4">
        <f>589500+135000</f>
        <v>724500</v>
      </c>
      <c r="E20" s="4">
        <v>589500</v>
      </c>
      <c r="F20" s="4">
        <f t="shared" si="0"/>
        <v>135000</v>
      </c>
      <c r="G20" s="4">
        <v>449500</v>
      </c>
      <c r="H20" s="4">
        <v>327398.75</v>
      </c>
      <c r="I20" s="4"/>
      <c r="J20" s="4">
        <v>269.57</v>
      </c>
      <c r="K20" s="4">
        <f t="shared" si="1"/>
        <v>269.57</v>
      </c>
      <c r="L20" s="4">
        <f t="shared" si="2"/>
        <v>327668.32</v>
      </c>
      <c r="M20" s="4">
        <f t="shared" si="3"/>
        <v>261831.67999999999</v>
      </c>
      <c r="N20" s="4">
        <v>135000</v>
      </c>
      <c r="O20" s="4">
        <f t="shared" si="4"/>
        <v>0</v>
      </c>
      <c r="P20" s="4">
        <f t="shared" si="5"/>
        <v>121831.67999999999</v>
      </c>
      <c r="Q20" s="4">
        <v>140000</v>
      </c>
      <c r="R20" s="4"/>
      <c r="S20" s="4">
        <f t="shared" si="6"/>
        <v>140000</v>
      </c>
      <c r="T20" s="4">
        <f t="shared" si="7"/>
        <v>0</v>
      </c>
      <c r="U20" s="4">
        <f t="shared" si="8"/>
        <v>135000</v>
      </c>
      <c r="V20" s="11"/>
      <c r="W20" s="4">
        <f t="shared" si="10"/>
        <v>27000</v>
      </c>
      <c r="X20" s="4"/>
      <c r="Y20" s="4"/>
      <c r="Z20" s="4">
        <v>108000</v>
      </c>
      <c r="AA20" s="3" t="s">
        <v>1361</v>
      </c>
      <c r="AB20" s="3">
        <v>870000</v>
      </c>
      <c r="AC20" s="210"/>
      <c r="AD20" s="392"/>
      <c r="AE20" s="392"/>
      <c r="AF20" s="330"/>
      <c r="AG20" s="19"/>
      <c r="AH20" s="19"/>
      <c r="AI20" s="28"/>
      <c r="AJ20" s="29"/>
      <c r="AK20" s="29"/>
      <c r="AL20" s="29"/>
      <c r="AM20" s="29"/>
    </row>
    <row r="21" spans="1:39" s="5" customFormat="1" ht="35.1" customHeight="1">
      <c r="A21" s="3">
        <f t="shared" si="9"/>
        <v>15</v>
      </c>
      <c r="B21" s="3">
        <v>1629</v>
      </c>
      <c r="C21" s="3" t="s">
        <v>94</v>
      </c>
      <c r="D21" s="4">
        <v>450000</v>
      </c>
      <c r="E21" s="4">
        <v>450000</v>
      </c>
      <c r="F21" s="4">
        <f t="shared" si="0"/>
        <v>0</v>
      </c>
      <c r="G21" s="4">
        <v>450000</v>
      </c>
      <c r="H21" s="4">
        <v>349830.63</v>
      </c>
      <c r="I21" s="4"/>
      <c r="J21" s="4">
        <v>100168.97</v>
      </c>
      <c r="K21" s="4">
        <f t="shared" si="1"/>
        <v>100168.97</v>
      </c>
      <c r="L21" s="4">
        <f t="shared" si="2"/>
        <v>449999.6</v>
      </c>
      <c r="M21" s="4">
        <f t="shared" si="3"/>
        <v>0.40000000002328306</v>
      </c>
      <c r="N21" s="4"/>
      <c r="O21" s="4">
        <f t="shared" si="4"/>
        <v>0</v>
      </c>
      <c r="P21" s="4">
        <f t="shared" si="5"/>
        <v>0.40000000002328306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0</v>
      </c>
      <c r="V21" s="11"/>
      <c r="W21" s="4">
        <f t="shared" si="10"/>
        <v>0</v>
      </c>
      <c r="X21" s="4"/>
      <c r="Y21" s="4"/>
      <c r="Z21" s="3"/>
      <c r="AA21" s="3"/>
      <c r="AB21" s="3">
        <v>746000</v>
      </c>
      <c r="AC21" s="210"/>
      <c r="AD21" s="392"/>
      <c r="AE21" s="392"/>
      <c r="AF21" s="330"/>
      <c r="AG21" s="333"/>
      <c r="AH21" s="28"/>
      <c r="AI21" s="191"/>
      <c r="AJ21" s="28"/>
      <c r="AK21" s="29"/>
      <c r="AL21" s="29"/>
      <c r="AM21" s="29"/>
    </row>
    <row r="22" spans="1:39" s="5" customFormat="1" ht="35.1" customHeight="1">
      <c r="A22" s="3">
        <f t="shared" si="9"/>
        <v>16</v>
      </c>
      <c r="B22" s="3">
        <v>1680</v>
      </c>
      <c r="C22" s="3" t="s">
        <v>95</v>
      </c>
      <c r="D22" s="4">
        <v>950000</v>
      </c>
      <c r="E22" s="4">
        <v>950000</v>
      </c>
      <c r="F22" s="4">
        <f t="shared" si="0"/>
        <v>0</v>
      </c>
      <c r="G22" s="4">
        <v>500000</v>
      </c>
      <c r="H22" s="4">
        <v>208809.82</v>
      </c>
      <c r="I22" s="4"/>
      <c r="J22" s="4">
        <v>258336</v>
      </c>
      <c r="K22" s="4">
        <f t="shared" si="1"/>
        <v>258336</v>
      </c>
      <c r="L22" s="4">
        <f t="shared" si="2"/>
        <v>467145.82</v>
      </c>
      <c r="M22" s="4">
        <f t="shared" si="3"/>
        <v>32854.179999999993</v>
      </c>
      <c r="N22" s="4">
        <v>450000</v>
      </c>
      <c r="O22" s="4">
        <f t="shared" si="4"/>
        <v>0</v>
      </c>
      <c r="P22" s="4">
        <f t="shared" si="5"/>
        <v>32854.179999999993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450000</v>
      </c>
      <c r="V22" s="11"/>
      <c r="W22" s="4">
        <f t="shared" si="10"/>
        <v>450000</v>
      </c>
      <c r="X22" s="4"/>
      <c r="Y22" s="4"/>
      <c r="Z22" s="3"/>
      <c r="AA22" s="3" t="s">
        <v>1365</v>
      </c>
      <c r="AB22" s="3">
        <v>746000</v>
      </c>
      <c r="AC22" s="210"/>
      <c r="AD22" s="392"/>
      <c r="AE22" s="392"/>
      <c r="AF22" s="330"/>
      <c r="AG22" s="333"/>
      <c r="AH22" s="28"/>
      <c r="AI22" s="191"/>
      <c r="AJ22" s="28"/>
      <c r="AK22" s="29"/>
      <c r="AL22" s="29"/>
      <c r="AM22" s="29"/>
    </row>
    <row r="23" spans="1:39" s="5" customFormat="1" ht="35.1" customHeight="1">
      <c r="A23" s="3">
        <f t="shared" si="9"/>
        <v>17</v>
      </c>
      <c r="B23" s="3">
        <v>1817</v>
      </c>
      <c r="C23" s="3" t="s">
        <v>143</v>
      </c>
      <c r="D23" s="4">
        <v>872000</v>
      </c>
      <c r="E23" s="4">
        <v>872000</v>
      </c>
      <c r="F23" s="4">
        <f>D23-E23</f>
        <v>0</v>
      </c>
      <c r="G23" s="4">
        <v>740000</v>
      </c>
      <c r="H23" s="4">
        <v>600131.54</v>
      </c>
      <c r="I23" s="4"/>
      <c r="J23" s="4">
        <v>38789.65</v>
      </c>
      <c r="K23" s="4">
        <f t="shared" si="1"/>
        <v>38789.65</v>
      </c>
      <c r="L23" s="4">
        <f t="shared" si="2"/>
        <v>638921.19000000006</v>
      </c>
      <c r="M23" s="4">
        <f t="shared" si="3"/>
        <v>101078.80999999994</v>
      </c>
      <c r="N23" s="4">
        <v>132000</v>
      </c>
      <c r="O23" s="4">
        <f t="shared" si="4"/>
        <v>0</v>
      </c>
      <c r="P23" s="4">
        <f t="shared" si="5"/>
        <v>101078.80999999994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132000</v>
      </c>
      <c r="V23" s="11"/>
      <c r="W23" s="4">
        <f>U23-V23-Y23-Z23</f>
        <v>0</v>
      </c>
      <c r="X23" s="4"/>
      <c r="Y23" s="4"/>
      <c r="Z23" s="4">
        <v>132000</v>
      </c>
      <c r="AA23" s="3" t="s">
        <v>1200</v>
      </c>
      <c r="AB23" s="3">
        <v>810000</v>
      </c>
      <c r="AC23" s="210"/>
      <c r="AD23" s="392"/>
      <c r="AE23" s="392"/>
      <c r="AF23" s="330"/>
      <c r="AG23" s="19"/>
      <c r="AH23" s="19"/>
      <c r="AI23" s="28"/>
      <c r="AJ23" s="29"/>
      <c r="AK23" s="29"/>
      <c r="AL23" s="29"/>
      <c r="AM23" s="29"/>
    </row>
    <row r="24" spans="1:39" s="5" customFormat="1" ht="35.1" customHeight="1">
      <c r="A24" s="3">
        <f t="shared" si="9"/>
        <v>18</v>
      </c>
      <c r="B24" s="3">
        <v>1831</v>
      </c>
      <c r="C24" s="3" t="s">
        <v>178</v>
      </c>
      <c r="D24" s="4">
        <v>146059</v>
      </c>
      <c r="E24" s="4">
        <v>146059</v>
      </c>
      <c r="F24" s="4">
        <f t="shared" si="0"/>
        <v>0</v>
      </c>
      <c r="G24" s="4">
        <v>146059</v>
      </c>
      <c r="H24" s="4">
        <v>38025</v>
      </c>
      <c r="I24" s="4"/>
      <c r="J24" s="4"/>
      <c r="K24" s="4">
        <f t="shared" si="1"/>
        <v>0</v>
      </c>
      <c r="L24" s="4">
        <f t="shared" si="2"/>
        <v>38025</v>
      </c>
      <c r="M24" s="4">
        <f>P24+S24-100000</f>
        <v>8034</v>
      </c>
      <c r="N24" s="4">
        <v>100000</v>
      </c>
      <c r="O24" s="4">
        <f t="shared" si="4"/>
        <v>0</v>
      </c>
      <c r="P24" s="4">
        <f t="shared" si="5"/>
        <v>108034</v>
      </c>
      <c r="Q24" s="4"/>
      <c r="R24" s="4"/>
      <c r="S24" s="4">
        <f t="shared" si="6"/>
        <v>0</v>
      </c>
      <c r="T24" s="4">
        <f t="shared" si="7"/>
        <v>100000</v>
      </c>
      <c r="U24" s="4">
        <f t="shared" si="8"/>
        <v>0</v>
      </c>
      <c r="V24" s="11"/>
      <c r="W24" s="4">
        <f t="shared" si="10"/>
        <v>0</v>
      </c>
      <c r="X24" s="4"/>
      <c r="Y24" s="4"/>
      <c r="Z24" s="3"/>
      <c r="AA24" s="87" t="s">
        <v>1330</v>
      </c>
      <c r="AB24" s="3">
        <v>870000</v>
      </c>
      <c r="AC24" s="210"/>
      <c r="AD24" s="392"/>
      <c r="AE24" s="392"/>
      <c r="AF24" s="330"/>
      <c r="AG24" s="19"/>
      <c r="AH24" s="19"/>
      <c r="AI24" s="28"/>
      <c r="AJ24" s="29"/>
      <c r="AK24" s="29"/>
      <c r="AL24" s="29"/>
      <c r="AM24" s="29"/>
    </row>
    <row r="25" spans="1:39" s="5" customFormat="1" ht="35.1" customHeight="1">
      <c r="A25" s="3">
        <f t="shared" si="9"/>
        <v>19</v>
      </c>
      <c r="B25" s="3">
        <v>1866</v>
      </c>
      <c r="C25" s="3" t="s">
        <v>181</v>
      </c>
      <c r="D25" s="4">
        <v>300000</v>
      </c>
      <c r="E25" s="4">
        <v>300000</v>
      </c>
      <c r="F25" s="4">
        <f t="shared" si="0"/>
        <v>0</v>
      </c>
      <c r="G25" s="4">
        <v>225000</v>
      </c>
      <c r="H25" s="4">
        <v>168263.54</v>
      </c>
      <c r="I25" s="4"/>
      <c r="J25" s="4">
        <v>30296.45</v>
      </c>
      <c r="K25" s="4">
        <f t="shared" si="1"/>
        <v>30296.45</v>
      </c>
      <c r="L25" s="4">
        <f t="shared" si="2"/>
        <v>198559.99000000002</v>
      </c>
      <c r="M25" s="4">
        <f t="shared" si="3"/>
        <v>26440.00999999998</v>
      </c>
      <c r="N25" s="4">
        <v>75000</v>
      </c>
      <c r="O25" s="4">
        <f t="shared" si="4"/>
        <v>0</v>
      </c>
      <c r="P25" s="4">
        <f t="shared" si="5"/>
        <v>26440.00999999998</v>
      </c>
      <c r="Q25" s="4"/>
      <c r="R25" s="4"/>
      <c r="S25" s="4">
        <f t="shared" si="6"/>
        <v>0</v>
      </c>
      <c r="T25" s="4">
        <f t="shared" si="7"/>
        <v>0</v>
      </c>
      <c r="U25" s="4">
        <f t="shared" si="8"/>
        <v>75000</v>
      </c>
      <c r="V25" s="11"/>
      <c r="W25" s="4">
        <f t="shared" si="10"/>
        <v>75000</v>
      </c>
      <c r="X25" s="4"/>
      <c r="Y25" s="4"/>
      <c r="Z25" s="3"/>
      <c r="AA25" s="87" t="s">
        <v>543</v>
      </c>
      <c r="AB25" s="3">
        <v>870000</v>
      </c>
      <c r="AC25" s="210"/>
      <c r="AD25" s="392"/>
      <c r="AE25" s="392"/>
      <c r="AF25" s="330"/>
      <c r="AG25" s="19"/>
      <c r="AH25" s="19"/>
      <c r="AI25" s="28"/>
      <c r="AJ25" s="29"/>
      <c r="AK25" s="29"/>
      <c r="AL25" s="29"/>
      <c r="AM25" s="29"/>
    </row>
    <row r="26" spans="1:39" s="5" customFormat="1" ht="35.1" customHeight="1">
      <c r="A26" s="3">
        <f t="shared" si="9"/>
        <v>20</v>
      </c>
      <c r="B26" s="3">
        <v>1899</v>
      </c>
      <c r="C26" s="3" t="s">
        <v>197</v>
      </c>
      <c r="D26" s="4">
        <f>500000+270000</f>
        <v>770000</v>
      </c>
      <c r="E26" s="4">
        <v>500000</v>
      </c>
      <c r="F26" s="4">
        <f t="shared" si="0"/>
        <v>270000</v>
      </c>
      <c r="G26" s="4">
        <v>470000</v>
      </c>
      <c r="H26" s="4">
        <v>192236.45</v>
      </c>
      <c r="I26" s="4"/>
      <c r="J26" s="4"/>
      <c r="K26" s="4">
        <f t="shared" si="1"/>
        <v>0</v>
      </c>
      <c r="L26" s="4">
        <f t="shared" si="2"/>
        <v>192236.45</v>
      </c>
      <c r="M26" s="4">
        <f t="shared" si="3"/>
        <v>277763.55</v>
      </c>
      <c r="N26" s="4">
        <f>300000-100000</f>
        <v>200000</v>
      </c>
      <c r="O26" s="4">
        <f t="shared" si="4"/>
        <v>100000.00000000006</v>
      </c>
      <c r="P26" s="4">
        <f t="shared" si="5"/>
        <v>277763.55</v>
      </c>
      <c r="Q26" s="4"/>
      <c r="R26" s="4"/>
      <c r="S26" s="4">
        <f t="shared" si="6"/>
        <v>0</v>
      </c>
      <c r="T26" s="4">
        <f t="shared" si="7"/>
        <v>0</v>
      </c>
      <c r="U26" s="4">
        <f t="shared" si="8"/>
        <v>200000</v>
      </c>
      <c r="V26" s="11"/>
      <c r="W26" s="4">
        <f t="shared" si="10"/>
        <v>200000</v>
      </c>
      <c r="X26" s="4"/>
      <c r="Y26" s="4"/>
      <c r="Z26" s="3"/>
      <c r="AA26" s="3" t="s">
        <v>544</v>
      </c>
      <c r="AB26" s="3">
        <v>870000</v>
      </c>
      <c r="AC26" s="210"/>
      <c r="AD26" s="392"/>
      <c r="AE26" s="392"/>
      <c r="AF26" s="330"/>
      <c r="AG26" s="333"/>
      <c r="AH26" s="28"/>
      <c r="AI26" s="191"/>
      <c r="AJ26" s="28"/>
      <c r="AK26" s="29"/>
      <c r="AL26" s="29"/>
      <c r="AM26" s="29"/>
    </row>
    <row r="27" spans="1:39" s="5" customFormat="1" ht="35.1" customHeight="1">
      <c r="A27" s="3">
        <f t="shared" si="9"/>
        <v>21</v>
      </c>
      <c r="B27" s="3">
        <v>1922</v>
      </c>
      <c r="C27" s="3" t="s">
        <v>179</v>
      </c>
      <c r="D27" s="4">
        <v>330000</v>
      </c>
      <c r="E27" s="4">
        <v>330000</v>
      </c>
      <c r="F27" s="4">
        <f t="shared" si="0"/>
        <v>0</v>
      </c>
      <c r="G27" s="4">
        <v>200000</v>
      </c>
      <c r="H27" s="4">
        <v>52334.19</v>
      </c>
      <c r="I27" s="4"/>
      <c r="J27" s="4">
        <v>30210.799999999999</v>
      </c>
      <c r="K27" s="4">
        <f t="shared" si="1"/>
        <v>30210.799999999999</v>
      </c>
      <c r="L27" s="4">
        <f t="shared" si="2"/>
        <v>82544.990000000005</v>
      </c>
      <c r="M27" s="4">
        <f t="shared" si="3"/>
        <v>117455.01</v>
      </c>
      <c r="N27" s="4"/>
      <c r="O27" s="4">
        <f t="shared" si="4"/>
        <v>130000.00000000001</v>
      </c>
      <c r="P27" s="4">
        <f t="shared" si="5"/>
        <v>117455.01</v>
      </c>
      <c r="Q27" s="4"/>
      <c r="R27" s="4"/>
      <c r="S27" s="4">
        <f t="shared" si="6"/>
        <v>0</v>
      </c>
      <c r="T27" s="4">
        <f t="shared" si="7"/>
        <v>0</v>
      </c>
      <c r="U27" s="4">
        <f t="shared" si="8"/>
        <v>0</v>
      </c>
      <c r="V27" s="11"/>
      <c r="W27" s="4">
        <f t="shared" si="10"/>
        <v>0</v>
      </c>
      <c r="X27" s="4"/>
      <c r="Y27" s="4"/>
      <c r="Z27" s="3"/>
      <c r="AA27" s="4"/>
      <c r="AB27" s="3">
        <v>870000</v>
      </c>
      <c r="AC27" s="210"/>
      <c r="AD27" s="392"/>
      <c r="AE27" s="392"/>
      <c r="AF27" s="330"/>
      <c r="AG27" s="19"/>
      <c r="AH27" s="19"/>
      <c r="AI27" s="28"/>
      <c r="AJ27" s="29"/>
      <c r="AK27" s="29"/>
      <c r="AL27" s="29"/>
      <c r="AM27" s="29"/>
    </row>
    <row r="28" spans="1:39" s="5" customFormat="1" ht="35.1" customHeight="1">
      <c r="A28" s="3">
        <f t="shared" si="9"/>
        <v>22</v>
      </c>
      <c r="B28" s="3">
        <v>1971</v>
      </c>
      <c r="C28" s="3" t="s">
        <v>198</v>
      </c>
      <c r="D28" s="4">
        <v>500000</v>
      </c>
      <c r="E28" s="4">
        <v>500000</v>
      </c>
      <c r="F28" s="4">
        <f t="shared" si="0"/>
        <v>0</v>
      </c>
      <c r="G28" s="4">
        <v>500000</v>
      </c>
      <c r="H28" s="4">
        <v>235730.91</v>
      </c>
      <c r="I28" s="4"/>
      <c r="J28" s="4"/>
      <c r="K28" s="4">
        <f t="shared" si="1"/>
        <v>0</v>
      </c>
      <c r="L28" s="4">
        <f t="shared" si="2"/>
        <v>235730.91</v>
      </c>
      <c r="M28" s="4">
        <f t="shared" si="3"/>
        <v>264269.08999999997</v>
      </c>
      <c r="N28" s="4"/>
      <c r="O28" s="4">
        <f t="shared" si="4"/>
        <v>0</v>
      </c>
      <c r="P28" s="4">
        <f t="shared" si="5"/>
        <v>264269.08999999997</v>
      </c>
      <c r="Q28" s="4"/>
      <c r="R28" s="4"/>
      <c r="S28" s="4">
        <f t="shared" si="6"/>
        <v>0</v>
      </c>
      <c r="T28" s="4">
        <f t="shared" si="7"/>
        <v>0</v>
      </c>
      <c r="U28" s="4">
        <f t="shared" si="8"/>
        <v>0</v>
      </c>
      <c r="V28" s="11"/>
      <c r="W28" s="4">
        <f t="shared" si="10"/>
        <v>0</v>
      </c>
      <c r="X28" s="4"/>
      <c r="Y28" s="4"/>
      <c r="Z28" s="3"/>
      <c r="AA28" s="326" t="s">
        <v>1201</v>
      </c>
      <c r="AB28" s="3">
        <v>746000</v>
      </c>
      <c r="AC28" s="210"/>
      <c r="AD28" s="392"/>
      <c r="AE28" s="392"/>
      <c r="AF28" s="330"/>
      <c r="AG28" s="333"/>
      <c r="AH28" s="28"/>
      <c r="AI28" s="191"/>
      <c r="AJ28" s="28"/>
      <c r="AK28" s="29"/>
      <c r="AL28" s="29"/>
      <c r="AM28" s="29"/>
    </row>
    <row r="29" spans="1:39" s="5" customFormat="1" ht="35.1" customHeight="1">
      <c r="A29" s="3">
        <f t="shared" si="9"/>
        <v>23</v>
      </c>
      <c r="B29" s="3">
        <v>1973</v>
      </c>
      <c r="C29" s="3" t="s">
        <v>199</v>
      </c>
      <c r="D29" s="4">
        <v>1800000</v>
      </c>
      <c r="E29" s="4">
        <v>1800000</v>
      </c>
      <c r="F29" s="4">
        <f t="shared" si="0"/>
        <v>0</v>
      </c>
      <c r="G29" s="4">
        <v>900000</v>
      </c>
      <c r="H29" s="4">
        <v>445953.15</v>
      </c>
      <c r="I29" s="4"/>
      <c r="J29" s="4">
        <v>148006.12</v>
      </c>
      <c r="K29" s="4">
        <f t="shared" si="1"/>
        <v>148006.12</v>
      </c>
      <c r="L29" s="4">
        <f t="shared" si="2"/>
        <v>593959.27</v>
      </c>
      <c r="M29" s="4">
        <f t="shared" si="3"/>
        <v>306040.73</v>
      </c>
      <c r="N29" s="4">
        <f>200000-100000</f>
        <v>100000</v>
      </c>
      <c r="O29" s="4">
        <f t="shared" si="4"/>
        <v>800000</v>
      </c>
      <c r="P29" s="4">
        <f t="shared" si="5"/>
        <v>306040.73</v>
      </c>
      <c r="Q29" s="4"/>
      <c r="R29" s="4"/>
      <c r="S29" s="4">
        <f t="shared" si="6"/>
        <v>0</v>
      </c>
      <c r="T29" s="4">
        <f t="shared" si="7"/>
        <v>0</v>
      </c>
      <c r="U29" s="4">
        <f t="shared" si="8"/>
        <v>100000</v>
      </c>
      <c r="V29" s="11"/>
      <c r="W29" s="4">
        <f t="shared" si="10"/>
        <v>100000</v>
      </c>
      <c r="X29" s="4"/>
      <c r="Y29" s="4"/>
      <c r="Z29" s="3"/>
      <c r="AA29" s="3" t="s">
        <v>799</v>
      </c>
      <c r="AB29" s="3">
        <v>742000</v>
      </c>
      <c r="AC29" s="210"/>
      <c r="AD29" s="392"/>
      <c r="AE29" s="392"/>
      <c r="AF29" s="330"/>
      <c r="AG29" s="333"/>
      <c r="AH29" s="28"/>
      <c r="AI29" s="191"/>
      <c r="AJ29" s="28"/>
      <c r="AK29" s="29"/>
      <c r="AL29" s="29"/>
      <c r="AM29" s="29"/>
    </row>
    <row r="30" spans="1:39" s="5" customFormat="1" ht="35.1" customHeight="1">
      <c r="A30" s="3">
        <f t="shared" si="9"/>
        <v>24</v>
      </c>
      <c r="B30" s="3">
        <v>1989</v>
      </c>
      <c r="C30" s="3" t="s">
        <v>792</v>
      </c>
      <c r="D30" s="4">
        <v>860000</v>
      </c>
      <c r="E30" s="4">
        <v>860000</v>
      </c>
      <c r="F30" s="4">
        <f t="shared" si="0"/>
        <v>0</v>
      </c>
      <c r="G30" s="4">
        <v>655000</v>
      </c>
      <c r="H30" s="4">
        <v>542461.30000000005</v>
      </c>
      <c r="I30" s="4"/>
      <c r="J30" s="4"/>
      <c r="K30" s="4">
        <f t="shared" si="1"/>
        <v>0</v>
      </c>
      <c r="L30" s="4">
        <f t="shared" si="2"/>
        <v>542461.30000000005</v>
      </c>
      <c r="M30" s="4">
        <f>P30+S30-205000</f>
        <v>112538.69999999995</v>
      </c>
      <c r="N30" s="4">
        <v>205000</v>
      </c>
      <c r="O30" s="4">
        <f t="shared" si="4"/>
        <v>0</v>
      </c>
      <c r="P30" s="4">
        <f t="shared" si="5"/>
        <v>112538.69999999995</v>
      </c>
      <c r="Q30" s="4">
        <v>205000</v>
      </c>
      <c r="R30" s="4"/>
      <c r="S30" s="4">
        <f t="shared" si="6"/>
        <v>205000</v>
      </c>
      <c r="T30" s="4">
        <f t="shared" si="7"/>
        <v>205000</v>
      </c>
      <c r="U30" s="4">
        <f t="shared" si="8"/>
        <v>0</v>
      </c>
      <c r="V30" s="11">
        <f>U30-W30-X30-Y30-Z30</f>
        <v>0</v>
      </c>
      <c r="W30" s="4"/>
      <c r="X30" s="4"/>
      <c r="Y30" s="4"/>
      <c r="Z30" s="3"/>
      <c r="AA30" s="87" t="s">
        <v>1202</v>
      </c>
      <c r="AB30" s="3">
        <v>746000</v>
      </c>
      <c r="AC30" s="210"/>
      <c r="AD30" s="392"/>
      <c r="AE30" s="392"/>
      <c r="AF30" s="330"/>
      <c r="AG30" s="333"/>
      <c r="AH30" s="28"/>
      <c r="AI30" s="191"/>
      <c r="AJ30" s="28"/>
      <c r="AK30" s="29"/>
      <c r="AL30" s="29"/>
      <c r="AM30" s="29"/>
    </row>
    <row r="31" spans="1:39" s="5" customFormat="1" ht="35.1" customHeight="1">
      <c r="A31" s="3">
        <f t="shared" si="9"/>
        <v>25</v>
      </c>
      <c r="B31" s="3">
        <v>2035</v>
      </c>
      <c r="C31" s="3" t="s">
        <v>231</v>
      </c>
      <c r="D31" s="4">
        <v>953000</v>
      </c>
      <c r="E31" s="4">
        <v>953000</v>
      </c>
      <c r="F31" s="4">
        <f t="shared" si="0"/>
        <v>0</v>
      </c>
      <c r="G31" s="4">
        <v>953000</v>
      </c>
      <c r="H31" s="4">
        <v>157768.07999999999</v>
      </c>
      <c r="I31" s="4"/>
      <c r="J31" s="4">
        <v>795216.85</v>
      </c>
      <c r="K31" s="4">
        <f t="shared" si="1"/>
        <v>795216.85</v>
      </c>
      <c r="L31" s="4">
        <f t="shared" si="2"/>
        <v>952984.92999999993</v>
      </c>
      <c r="M31" s="4">
        <f t="shared" si="3"/>
        <v>15.070000000065193</v>
      </c>
      <c r="N31" s="4"/>
      <c r="O31" s="4">
        <f t="shared" si="4"/>
        <v>0</v>
      </c>
      <c r="P31" s="4">
        <f t="shared" si="5"/>
        <v>15.070000000065193</v>
      </c>
      <c r="Q31" s="4"/>
      <c r="R31" s="4"/>
      <c r="S31" s="4">
        <f t="shared" si="6"/>
        <v>0</v>
      </c>
      <c r="T31" s="4">
        <f t="shared" si="7"/>
        <v>0</v>
      </c>
      <c r="U31" s="4">
        <f t="shared" si="8"/>
        <v>0</v>
      </c>
      <c r="V31" s="11"/>
      <c r="W31" s="4">
        <f t="shared" si="10"/>
        <v>0</v>
      </c>
      <c r="X31" s="4"/>
      <c r="Y31" s="4"/>
      <c r="Z31" s="3"/>
      <c r="AA31" s="3"/>
      <c r="AB31" s="3">
        <v>746000</v>
      </c>
      <c r="AC31" s="210"/>
      <c r="AD31" s="392"/>
      <c r="AE31" s="392"/>
      <c r="AF31" s="330"/>
      <c r="AG31" s="333"/>
      <c r="AH31" s="28"/>
      <c r="AI31" s="191"/>
      <c r="AJ31" s="28"/>
      <c r="AK31" s="28"/>
      <c r="AL31" s="28"/>
      <c r="AM31" s="28"/>
    </row>
    <row r="32" spans="1:39" s="5" customFormat="1" ht="35.1" customHeight="1">
      <c r="A32" s="3">
        <f t="shared" si="9"/>
        <v>26</v>
      </c>
      <c r="B32" s="3">
        <v>2036</v>
      </c>
      <c r="C32" s="3" t="s">
        <v>546</v>
      </c>
      <c r="D32" s="4">
        <f>1120000+500000-500000</f>
        <v>1120000</v>
      </c>
      <c r="E32" s="4">
        <v>1120000</v>
      </c>
      <c r="F32" s="4">
        <f t="shared" si="0"/>
        <v>0</v>
      </c>
      <c r="G32" s="4">
        <v>1120000</v>
      </c>
      <c r="H32" s="4">
        <v>547371.93999999994</v>
      </c>
      <c r="I32" s="4"/>
      <c r="J32" s="4">
        <v>572579.85</v>
      </c>
      <c r="K32" s="4">
        <f t="shared" si="1"/>
        <v>572579.85</v>
      </c>
      <c r="L32" s="4">
        <f t="shared" si="2"/>
        <v>1119951.79</v>
      </c>
      <c r="M32" s="4">
        <f t="shared" si="3"/>
        <v>48.209999999962747</v>
      </c>
      <c r="N32" s="4"/>
      <c r="O32" s="4">
        <f t="shared" si="4"/>
        <v>0</v>
      </c>
      <c r="P32" s="4">
        <f t="shared" si="5"/>
        <v>48.209999999962747</v>
      </c>
      <c r="Q32" s="4"/>
      <c r="R32" s="4"/>
      <c r="S32" s="4">
        <f t="shared" si="6"/>
        <v>0</v>
      </c>
      <c r="T32" s="4">
        <f t="shared" si="7"/>
        <v>0</v>
      </c>
      <c r="U32" s="4">
        <f t="shared" si="8"/>
        <v>0</v>
      </c>
      <c r="V32" s="11">
        <f>U32-W32-X32-Y32-Z32</f>
        <v>0</v>
      </c>
      <c r="W32" s="4"/>
      <c r="X32" s="4"/>
      <c r="Y32" s="4"/>
      <c r="Z32" s="3"/>
      <c r="AA32" s="3" t="s">
        <v>1203</v>
      </c>
      <c r="AB32" s="3">
        <v>810000</v>
      </c>
      <c r="AC32" s="210"/>
      <c r="AD32" s="392"/>
      <c r="AE32" s="392"/>
      <c r="AF32" s="330"/>
      <c r="AG32" s="333"/>
      <c r="AH32" s="28"/>
      <c r="AI32" s="191"/>
      <c r="AJ32" s="28"/>
      <c r="AK32" s="28"/>
      <c r="AL32" s="28"/>
      <c r="AM32" s="28"/>
    </row>
    <row r="33" spans="1:39" s="5" customFormat="1" ht="35.1" customHeight="1">
      <c r="A33" s="3">
        <f t="shared" si="9"/>
        <v>27</v>
      </c>
      <c r="B33" s="3">
        <v>2037</v>
      </c>
      <c r="C33" s="3" t="s">
        <v>987</v>
      </c>
      <c r="D33" s="4">
        <v>5000000</v>
      </c>
      <c r="E33" s="4">
        <v>5000000</v>
      </c>
      <c r="F33" s="4">
        <f t="shared" si="0"/>
        <v>0</v>
      </c>
      <c r="G33" s="4">
        <v>800000</v>
      </c>
      <c r="H33" s="4">
        <v>188343.37</v>
      </c>
      <c r="I33" s="4"/>
      <c r="J33" s="4">
        <v>389396.11</v>
      </c>
      <c r="K33" s="4">
        <f t="shared" si="1"/>
        <v>389396.11</v>
      </c>
      <c r="L33" s="4">
        <f t="shared" si="2"/>
        <v>577739.48</v>
      </c>
      <c r="M33" s="4">
        <f>P33+S33-200000</f>
        <v>222260.52000000002</v>
      </c>
      <c r="N33" s="4">
        <f>500000-100000</f>
        <v>400000</v>
      </c>
      <c r="O33" s="4">
        <f t="shared" si="4"/>
        <v>3800000</v>
      </c>
      <c r="P33" s="4">
        <f t="shared" si="5"/>
        <v>222260.52000000002</v>
      </c>
      <c r="Q33" s="4">
        <v>200000</v>
      </c>
      <c r="R33" s="4"/>
      <c r="S33" s="4">
        <f t="shared" si="6"/>
        <v>200000</v>
      </c>
      <c r="T33" s="4">
        <f t="shared" si="7"/>
        <v>200000</v>
      </c>
      <c r="U33" s="4">
        <f t="shared" si="8"/>
        <v>200000</v>
      </c>
      <c r="V33" s="11">
        <f>U33-W33-X33-Y33-Z33</f>
        <v>200000</v>
      </c>
      <c r="W33" s="4"/>
      <c r="X33" s="4"/>
      <c r="Y33" s="4"/>
      <c r="Z33" s="3"/>
      <c r="AA33" s="3" t="s">
        <v>547</v>
      </c>
      <c r="AB33" s="3">
        <v>870000</v>
      </c>
      <c r="AC33" s="210"/>
      <c r="AD33" s="392"/>
      <c r="AE33" s="392"/>
      <c r="AF33" s="330"/>
      <c r="AG33" s="333"/>
      <c r="AH33" s="28"/>
      <c r="AI33" s="191"/>
      <c r="AJ33" s="28"/>
      <c r="AK33" s="29"/>
      <c r="AL33" s="29"/>
      <c r="AM33" s="29"/>
    </row>
    <row r="34" spans="1:39" s="5" customFormat="1" ht="35.1" customHeight="1">
      <c r="A34" s="3">
        <f t="shared" si="9"/>
        <v>28</v>
      </c>
      <c r="B34" s="3">
        <v>2038</v>
      </c>
      <c r="C34" s="3" t="s">
        <v>1204</v>
      </c>
      <c r="D34" s="4">
        <f>2250000+1500000</f>
        <v>3750000</v>
      </c>
      <c r="E34" s="4">
        <v>2250000</v>
      </c>
      <c r="F34" s="4">
        <f t="shared" si="0"/>
        <v>1500000</v>
      </c>
      <c r="G34" s="4">
        <v>2250000</v>
      </c>
      <c r="H34" s="4">
        <v>1369147.68</v>
      </c>
      <c r="I34" s="4"/>
      <c r="J34" s="4">
        <v>866076.87</v>
      </c>
      <c r="K34" s="4">
        <f t="shared" si="1"/>
        <v>866076.87</v>
      </c>
      <c r="L34" s="4">
        <f t="shared" si="2"/>
        <v>2235224.5499999998</v>
      </c>
      <c r="M34" s="4">
        <f t="shared" si="3"/>
        <v>14775.450000000186</v>
      </c>
      <c r="N34" s="4">
        <f>1500000-300000</f>
        <v>1200000</v>
      </c>
      <c r="O34" s="4">
        <f t="shared" si="4"/>
        <v>300000</v>
      </c>
      <c r="P34" s="4">
        <f t="shared" si="5"/>
        <v>14775.450000000186</v>
      </c>
      <c r="Q34" s="4"/>
      <c r="R34" s="4"/>
      <c r="S34" s="4">
        <f t="shared" si="6"/>
        <v>0</v>
      </c>
      <c r="T34" s="4">
        <f t="shared" si="7"/>
        <v>0</v>
      </c>
      <c r="U34" s="4">
        <f t="shared" si="8"/>
        <v>1200000</v>
      </c>
      <c r="V34" s="11">
        <f>U34-W34-X34-Y34-Z34</f>
        <v>1200000</v>
      </c>
      <c r="W34" s="4"/>
      <c r="X34" s="4"/>
      <c r="Y34" s="4"/>
      <c r="Z34" s="3"/>
      <c r="AA34" s="3" t="s">
        <v>1362</v>
      </c>
      <c r="AB34" s="3">
        <v>810000</v>
      </c>
      <c r="AC34" s="210"/>
      <c r="AD34" s="392"/>
      <c r="AE34" s="392"/>
      <c r="AF34" s="330"/>
      <c r="AG34" s="333"/>
      <c r="AH34" s="28"/>
      <c r="AI34" s="191"/>
      <c r="AJ34" s="28"/>
      <c r="AK34" s="29"/>
      <c r="AL34" s="29"/>
      <c r="AM34" s="29"/>
    </row>
    <row r="35" spans="1:39" s="5" customFormat="1" ht="35.1" customHeight="1">
      <c r="A35" s="3">
        <f t="shared" si="9"/>
        <v>29</v>
      </c>
      <c r="B35" s="3">
        <v>2039</v>
      </c>
      <c r="C35" s="3" t="s">
        <v>232</v>
      </c>
      <c r="D35" s="4">
        <v>285000</v>
      </c>
      <c r="E35" s="4">
        <v>285000</v>
      </c>
      <c r="F35" s="4">
        <f t="shared" si="0"/>
        <v>0</v>
      </c>
      <c r="G35" s="4">
        <v>285000</v>
      </c>
      <c r="H35" s="4">
        <v>25514.34</v>
      </c>
      <c r="I35" s="4"/>
      <c r="J35" s="4"/>
      <c r="K35" s="4">
        <f t="shared" si="1"/>
        <v>0</v>
      </c>
      <c r="L35" s="4">
        <f t="shared" si="2"/>
        <v>25514.34</v>
      </c>
      <c r="M35" s="4">
        <f>P35+S35-200000</f>
        <v>59485.66</v>
      </c>
      <c r="N35" s="4">
        <v>200000</v>
      </c>
      <c r="O35" s="4">
        <f t="shared" si="4"/>
        <v>0</v>
      </c>
      <c r="P35" s="4">
        <f t="shared" si="5"/>
        <v>259485.66</v>
      </c>
      <c r="Q35" s="4"/>
      <c r="R35" s="4"/>
      <c r="S35" s="4">
        <f t="shared" si="6"/>
        <v>0</v>
      </c>
      <c r="T35" s="4">
        <f t="shared" si="7"/>
        <v>200000</v>
      </c>
      <c r="U35" s="4">
        <f t="shared" si="8"/>
        <v>0</v>
      </c>
      <c r="V35" s="11"/>
      <c r="W35" s="4">
        <f t="shared" si="10"/>
        <v>0</v>
      </c>
      <c r="X35" s="4"/>
      <c r="Y35" s="4"/>
      <c r="Z35" s="3"/>
      <c r="AA35" s="87" t="s">
        <v>1367</v>
      </c>
      <c r="AB35" s="3">
        <v>760000</v>
      </c>
      <c r="AC35" s="210"/>
      <c r="AD35" s="392"/>
      <c r="AE35" s="392"/>
      <c r="AF35" s="330"/>
      <c r="AG35" s="333"/>
      <c r="AH35" s="28"/>
      <c r="AI35" s="191"/>
      <c r="AJ35" s="28"/>
      <c r="AK35" s="29"/>
      <c r="AL35" s="29"/>
      <c r="AM35" s="29"/>
    </row>
    <row r="36" spans="1:39" s="5" customFormat="1" ht="35.1" customHeight="1">
      <c r="A36" s="3">
        <f t="shared" si="9"/>
        <v>30</v>
      </c>
      <c r="B36" s="3">
        <v>2040</v>
      </c>
      <c r="C36" s="3" t="s">
        <v>548</v>
      </c>
      <c r="D36" s="4">
        <f>410000+600000</f>
        <v>1010000</v>
      </c>
      <c r="E36" s="4">
        <v>410000</v>
      </c>
      <c r="F36" s="4">
        <f t="shared" si="0"/>
        <v>600000</v>
      </c>
      <c r="G36" s="4">
        <v>410000</v>
      </c>
      <c r="H36" s="4">
        <v>409998.49</v>
      </c>
      <c r="I36" s="4"/>
      <c r="J36" s="4"/>
      <c r="K36" s="4">
        <f t="shared" si="1"/>
        <v>0</v>
      </c>
      <c r="L36" s="4">
        <f t="shared" si="2"/>
        <v>409998.49</v>
      </c>
      <c r="M36" s="4">
        <f t="shared" si="3"/>
        <v>1.5100000000093132</v>
      </c>
      <c r="N36" s="4">
        <f>600000-100000</f>
        <v>500000</v>
      </c>
      <c r="O36" s="4">
        <f t="shared" si="4"/>
        <v>100000</v>
      </c>
      <c r="P36" s="4">
        <f t="shared" si="5"/>
        <v>1.5100000000093132</v>
      </c>
      <c r="Q36" s="4"/>
      <c r="R36" s="4"/>
      <c r="S36" s="4">
        <f t="shared" si="6"/>
        <v>0</v>
      </c>
      <c r="T36" s="4">
        <f t="shared" si="7"/>
        <v>0</v>
      </c>
      <c r="U36" s="4">
        <f t="shared" si="8"/>
        <v>500000</v>
      </c>
      <c r="V36" s="11"/>
      <c r="W36" s="4">
        <f t="shared" si="10"/>
        <v>500000</v>
      </c>
      <c r="X36" s="4"/>
      <c r="Y36" s="4"/>
      <c r="Z36" s="3"/>
      <c r="AA36" s="3" t="s">
        <v>1477</v>
      </c>
      <c r="AB36" s="3">
        <v>829000</v>
      </c>
      <c r="AC36" s="210"/>
      <c r="AD36" s="392"/>
      <c r="AE36" s="392"/>
      <c r="AF36" s="330"/>
      <c r="AG36" s="333"/>
      <c r="AH36" s="28"/>
      <c r="AI36" s="191"/>
      <c r="AJ36" s="28"/>
      <c r="AK36" s="29"/>
      <c r="AL36" s="29"/>
      <c r="AM36" s="29"/>
    </row>
    <row r="37" spans="1:39" s="5" customFormat="1" ht="35.1" customHeight="1">
      <c r="A37" s="3">
        <f t="shared" si="9"/>
        <v>31</v>
      </c>
      <c r="B37" s="3">
        <v>2041</v>
      </c>
      <c r="C37" s="3" t="s">
        <v>549</v>
      </c>
      <c r="D37" s="4">
        <v>650000</v>
      </c>
      <c r="E37" s="4">
        <v>650000</v>
      </c>
      <c r="F37" s="4">
        <f t="shared" si="0"/>
        <v>0</v>
      </c>
      <c r="G37" s="4">
        <v>650000</v>
      </c>
      <c r="H37" s="4">
        <v>507921.17</v>
      </c>
      <c r="I37" s="4"/>
      <c r="J37" s="4">
        <v>98025.24</v>
      </c>
      <c r="K37" s="4">
        <f t="shared" si="1"/>
        <v>98025.24</v>
      </c>
      <c r="L37" s="4">
        <f t="shared" si="2"/>
        <v>605946.41</v>
      </c>
      <c r="M37" s="4">
        <f t="shared" si="3"/>
        <v>44053.589999999967</v>
      </c>
      <c r="N37" s="4"/>
      <c r="O37" s="4">
        <f t="shared" si="4"/>
        <v>0</v>
      </c>
      <c r="P37" s="4">
        <f t="shared" si="5"/>
        <v>44053.589999999967</v>
      </c>
      <c r="Q37" s="4"/>
      <c r="R37" s="4"/>
      <c r="S37" s="4">
        <f t="shared" si="6"/>
        <v>0</v>
      </c>
      <c r="T37" s="4">
        <f t="shared" si="7"/>
        <v>0</v>
      </c>
      <c r="U37" s="4">
        <f t="shared" si="8"/>
        <v>0</v>
      </c>
      <c r="V37" s="11"/>
      <c r="W37" s="4">
        <f t="shared" si="10"/>
        <v>0</v>
      </c>
      <c r="X37" s="4"/>
      <c r="Y37" s="4"/>
      <c r="Z37" s="3"/>
      <c r="AA37" s="87" t="s">
        <v>1478</v>
      </c>
      <c r="AB37" s="3">
        <v>810000</v>
      </c>
      <c r="AC37" s="210"/>
      <c r="AD37" s="392"/>
      <c r="AE37" s="392"/>
      <c r="AF37" s="330"/>
      <c r="AG37" s="333"/>
      <c r="AH37" s="28"/>
      <c r="AI37" s="191"/>
      <c r="AJ37" s="28"/>
      <c r="AK37" s="29"/>
      <c r="AL37" s="29"/>
      <c r="AM37" s="29"/>
    </row>
    <row r="38" spans="1:39" s="5" customFormat="1" ht="35.1" customHeight="1">
      <c r="A38" s="3">
        <f t="shared" si="9"/>
        <v>32</v>
      </c>
      <c r="B38" s="3">
        <v>2042</v>
      </c>
      <c r="C38" s="3" t="s">
        <v>793</v>
      </c>
      <c r="D38" s="4">
        <v>740000</v>
      </c>
      <c r="E38" s="4">
        <v>740000</v>
      </c>
      <c r="F38" s="4">
        <f t="shared" si="0"/>
        <v>0</v>
      </c>
      <c r="G38" s="4">
        <v>450000</v>
      </c>
      <c r="H38" s="4">
        <v>181745.18</v>
      </c>
      <c r="I38" s="4"/>
      <c r="J38" s="4">
        <v>45365.82</v>
      </c>
      <c r="K38" s="4">
        <f t="shared" si="1"/>
        <v>45365.82</v>
      </c>
      <c r="L38" s="4">
        <f t="shared" si="2"/>
        <v>227111</v>
      </c>
      <c r="M38" s="4">
        <f>P38+S38-220000</f>
        <v>2889</v>
      </c>
      <c r="N38" s="4"/>
      <c r="O38" s="4">
        <f t="shared" si="4"/>
        <v>510000</v>
      </c>
      <c r="P38" s="4">
        <f t="shared" si="5"/>
        <v>222889</v>
      </c>
      <c r="Q38" s="4"/>
      <c r="R38" s="4"/>
      <c r="S38" s="4">
        <f t="shared" si="6"/>
        <v>0</v>
      </c>
      <c r="T38" s="4">
        <f t="shared" si="7"/>
        <v>220000</v>
      </c>
      <c r="U38" s="4">
        <f t="shared" si="8"/>
        <v>-220000</v>
      </c>
      <c r="V38" s="11">
        <f>U38-W38-X38-Y38-Z38</f>
        <v>-220000</v>
      </c>
      <c r="W38" s="4"/>
      <c r="X38" s="4"/>
      <c r="Y38" s="4"/>
      <c r="Z38" s="3"/>
      <c r="AA38" s="3" t="s">
        <v>1205</v>
      </c>
      <c r="AB38" s="3">
        <v>746000</v>
      </c>
      <c r="AC38" s="210"/>
      <c r="AD38" s="392"/>
      <c r="AE38" s="392"/>
      <c r="AF38" s="330"/>
      <c r="AG38" s="333"/>
      <c r="AH38" s="28"/>
      <c r="AI38" s="191"/>
      <c r="AJ38" s="28"/>
      <c r="AK38" s="29"/>
      <c r="AL38" s="29"/>
      <c r="AM38" s="29"/>
    </row>
    <row r="39" spans="1:39" s="5" customFormat="1" ht="35.1" customHeight="1">
      <c r="A39" s="3">
        <f t="shared" si="9"/>
        <v>33</v>
      </c>
      <c r="B39" s="3">
        <v>2066</v>
      </c>
      <c r="C39" s="3" t="s">
        <v>553</v>
      </c>
      <c r="D39" s="4">
        <v>112500</v>
      </c>
      <c r="E39" s="4">
        <v>112500</v>
      </c>
      <c r="F39" s="4">
        <f t="shared" si="0"/>
        <v>0</v>
      </c>
      <c r="G39" s="4">
        <v>112500</v>
      </c>
      <c r="H39" s="4">
        <v>107799</v>
      </c>
      <c r="I39" s="4"/>
      <c r="J39" s="4">
        <v>4000</v>
      </c>
      <c r="K39" s="4">
        <f t="shared" si="1"/>
        <v>4000</v>
      </c>
      <c r="L39" s="4">
        <f t="shared" si="2"/>
        <v>111799</v>
      </c>
      <c r="M39" s="4">
        <f t="shared" si="3"/>
        <v>701</v>
      </c>
      <c r="N39" s="4"/>
      <c r="O39" s="4">
        <f t="shared" si="4"/>
        <v>0</v>
      </c>
      <c r="P39" s="4">
        <f t="shared" si="5"/>
        <v>701</v>
      </c>
      <c r="Q39" s="4"/>
      <c r="R39" s="4"/>
      <c r="S39" s="4">
        <f t="shared" si="6"/>
        <v>0</v>
      </c>
      <c r="T39" s="4">
        <f t="shared" si="7"/>
        <v>0</v>
      </c>
      <c r="U39" s="4">
        <f t="shared" si="8"/>
        <v>0</v>
      </c>
      <c r="V39" s="11"/>
      <c r="W39" s="4">
        <f t="shared" si="10"/>
        <v>0</v>
      </c>
      <c r="X39" s="4"/>
      <c r="Y39" s="4"/>
      <c r="Z39" s="3"/>
      <c r="AA39" s="4"/>
      <c r="AB39" s="3">
        <v>732000</v>
      </c>
      <c r="AC39" s="210"/>
      <c r="AD39" s="392"/>
      <c r="AE39" s="392"/>
      <c r="AF39" s="330"/>
      <c r="AG39" s="332"/>
      <c r="AH39" s="55"/>
      <c r="AI39" s="28"/>
      <c r="AJ39" s="28"/>
      <c r="AK39" s="29"/>
      <c r="AL39" s="29"/>
      <c r="AM39" s="29"/>
    </row>
    <row r="40" spans="1:39" s="5" customFormat="1" ht="35.1" customHeight="1">
      <c r="A40" s="3">
        <f t="shared" si="9"/>
        <v>34</v>
      </c>
      <c r="B40" s="3">
        <v>2075</v>
      </c>
      <c r="C40" s="3" t="s">
        <v>554</v>
      </c>
      <c r="D40" s="4">
        <v>800000</v>
      </c>
      <c r="E40" s="4">
        <v>800000</v>
      </c>
      <c r="F40" s="4">
        <f>D40-E40</f>
        <v>0</v>
      </c>
      <c r="G40" s="4">
        <v>772200</v>
      </c>
      <c r="H40" s="4">
        <v>292859</v>
      </c>
      <c r="I40" s="4"/>
      <c r="J40" s="4">
        <v>4866.01</v>
      </c>
      <c r="K40" s="4">
        <f t="shared" si="1"/>
        <v>4866.01</v>
      </c>
      <c r="L40" s="4">
        <f t="shared" si="2"/>
        <v>297725.01</v>
      </c>
      <c r="M40" s="4">
        <f t="shared" si="3"/>
        <v>474474.99</v>
      </c>
      <c r="N40" s="4"/>
      <c r="O40" s="4">
        <f t="shared" si="4"/>
        <v>27800</v>
      </c>
      <c r="P40" s="4">
        <f t="shared" si="5"/>
        <v>474474.99</v>
      </c>
      <c r="Q40" s="4"/>
      <c r="R40" s="4"/>
      <c r="S40" s="4">
        <f t="shared" si="6"/>
        <v>0</v>
      </c>
      <c r="T40" s="4">
        <f t="shared" si="7"/>
        <v>0</v>
      </c>
      <c r="U40" s="4">
        <f t="shared" si="8"/>
        <v>0</v>
      </c>
      <c r="V40" s="11"/>
      <c r="W40" s="4">
        <f>U40-V40-Y40-Z40</f>
        <v>0</v>
      </c>
      <c r="X40" s="4"/>
      <c r="Y40" s="4"/>
      <c r="Z40" s="3"/>
      <c r="AA40" s="87" t="s">
        <v>1363</v>
      </c>
      <c r="AB40" s="3">
        <v>742000</v>
      </c>
      <c r="AC40" s="210"/>
      <c r="AD40" s="392"/>
      <c r="AE40" s="392"/>
      <c r="AF40" s="330"/>
      <c r="AG40" s="333"/>
      <c r="AH40" s="28"/>
      <c r="AI40" s="191"/>
      <c r="AJ40" s="28"/>
      <c r="AK40" s="29"/>
      <c r="AL40" s="29"/>
      <c r="AM40" s="29"/>
    </row>
    <row r="41" spans="1:39" s="5" customFormat="1" ht="35.1" customHeight="1">
      <c r="A41" s="3">
        <f t="shared" si="9"/>
        <v>35</v>
      </c>
      <c r="B41" s="39">
        <v>2087</v>
      </c>
      <c r="C41" s="3" t="s">
        <v>555</v>
      </c>
      <c r="D41" s="4">
        <v>1200000</v>
      </c>
      <c r="E41" s="4">
        <v>1200000</v>
      </c>
      <c r="F41" s="4">
        <f>D41-E41</f>
        <v>0</v>
      </c>
      <c r="G41" s="4">
        <v>750000</v>
      </c>
      <c r="H41" s="4">
        <v>128147.79</v>
      </c>
      <c r="I41" s="4"/>
      <c r="J41" s="4">
        <v>490942.62</v>
      </c>
      <c r="K41" s="4">
        <f t="shared" si="1"/>
        <v>490942.62</v>
      </c>
      <c r="L41" s="4">
        <f t="shared" si="2"/>
        <v>619090.41</v>
      </c>
      <c r="M41" s="4">
        <f>P41+S41-450000</f>
        <v>130909.58999999997</v>
      </c>
      <c r="N41" s="4">
        <v>450000</v>
      </c>
      <c r="O41" s="4">
        <f t="shared" si="4"/>
        <v>0</v>
      </c>
      <c r="P41" s="4">
        <f t="shared" si="5"/>
        <v>130909.58999999997</v>
      </c>
      <c r="Q41" s="4">
        <v>450000</v>
      </c>
      <c r="R41" s="4"/>
      <c r="S41" s="4">
        <f t="shared" si="6"/>
        <v>450000</v>
      </c>
      <c r="T41" s="4">
        <f t="shared" si="7"/>
        <v>450000</v>
      </c>
      <c r="U41" s="4">
        <f t="shared" si="8"/>
        <v>0</v>
      </c>
      <c r="V41" s="11">
        <f>U41-W41-X41-Y41-Z41</f>
        <v>0</v>
      </c>
      <c r="W41" s="4"/>
      <c r="X41" s="4"/>
      <c r="Y41" s="4"/>
      <c r="Z41" s="3"/>
      <c r="AA41" s="3" t="s">
        <v>795</v>
      </c>
      <c r="AB41" s="3">
        <v>746000</v>
      </c>
      <c r="AC41" s="210"/>
      <c r="AD41" s="392"/>
      <c r="AE41" s="330"/>
      <c r="AF41" s="330"/>
      <c r="AG41" s="333"/>
      <c r="AH41" s="28"/>
      <c r="AI41" s="191"/>
      <c r="AJ41" s="28"/>
      <c r="AK41" s="29"/>
      <c r="AL41" s="29"/>
      <c r="AM41" s="29"/>
    </row>
    <row r="42" spans="1:39" s="5" customFormat="1" ht="35.1" customHeight="1">
      <c r="A42" s="3">
        <f t="shared" si="9"/>
        <v>36</v>
      </c>
      <c r="B42" s="39">
        <v>2088</v>
      </c>
      <c r="C42" s="3" t="s">
        <v>556</v>
      </c>
      <c r="D42" s="4">
        <f>1200000+400000</f>
        <v>1600000</v>
      </c>
      <c r="E42" s="4">
        <v>1200000</v>
      </c>
      <c r="F42" s="4">
        <f>D42-E42</f>
        <v>400000</v>
      </c>
      <c r="G42" s="4">
        <v>1200000</v>
      </c>
      <c r="H42" s="4">
        <v>0</v>
      </c>
      <c r="I42" s="4"/>
      <c r="J42" s="4">
        <v>1015806.8</v>
      </c>
      <c r="K42" s="4">
        <f t="shared" si="1"/>
        <v>1015806.8</v>
      </c>
      <c r="L42" s="4">
        <f t="shared" si="2"/>
        <v>1015806.8</v>
      </c>
      <c r="M42" s="4">
        <f t="shared" si="3"/>
        <v>184193.19999999995</v>
      </c>
      <c r="N42" s="4">
        <v>400000</v>
      </c>
      <c r="O42" s="4">
        <f t="shared" si="4"/>
        <v>0</v>
      </c>
      <c r="P42" s="4">
        <f t="shared" si="5"/>
        <v>184193.19999999995</v>
      </c>
      <c r="Q42" s="4"/>
      <c r="R42" s="4"/>
      <c r="S42" s="4">
        <f t="shared" si="6"/>
        <v>0</v>
      </c>
      <c r="T42" s="4">
        <f t="shared" si="7"/>
        <v>0</v>
      </c>
      <c r="U42" s="4">
        <f t="shared" si="8"/>
        <v>400000</v>
      </c>
      <c r="V42" s="11">
        <f>U42-W42-X42-Y42-Z42</f>
        <v>400000</v>
      </c>
      <c r="W42" s="4"/>
      <c r="X42" s="4"/>
      <c r="Y42" s="4"/>
      <c r="Z42" s="3"/>
      <c r="AA42" s="3" t="s">
        <v>802</v>
      </c>
      <c r="AB42" s="3">
        <v>746000</v>
      </c>
      <c r="AC42" s="210"/>
      <c r="AD42" s="392"/>
      <c r="AE42" s="330"/>
      <c r="AF42" s="330"/>
      <c r="AG42" s="333"/>
      <c r="AH42" s="28"/>
      <c r="AI42" s="191"/>
      <c r="AJ42" s="28"/>
      <c r="AK42" s="29"/>
      <c r="AL42" s="29"/>
      <c r="AM42" s="29"/>
    </row>
    <row r="43" spans="1:39" s="5" customFormat="1" ht="35.1" customHeight="1">
      <c r="A43" s="3">
        <f>A42+1</f>
        <v>37</v>
      </c>
      <c r="B43" s="39">
        <v>2164</v>
      </c>
      <c r="C43" s="3" t="s">
        <v>1206</v>
      </c>
      <c r="D43" s="4">
        <f>300000-100000</f>
        <v>200000</v>
      </c>
      <c r="E43" s="4"/>
      <c r="F43" s="4">
        <f t="shared" ref="F43:F47" si="11">D43-E43</f>
        <v>200000</v>
      </c>
      <c r="G43" s="4">
        <v>0</v>
      </c>
      <c r="H43" s="4">
        <v>0</v>
      </c>
      <c r="I43" s="4"/>
      <c r="J43" s="4"/>
      <c r="K43" s="4">
        <f t="shared" ref="K43:K46" si="12">SUM(I43:J43)</f>
        <v>0</v>
      </c>
      <c r="L43" s="4">
        <f t="shared" ref="L43:L47" si="13">H43+K43</f>
        <v>0</v>
      </c>
      <c r="M43" s="4">
        <f t="shared" ref="M43:M47" si="14">P43+S43</f>
        <v>0</v>
      </c>
      <c r="N43" s="4">
        <f>300000-100000</f>
        <v>200000</v>
      </c>
      <c r="O43" s="4">
        <f t="shared" ref="O43:O47" si="15">D43-L43-M43-N43</f>
        <v>0</v>
      </c>
      <c r="P43" s="4">
        <f t="shared" ref="P43:P47" si="16">G43-L43</f>
        <v>0</v>
      </c>
      <c r="Q43" s="4"/>
      <c r="R43" s="4"/>
      <c r="S43" s="4">
        <f t="shared" ref="S43:S47" si="17">SUM(Q43:R43)</f>
        <v>0</v>
      </c>
      <c r="T43" s="4">
        <f t="shared" ref="T43:T47" si="18">P43-M43+S43</f>
        <v>0</v>
      </c>
      <c r="U43" s="4">
        <f t="shared" ref="U43:U47" si="19">N43-T43</f>
        <v>200000</v>
      </c>
      <c r="V43" s="4">
        <f t="shared" ref="V43:V47" si="20">U43-Z43-W43-Y43</f>
        <v>0</v>
      </c>
      <c r="W43" s="4">
        <v>200000</v>
      </c>
      <c r="X43" s="4"/>
      <c r="Y43" s="4"/>
      <c r="Z43" s="4"/>
      <c r="AA43" s="3" t="s">
        <v>1207</v>
      </c>
      <c r="AB43" s="3">
        <v>742000</v>
      </c>
      <c r="AC43" s="210"/>
      <c r="AD43" s="52"/>
      <c r="AE43" s="6"/>
      <c r="AF43" s="6"/>
    </row>
    <row r="44" spans="1:39" s="5" customFormat="1" ht="35.1" customHeight="1">
      <c r="A44" s="3">
        <f>A43+1</f>
        <v>38</v>
      </c>
      <c r="B44" s="39">
        <v>2165</v>
      </c>
      <c r="C44" s="3" t="s">
        <v>1208</v>
      </c>
      <c r="D44" s="4">
        <v>1040000</v>
      </c>
      <c r="E44" s="4"/>
      <c r="F44" s="4">
        <f t="shared" si="11"/>
        <v>1040000</v>
      </c>
      <c r="G44" s="4">
        <v>0</v>
      </c>
      <c r="H44" s="4">
        <v>0</v>
      </c>
      <c r="I44" s="4"/>
      <c r="J44" s="4"/>
      <c r="K44" s="4">
        <f t="shared" si="12"/>
        <v>0</v>
      </c>
      <c r="L44" s="4">
        <f t="shared" si="13"/>
        <v>0</v>
      </c>
      <c r="M44" s="4">
        <f t="shared" si="14"/>
        <v>0</v>
      </c>
      <c r="N44" s="4">
        <f>1040000-540000-250000</f>
        <v>250000</v>
      </c>
      <c r="O44" s="4">
        <f t="shared" si="15"/>
        <v>790000</v>
      </c>
      <c r="P44" s="4">
        <f t="shared" si="16"/>
        <v>0</v>
      </c>
      <c r="Q44" s="4"/>
      <c r="R44" s="4"/>
      <c r="S44" s="4">
        <f t="shared" si="17"/>
        <v>0</v>
      </c>
      <c r="T44" s="4">
        <f t="shared" si="18"/>
        <v>0</v>
      </c>
      <c r="U44" s="4">
        <f t="shared" si="19"/>
        <v>250000</v>
      </c>
      <c r="V44" s="4">
        <f t="shared" si="20"/>
        <v>0</v>
      </c>
      <c r="W44" s="4">
        <v>250000</v>
      </c>
      <c r="X44" s="4"/>
      <c r="Y44" s="4"/>
      <c r="Z44" s="4"/>
      <c r="AA44" s="3" t="s">
        <v>1368</v>
      </c>
      <c r="AB44" s="3">
        <v>746000</v>
      </c>
      <c r="AC44" s="210"/>
      <c r="AD44" s="52"/>
      <c r="AE44" s="6"/>
      <c r="AF44" s="6"/>
    </row>
    <row r="45" spans="1:39" s="5" customFormat="1" ht="35.1" customHeight="1">
      <c r="A45" s="3">
        <f t="shared" ref="A45:A47" si="21">A44+1</f>
        <v>39</v>
      </c>
      <c r="B45" s="39">
        <v>2166</v>
      </c>
      <c r="C45" s="3" t="s">
        <v>1209</v>
      </c>
      <c r="D45" s="4">
        <v>500000</v>
      </c>
      <c r="E45" s="4"/>
      <c r="F45" s="4">
        <f t="shared" si="11"/>
        <v>500000</v>
      </c>
      <c r="G45" s="4">
        <v>0</v>
      </c>
      <c r="H45" s="4">
        <v>0</v>
      </c>
      <c r="I45" s="4"/>
      <c r="J45" s="4"/>
      <c r="K45" s="4">
        <f t="shared" si="12"/>
        <v>0</v>
      </c>
      <c r="L45" s="4">
        <f t="shared" si="13"/>
        <v>0</v>
      </c>
      <c r="M45" s="4">
        <f t="shared" si="14"/>
        <v>0</v>
      </c>
      <c r="N45" s="4">
        <f>500000-200000</f>
        <v>300000</v>
      </c>
      <c r="O45" s="4">
        <f t="shared" si="15"/>
        <v>200000</v>
      </c>
      <c r="P45" s="4">
        <f t="shared" si="16"/>
        <v>0</v>
      </c>
      <c r="Q45" s="4"/>
      <c r="R45" s="4"/>
      <c r="S45" s="4">
        <f t="shared" si="17"/>
        <v>0</v>
      </c>
      <c r="T45" s="4">
        <f t="shared" si="18"/>
        <v>0</v>
      </c>
      <c r="U45" s="4">
        <f t="shared" si="19"/>
        <v>300000</v>
      </c>
      <c r="V45" s="4">
        <f t="shared" si="20"/>
        <v>0</v>
      </c>
      <c r="W45" s="4">
        <v>300000</v>
      </c>
      <c r="X45" s="4"/>
      <c r="Y45" s="4"/>
      <c r="Z45" s="4"/>
      <c r="AA45" s="3" t="s">
        <v>1210</v>
      </c>
      <c r="AB45" s="3">
        <v>746000</v>
      </c>
      <c r="AC45" s="210"/>
      <c r="AD45" s="52"/>
      <c r="AE45" s="6"/>
      <c r="AF45" s="6"/>
    </row>
    <row r="46" spans="1:39" s="5" customFormat="1" ht="35.1" customHeight="1">
      <c r="A46" s="3">
        <f t="shared" si="21"/>
        <v>40</v>
      </c>
      <c r="B46" s="39">
        <v>2167</v>
      </c>
      <c r="C46" s="3" t="s">
        <v>1211</v>
      </c>
      <c r="D46" s="4">
        <v>1400000</v>
      </c>
      <c r="E46" s="4"/>
      <c r="F46" s="4">
        <f t="shared" si="11"/>
        <v>1400000</v>
      </c>
      <c r="G46" s="4">
        <v>0</v>
      </c>
      <c r="H46" s="4">
        <v>0</v>
      </c>
      <c r="I46" s="4"/>
      <c r="J46" s="4"/>
      <c r="K46" s="4">
        <f t="shared" si="12"/>
        <v>0</v>
      </c>
      <c r="L46" s="4">
        <f t="shared" si="13"/>
        <v>0</v>
      </c>
      <c r="M46" s="4">
        <f t="shared" si="14"/>
        <v>0</v>
      </c>
      <c r="N46" s="4">
        <f>1400000-200000</f>
        <v>1200000</v>
      </c>
      <c r="O46" s="4">
        <f t="shared" si="15"/>
        <v>200000</v>
      </c>
      <c r="P46" s="4">
        <f t="shared" si="16"/>
        <v>0</v>
      </c>
      <c r="Q46" s="4"/>
      <c r="R46" s="4"/>
      <c r="S46" s="4">
        <f t="shared" si="17"/>
        <v>0</v>
      </c>
      <c r="T46" s="4">
        <f t="shared" si="18"/>
        <v>0</v>
      </c>
      <c r="U46" s="4">
        <f t="shared" si="19"/>
        <v>1200000</v>
      </c>
      <c r="V46" s="4">
        <f t="shared" si="20"/>
        <v>0</v>
      </c>
      <c r="W46" s="4">
        <v>1200000</v>
      </c>
      <c r="X46" s="4"/>
      <c r="Y46" s="4"/>
      <c r="Z46" s="4"/>
      <c r="AA46" s="3" t="s">
        <v>1212</v>
      </c>
      <c r="AB46" s="3">
        <v>742000</v>
      </c>
      <c r="AC46" s="210"/>
      <c r="AD46" s="52"/>
      <c r="AE46" s="6"/>
      <c r="AF46" s="6"/>
    </row>
    <row r="47" spans="1:39" s="5" customFormat="1" ht="35.1" customHeight="1">
      <c r="A47" s="3">
        <f t="shared" si="21"/>
        <v>41</v>
      </c>
      <c r="B47" s="39">
        <v>2168</v>
      </c>
      <c r="C47" s="3" t="s">
        <v>1213</v>
      </c>
      <c r="D47" s="4">
        <v>240000</v>
      </c>
      <c r="E47" s="4"/>
      <c r="F47" s="4">
        <f t="shared" si="11"/>
        <v>240000</v>
      </c>
      <c r="G47" s="4">
        <v>0</v>
      </c>
      <c r="H47" s="4">
        <v>0</v>
      </c>
      <c r="I47" s="4"/>
      <c r="J47" s="4"/>
      <c r="K47" s="4">
        <f>SUM(I47:J47)</f>
        <v>0</v>
      </c>
      <c r="L47" s="4">
        <f t="shared" si="13"/>
        <v>0</v>
      </c>
      <c r="M47" s="4">
        <f t="shared" si="14"/>
        <v>0</v>
      </c>
      <c r="N47" s="4">
        <v>240000</v>
      </c>
      <c r="O47" s="4">
        <f t="shared" si="15"/>
        <v>0</v>
      </c>
      <c r="P47" s="4">
        <f t="shared" si="16"/>
        <v>0</v>
      </c>
      <c r="Q47" s="4"/>
      <c r="R47" s="4"/>
      <c r="S47" s="4">
        <f t="shared" si="17"/>
        <v>0</v>
      </c>
      <c r="T47" s="4">
        <f t="shared" si="18"/>
        <v>0</v>
      </c>
      <c r="U47" s="4">
        <f t="shared" si="19"/>
        <v>240000</v>
      </c>
      <c r="V47" s="4">
        <f t="shared" si="20"/>
        <v>0</v>
      </c>
      <c r="W47" s="4">
        <v>240000</v>
      </c>
      <c r="X47" s="4"/>
      <c r="Y47" s="4"/>
      <c r="Z47" s="4"/>
      <c r="AA47" s="3" t="s">
        <v>1369</v>
      </c>
      <c r="AB47" s="3">
        <v>746000</v>
      </c>
      <c r="AC47" s="210"/>
      <c r="AD47" s="52"/>
      <c r="AE47" s="6"/>
      <c r="AF47" s="6"/>
    </row>
    <row r="48" spans="1:39" s="84" customFormat="1" ht="35.1" customHeight="1">
      <c r="A48" s="41">
        <f>A47</f>
        <v>41</v>
      </c>
      <c r="B48" s="41"/>
      <c r="C48" s="204" t="s">
        <v>684</v>
      </c>
      <c r="D48" s="88">
        <f>SUM(D7:D47)</f>
        <v>243509379</v>
      </c>
      <c r="E48" s="88">
        <f t="shared" ref="E48:Z48" si="22">SUM(E7:E47)</f>
        <v>223205059</v>
      </c>
      <c r="F48" s="88">
        <f t="shared" si="22"/>
        <v>20304320</v>
      </c>
      <c r="G48" s="88">
        <f t="shared" si="22"/>
        <v>194120579</v>
      </c>
      <c r="H48" s="88">
        <f t="shared" si="22"/>
        <v>174731647.29000002</v>
      </c>
      <c r="I48" s="88">
        <f t="shared" si="22"/>
        <v>0</v>
      </c>
      <c r="J48" s="88">
        <f t="shared" si="22"/>
        <v>12537649.739999998</v>
      </c>
      <c r="K48" s="88">
        <f t="shared" si="22"/>
        <v>12537649.739999998</v>
      </c>
      <c r="L48" s="88">
        <f t="shared" si="22"/>
        <v>187269297.03000006</v>
      </c>
      <c r="M48" s="88">
        <f t="shared" si="22"/>
        <v>8121281.9699999988</v>
      </c>
      <c r="N48" s="88">
        <f t="shared" si="22"/>
        <v>35117000</v>
      </c>
      <c r="O48" s="88">
        <f t="shared" si="22"/>
        <v>13001800</v>
      </c>
      <c r="P48" s="88">
        <f t="shared" si="22"/>
        <v>6851281.9700000007</v>
      </c>
      <c r="Q48" s="88">
        <f t="shared" si="22"/>
        <v>3195000</v>
      </c>
      <c r="R48" s="88">
        <f t="shared" si="22"/>
        <v>0</v>
      </c>
      <c r="S48" s="88">
        <f t="shared" si="22"/>
        <v>3195000</v>
      </c>
      <c r="T48" s="88">
        <f t="shared" si="22"/>
        <v>1925000</v>
      </c>
      <c r="U48" s="88">
        <f t="shared" si="22"/>
        <v>33192000</v>
      </c>
      <c r="V48" s="88">
        <f t="shared" si="22"/>
        <v>2930000</v>
      </c>
      <c r="W48" s="88">
        <f t="shared" si="22"/>
        <v>12522000</v>
      </c>
      <c r="X48" s="88">
        <f t="shared" si="22"/>
        <v>0</v>
      </c>
      <c r="Y48" s="88">
        <f t="shared" si="22"/>
        <v>0</v>
      </c>
      <c r="Z48" s="88">
        <f t="shared" si="22"/>
        <v>17740000</v>
      </c>
      <c r="AA48" s="41"/>
      <c r="AB48" s="41"/>
      <c r="AC48" s="210"/>
      <c r="AD48" s="438"/>
    </row>
    <row r="49" spans="1:39" s="49" customFormat="1" hidden="1">
      <c r="A49" s="54"/>
      <c r="B49" s="54"/>
      <c r="C49" s="54"/>
      <c r="D49" s="33"/>
      <c r="E49" s="33"/>
      <c r="F49" s="33"/>
      <c r="G49" s="33"/>
      <c r="H49" s="33"/>
      <c r="I49" s="33"/>
      <c r="J49" s="33"/>
      <c r="K49" s="33"/>
      <c r="L49" s="25">
        <f>K48+H48</f>
        <v>187269297.03000003</v>
      </c>
      <c r="M49" s="25"/>
      <c r="N49" s="33"/>
      <c r="O49" s="33"/>
      <c r="P49" s="16">
        <f>G48-L49</f>
        <v>6851281.969999969</v>
      </c>
      <c r="Q49" s="33"/>
      <c r="R49" s="33"/>
      <c r="S49" s="33"/>
      <c r="T49" s="16">
        <f>P49+S48-M48</f>
        <v>1924999.9999999702</v>
      </c>
      <c r="U49" s="25">
        <f>N48-T49</f>
        <v>33192000.00000003</v>
      </c>
      <c r="V49" s="33"/>
      <c r="W49" s="33"/>
      <c r="X49" s="33"/>
      <c r="Y49" s="33"/>
      <c r="Z49" s="33"/>
      <c r="AB49" s="54"/>
      <c r="AC49" s="210"/>
      <c r="AD49" s="330"/>
      <c r="AE49" s="330"/>
      <c r="AF49" s="330"/>
      <c r="AG49" s="333"/>
      <c r="AH49" s="28"/>
      <c r="AI49" s="191"/>
      <c r="AJ49" s="54"/>
      <c r="AK49" s="54"/>
      <c r="AL49" s="54"/>
      <c r="AM49" s="54"/>
    </row>
    <row r="50" spans="1:39" s="42" customForma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6"/>
      <c r="O50" s="16"/>
      <c r="P50" s="16"/>
      <c r="Q50" s="16"/>
      <c r="R50" s="16"/>
      <c r="S50" s="16"/>
      <c r="T50" s="16"/>
      <c r="U50" s="14"/>
      <c r="V50" s="14"/>
      <c r="W50" s="14"/>
      <c r="X50" s="14"/>
      <c r="Y50" s="14"/>
      <c r="Z50" s="14"/>
      <c r="AA50" s="20"/>
      <c r="AB50" s="14"/>
      <c r="AC50" s="210"/>
      <c r="AD50" s="330"/>
      <c r="AE50" s="330"/>
      <c r="AF50" s="330"/>
      <c r="AG50" s="333"/>
      <c r="AH50" s="19"/>
      <c r="AI50" s="191"/>
      <c r="AJ50" s="19"/>
      <c r="AK50" s="19"/>
      <c r="AL50" s="19"/>
      <c r="AM50" s="19"/>
    </row>
  </sheetData>
  <sheetProtection formatCells="0" formatColumns="0" formatRows="0" insertColumns="0" insertRows="0" insertHyperlinks="0" deleteColumns="0" deleteRows="0" sort="0" autoFilter="0" pivotTables="0"/>
  <conditionalFormatting sqref="AD43:AG46 AD48:AG48">
    <cfRule type="cellIs" dxfId="281" priority="4" operator="equal">
      <formula>0</formula>
    </cfRule>
  </conditionalFormatting>
  <conditionalFormatting sqref="AD47:AG47">
    <cfRule type="cellIs" dxfId="280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59"/>
  <sheetViews>
    <sheetView showZeros="0" rightToLeft="1" zoomScale="93" zoomScaleNormal="93" workbookViewId="0">
      <pane xSplit="3" ySplit="5" topLeftCell="D50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E57" sqref="E57:F57"/>
    </sheetView>
  </sheetViews>
  <sheetFormatPr defaultColWidth="9.109375" defaultRowHeight="18"/>
  <cols>
    <col min="1" max="1" width="5.33203125" style="37" customWidth="1"/>
    <col min="2" max="2" width="6.6640625" style="26" customWidth="1"/>
    <col min="3" max="3" width="27.109375" style="407" customWidth="1"/>
    <col min="4" max="4" width="11" style="16" customWidth="1"/>
    <col min="5" max="5" width="11.109375" style="16" customWidth="1"/>
    <col min="6" max="6" width="11.6640625" style="16" customWidth="1"/>
    <col min="7" max="7" width="11.109375" style="16" customWidth="1"/>
    <col min="8" max="10" width="12.6640625" style="16" customWidth="1"/>
    <col min="11" max="11" width="11.33203125" style="16" customWidth="1"/>
    <col min="12" max="12" width="11.109375" style="16" customWidth="1"/>
    <col min="13" max="13" width="10.109375" style="16" customWidth="1"/>
    <col min="14" max="15" width="10" style="16" customWidth="1"/>
    <col min="16" max="17" width="11.109375" style="16" hidden="1" customWidth="1"/>
    <col min="18" max="19" width="12" style="16" hidden="1" customWidth="1"/>
    <col min="20" max="20" width="10.33203125" style="16" bestFit="1" customWidth="1"/>
    <col min="21" max="21" width="10" style="14" customWidth="1"/>
    <col min="22" max="22" width="10.33203125" style="14" customWidth="1"/>
    <col min="23" max="23" width="9.6640625" style="14" bestFit="1" customWidth="1"/>
    <col min="24" max="25" width="5.33203125" style="14" hidden="1" customWidth="1"/>
    <col min="26" max="26" width="10.109375" style="14" customWidth="1"/>
    <col min="27" max="27" width="31.88671875" style="408" hidden="1" customWidth="1"/>
    <col min="28" max="28" width="7.88671875" style="14" customWidth="1"/>
    <col min="29" max="29" width="19.44140625" style="210" customWidth="1"/>
    <col min="30" max="30" width="10.88671875" style="330" bestFit="1" customWidth="1"/>
    <col min="31" max="31" width="10.5546875" style="330" customWidth="1"/>
    <col min="32" max="32" width="13.44140625" style="330" customWidth="1"/>
    <col min="33" max="33" width="30.6640625" style="333" customWidth="1"/>
    <col min="34" max="34" width="9.109375" style="19" customWidth="1"/>
    <col min="35" max="35" width="30.6640625" style="191" customWidth="1"/>
    <col min="36" max="36" width="9.109375" style="19" customWidth="1"/>
    <col min="37" max="37" width="1.5546875" style="19" customWidth="1"/>
    <col min="38" max="39" width="9.109375" style="19" customWidth="1"/>
    <col min="40" max="16384" width="9.109375" style="14"/>
  </cols>
  <sheetData>
    <row r="2" spans="1:39" s="331" customFormat="1">
      <c r="A2" s="329"/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715"/>
      <c r="AC2" s="210"/>
      <c r="AD2" s="330"/>
      <c r="AE2" s="330"/>
      <c r="AF2" s="330"/>
      <c r="AG2" s="333"/>
      <c r="AI2" s="191"/>
    </row>
    <row r="3" spans="1:39" s="191" customFormat="1">
      <c r="A3" s="329" t="s">
        <v>230</v>
      </c>
      <c r="B3" s="766"/>
      <c r="C3" s="764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96"/>
      <c r="AC3" s="210"/>
      <c r="AD3" s="330"/>
      <c r="AE3" s="330"/>
      <c r="AF3" s="330"/>
      <c r="AG3" s="333"/>
    </row>
    <row r="5" spans="1:39" s="31" customFormat="1" ht="86.25" customHeight="1">
      <c r="A5" s="18" t="s">
        <v>0</v>
      </c>
      <c r="B5" s="756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918</v>
      </c>
      <c r="N5" s="18" t="s">
        <v>919</v>
      </c>
      <c r="O5" s="18" t="s">
        <v>920</v>
      </c>
      <c r="P5" s="18" t="s">
        <v>12</v>
      </c>
      <c r="Q5" s="18" t="s">
        <v>925</v>
      </c>
      <c r="R5" s="18" t="s">
        <v>926</v>
      </c>
      <c r="S5" s="18" t="s">
        <v>927</v>
      </c>
      <c r="T5" s="18" t="s">
        <v>921</v>
      </c>
      <c r="U5" s="18" t="s">
        <v>922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18" t="s">
        <v>410</v>
      </c>
      <c r="AB5" s="18" t="s">
        <v>16</v>
      </c>
      <c r="AC5" s="210"/>
      <c r="AD5" s="330"/>
      <c r="AE5" s="330"/>
      <c r="AF5" s="330"/>
      <c r="AI5" s="191"/>
    </row>
    <row r="6" spans="1:39" s="5" customFormat="1">
      <c r="A6" s="3"/>
      <c r="B6" s="706"/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25"/>
      <c r="AB6" s="3"/>
      <c r="AC6" s="210"/>
      <c r="AD6" s="330"/>
      <c r="AE6" s="330"/>
      <c r="AF6" s="330"/>
      <c r="AG6" s="333"/>
      <c r="AH6" s="29"/>
      <c r="AI6" s="191"/>
      <c r="AJ6" s="29"/>
      <c r="AK6" s="29"/>
      <c r="AL6" s="29"/>
      <c r="AM6" s="29"/>
    </row>
    <row r="7" spans="1:39" s="5" customFormat="1">
      <c r="A7" s="3">
        <f>A6+1</f>
        <v>1</v>
      </c>
      <c r="B7" s="706">
        <f>'תקציב אגף שאיפה  2020 '!B39</f>
        <v>2066</v>
      </c>
      <c r="C7" s="87" t="str">
        <f>'תקציב אגף שאיפה  2020 '!C39</f>
        <v>סקר טבע עירוני</v>
      </c>
      <c r="D7" s="4">
        <f>'תקציב אגף שאיפה  2020 '!D39</f>
        <v>112500</v>
      </c>
      <c r="E7" s="4">
        <f>'תקציב אגף שאיפה  2020 '!E39</f>
        <v>112500</v>
      </c>
      <c r="F7" s="4">
        <f>'תקציב אגף שאיפה  2020 '!F39</f>
        <v>0</v>
      </c>
      <c r="G7" s="4">
        <f>'תקציב אגף שאיפה  2020 '!G39</f>
        <v>112500</v>
      </c>
      <c r="H7" s="4">
        <f>'תקציב אגף שאיפה  2020 '!H39</f>
        <v>107799</v>
      </c>
      <c r="I7" s="4">
        <f>'תקציב אגף שאיפה  2020 '!I39</f>
        <v>0</v>
      </c>
      <c r="J7" s="4">
        <f>'תקציב אגף שאיפה  2020 '!J39</f>
        <v>4000</v>
      </c>
      <c r="K7" s="4">
        <f>'תקציב אגף שאיפה  2020 '!K39</f>
        <v>4000</v>
      </c>
      <c r="L7" s="4">
        <f>'תקציב אגף שאיפה  2020 '!L39</f>
        <v>111799</v>
      </c>
      <c r="M7" s="4">
        <f>'תקציב אגף שאיפה  2020 '!M39</f>
        <v>701</v>
      </c>
      <c r="N7" s="4">
        <f>'תקציב אגף שאיפה  2020 '!N39</f>
        <v>0</v>
      </c>
      <c r="O7" s="4">
        <f>'תקציב אגף שאיפה  2020 '!O39</f>
        <v>0</v>
      </c>
      <c r="P7" s="4">
        <f>'תקציב אגף שאיפה  2020 '!P39</f>
        <v>701</v>
      </c>
      <c r="Q7" s="4">
        <f>'תקציב אגף שאיפה  2020 '!Q39</f>
        <v>0</v>
      </c>
      <c r="R7" s="4">
        <f>'תקציב אגף שאיפה  2020 '!R39</f>
        <v>0</v>
      </c>
      <c r="S7" s="4">
        <f>'תקציב אגף שאיפה  2020 '!S39</f>
        <v>0</v>
      </c>
      <c r="T7" s="4">
        <f>'תקציב אגף שאיפה  2020 '!T39</f>
        <v>0</v>
      </c>
      <c r="U7" s="4">
        <f>'תקציב אגף שאיפה  2020 '!U39</f>
        <v>0</v>
      </c>
      <c r="V7" s="4">
        <f>'תקציב אגף שאיפה  2020 '!V39</f>
        <v>0</v>
      </c>
      <c r="W7" s="4">
        <f>'תקציב אגף שאיפה  2020 '!W39</f>
        <v>0</v>
      </c>
      <c r="X7" s="4">
        <f>'תקציב אגף שאיפה  2020 '!X39</f>
        <v>0</v>
      </c>
      <c r="Y7" s="4">
        <f>'תקציב אגף שאיפה  2020 '!Y39</f>
        <v>0</v>
      </c>
      <c r="Z7" s="4">
        <f>'תקציב אגף שאיפה  2020 '!Z39</f>
        <v>0</v>
      </c>
      <c r="AA7" s="87">
        <f>'תקציב אגף שאיפה  2020 '!AA39</f>
        <v>0</v>
      </c>
      <c r="AB7" s="706">
        <f>'תקציב אגף שאיפה  2020 '!AB39</f>
        <v>732000</v>
      </c>
      <c r="AC7" s="210"/>
      <c r="AD7" s="392"/>
      <c r="AE7" s="392"/>
      <c r="AF7" s="330"/>
      <c r="AG7" s="332"/>
      <c r="AH7" s="55"/>
      <c r="AI7" s="28"/>
      <c r="AJ7" s="28"/>
      <c r="AK7" s="29"/>
      <c r="AL7" s="29"/>
      <c r="AM7" s="29"/>
    </row>
    <row r="8" spans="1:39" s="84" customFormat="1">
      <c r="A8" s="41"/>
      <c r="B8" s="725"/>
      <c r="C8" s="705" t="s">
        <v>690</v>
      </c>
      <c r="D8" s="88">
        <f>SUM(D7)</f>
        <v>112500</v>
      </c>
      <c r="E8" s="88">
        <f t="shared" ref="E8:Z8" si="0">SUM(E7)</f>
        <v>112500</v>
      </c>
      <c r="F8" s="88">
        <f t="shared" si="0"/>
        <v>0</v>
      </c>
      <c r="G8" s="88">
        <f t="shared" si="0"/>
        <v>112500</v>
      </c>
      <c r="H8" s="88">
        <f t="shared" si="0"/>
        <v>107799</v>
      </c>
      <c r="I8" s="88">
        <f t="shared" si="0"/>
        <v>0</v>
      </c>
      <c r="J8" s="88">
        <f t="shared" si="0"/>
        <v>4000</v>
      </c>
      <c r="K8" s="88">
        <f t="shared" si="0"/>
        <v>4000</v>
      </c>
      <c r="L8" s="88">
        <f t="shared" si="0"/>
        <v>111799</v>
      </c>
      <c r="M8" s="88">
        <f t="shared" si="0"/>
        <v>701</v>
      </c>
      <c r="N8" s="88">
        <f t="shared" si="0"/>
        <v>0</v>
      </c>
      <c r="O8" s="88">
        <f t="shared" si="0"/>
        <v>0</v>
      </c>
      <c r="P8" s="88">
        <f t="shared" si="0"/>
        <v>701</v>
      </c>
      <c r="Q8" s="88">
        <f t="shared" si="0"/>
        <v>0</v>
      </c>
      <c r="R8" s="88">
        <f t="shared" si="0"/>
        <v>0</v>
      </c>
      <c r="S8" s="88">
        <f t="shared" si="0"/>
        <v>0</v>
      </c>
      <c r="T8" s="88">
        <f t="shared" si="0"/>
        <v>0</v>
      </c>
      <c r="U8" s="88">
        <f t="shared" si="0"/>
        <v>0</v>
      </c>
      <c r="V8" s="88">
        <f t="shared" si="0"/>
        <v>0</v>
      </c>
      <c r="W8" s="88">
        <f t="shared" si="0"/>
        <v>0</v>
      </c>
      <c r="X8" s="88">
        <f t="shared" si="0"/>
        <v>0</v>
      </c>
      <c r="Y8" s="88">
        <f t="shared" si="0"/>
        <v>0</v>
      </c>
      <c r="Z8" s="88">
        <f t="shared" si="0"/>
        <v>0</v>
      </c>
      <c r="AA8" s="410"/>
      <c r="AB8" s="725"/>
      <c r="AC8" s="412"/>
      <c r="AD8" s="427"/>
      <c r="AE8" s="427"/>
      <c r="AF8" s="426"/>
      <c r="AG8" s="429"/>
      <c r="AH8" s="307"/>
      <c r="AI8" s="308"/>
      <c r="AJ8" s="308"/>
      <c r="AK8" s="309"/>
      <c r="AL8" s="309"/>
      <c r="AM8" s="309"/>
    </row>
    <row r="9" spans="1:39" s="5" customFormat="1" ht="55.2">
      <c r="A9" s="3">
        <f>A7+1</f>
        <v>2</v>
      </c>
      <c r="B9" s="706">
        <f>'תקציב אגף שאיפה  2020 '!B29</f>
        <v>1973</v>
      </c>
      <c r="C9" s="87" t="str">
        <f>'תקציב אגף שאיפה  2020 '!C29</f>
        <v>שילוט ברחבי העיר</v>
      </c>
      <c r="D9" s="4">
        <f>'תקציב אגף שאיפה  2020 '!D29</f>
        <v>1800000</v>
      </c>
      <c r="E9" s="4">
        <f>'תקציב אגף שאיפה  2020 '!E29</f>
        <v>1800000</v>
      </c>
      <c r="F9" s="4">
        <f>'תקציב אגף שאיפה  2020 '!F29</f>
        <v>0</v>
      </c>
      <c r="G9" s="4">
        <f>'תקציב אגף שאיפה  2020 '!G29</f>
        <v>900000</v>
      </c>
      <c r="H9" s="4">
        <f>'תקציב אגף שאיפה  2020 '!H29</f>
        <v>445953.15</v>
      </c>
      <c r="I9" s="4">
        <f>'תקציב אגף שאיפה  2020 '!I29</f>
        <v>0</v>
      </c>
      <c r="J9" s="4">
        <f>'תקציב אגף שאיפה  2020 '!J29</f>
        <v>148006.12</v>
      </c>
      <c r="K9" s="4">
        <f>'תקציב אגף שאיפה  2020 '!K29</f>
        <v>148006.12</v>
      </c>
      <c r="L9" s="4">
        <f>'תקציב אגף שאיפה  2020 '!L29</f>
        <v>593959.27</v>
      </c>
      <c r="M9" s="4">
        <f>'תקציב אגף שאיפה  2020 '!M29</f>
        <v>306040.73</v>
      </c>
      <c r="N9" s="4">
        <f>'תקציב אגף שאיפה  2020 '!N29</f>
        <v>100000</v>
      </c>
      <c r="O9" s="4">
        <f>'תקציב אגף שאיפה  2020 '!O29</f>
        <v>800000</v>
      </c>
      <c r="P9" s="4">
        <f>'תקציב אגף שאיפה  2020 '!P29</f>
        <v>306040.73</v>
      </c>
      <c r="Q9" s="4">
        <f>'תקציב אגף שאיפה  2020 '!Q29</f>
        <v>0</v>
      </c>
      <c r="R9" s="4">
        <f>'תקציב אגף שאיפה  2020 '!R29</f>
        <v>0</v>
      </c>
      <c r="S9" s="4">
        <f>'תקציב אגף שאיפה  2020 '!S29</f>
        <v>0</v>
      </c>
      <c r="T9" s="4">
        <f>'תקציב אגף שאיפה  2020 '!T29</f>
        <v>0</v>
      </c>
      <c r="U9" s="4">
        <f>'תקציב אגף שאיפה  2020 '!U29</f>
        <v>100000</v>
      </c>
      <c r="V9" s="4">
        <f>'תקציב אגף שאיפה  2020 '!V29</f>
        <v>0</v>
      </c>
      <c r="W9" s="4">
        <f>'תקציב אגף שאיפה  2020 '!W29</f>
        <v>100000</v>
      </c>
      <c r="X9" s="4">
        <f>'תקציב אגף שאיפה  2020 '!X29</f>
        <v>0</v>
      </c>
      <c r="Y9" s="4">
        <f>'תקציב אגף שאיפה  2020 '!Y29</f>
        <v>0</v>
      </c>
      <c r="Z9" s="4">
        <f>'תקציב אגף שאיפה  2020 '!Z29</f>
        <v>0</v>
      </c>
      <c r="AA9" s="87" t="str">
        <f>'תקציב אגף שאיפה  2020 '!AA29</f>
        <v>רכישה והתקנת שילוט מסוגים שונים ברחבי העיר: שלטי רחוב, מספור על הבתים, שלטי הכוונה למוסדות מקומיים ואזוריים, שלטי כניסה לשכונות וכו'.</v>
      </c>
      <c r="AB9" s="706">
        <f>'תקציב אגף שאיפה  2020 '!AB29</f>
        <v>742000</v>
      </c>
      <c r="AC9" s="210"/>
      <c r="AD9" s="392"/>
      <c r="AE9" s="392"/>
      <c r="AF9" s="330"/>
      <c r="AG9" s="333"/>
      <c r="AH9" s="28"/>
      <c r="AI9" s="191"/>
      <c r="AJ9" s="28"/>
      <c r="AK9" s="29"/>
      <c r="AL9" s="29"/>
      <c r="AM9" s="29"/>
    </row>
    <row r="10" spans="1:39" s="5" customFormat="1" ht="27.6">
      <c r="A10" s="3">
        <f t="shared" ref="A10:A31" si="1">A9+1</f>
        <v>3</v>
      </c>
      <c r="B10" s="706">
        <f>'תקציב אגף שאיפה  2020 '!B40</f>
        <v>2075</v>
      </c>
      <c r="C10" s="87" t="str">
        <f>'תקציב אגף שאיפה  2020 '!C40</f>
        <v>הקמה שדרוג סככות המתנה אוטובוס</v>
      </c>
      <c r="D10" s="4">
        <f>'תקציב אגף שאיפה  2020 '!D40</f>
        <v>800000</v>
      </c>
      <c r="E10" s="4">
        <f>'תקציב אגף שאיפה  2020 '!E40</f>
        <v>800000</v>
      </c>
      <c r="F10" s="4">
        <f>'תקציב אגף שאיפה  2020 '!F40</f>
        <v>0</v>
      </c>
      <c r="G10" s="4">
        <f>'תקציב אגף שאיפה  2020 '!G40</f>
        <v>772200</v>
      </c>
      <c r="H10" s="4">
        <f>'תקציב אגף שאיפה  2020 '!H40</f>
        <v>292859</v>
      </c>
      <c r="I10" s="4">
        <f>'תקציב אגף שאיפה  2020 '!I40</f>
        <v>0</v>
      </c>
      <c r="J10" s="4">
        <f>'תקציב אגף שאיפה  2020 '!J40</f>
        <v>4866.01</v>
      </c>
      <c r="K10" s="4">
        <f>'תקציב אגף שאיפה  2020 '!K40</f>
        <v>4866.01</v>
      </c>
      <c r="L10" s="4">
        <f>'תקציב אגף שאיפה  2020 '!L40</f>
        <v>297725.01</v>
      </c>
      <c r="M10" s="4">
        <f>'תקציב אגף שאיפה  2020 '!M40</f>
        <v>474474.99</v>
      </c>
      <c r="N10" s="4">
        <f>'תקציב אגף שאיפה  2020 '!N40</f>
        <v>0</v>
      </c>
      <c r="O10" s="4">
        <f>'תקציב אגף שאיפה  2020 '!O40</f>
        <v>27800</v>
      </c>
      <c r="P10" s="4">
        <f>'תקציב אגף שאיפה  2020 '!P40</f>
        <v>474474.99</v>
      </c>
      <c r="Q10" s="4">
        <f>'תקציב אגף שאיפה  2020 '!Q40</f>
        <v>0</v>
      </c>
      <c r="R10" s="4">
        <f>'תקציב אגף שאיפה  2020 '!R40</f>
        <v>0</v>
      </c>
      <c r="S10" s="4">
        <f>'תקציב אגף שאיפה  2020 '!S40</f>
        <v>0</v>
      </c>
      <c r="T10" s="4">
        <f>'תקציב אגף שאיפה  2020 '!T40</f>
        <v>0</v>
      </c>
      <c r="U10" s="4">
        <f>'תקציב אגף שאיפה  2020 '!U40</f>
        <v>0</v>
      </c>
      <c r="V10" s="4">
        <f>'תקציב אגף שאיפה  2020 '!V40</f>
        <v>0</v>
      </c>
      <c r="W10" s="4">
        <f>'תקציב אגף שאיפה  2020 '!W40</f>
        <v>0</v>
      </c>
      <c r="X10" s="4">
        <f>'תקציב אגף שאיפה  2020 '!X40</f>
        <v>0</v>
      </c>
      <c r="Y10" s="4">
        <f>'תקציב אגף שאיפה  2020 '!Y40</f>
        <v>0</v>
      </c>
      <c r="Z10" s="4">
        <f>'תקציב אגף שאיפה  2020 '!Z40</f>
        <v>0</v>
      </c>
      <c r="AA10" s="87" t="str">
        <f>'תקציב אגף שאיפה  2020 '!AA40</f>
        <v xml:space="preserve">הקמה ושדרוג סככות המתנה לאוטובוס. מימון מ. התחבורה. </v>
      </c>
      <c r="AB10" s="706">
        <f>'תקציב אגף שאיפה  2020 '!AB40</f>
        <v>742000</v>
      </c>
      <c r="AC10" s="210"/>
      <c r="AD10" s="392"/>
      <c r="AE10" s="392"/>
      <c r="AF10" s="330"/>
      <c r="AG10" s="333"/>
      <c r="AH10" s="28"/>
      <c r="AI10" s="191"/>
      <c r="AJ10" s="28"/>
      <c r="AK10" s="29"/>
      <c r="AL10" s="29"/>
      <c r="AM10" s="29"/>
    </row>
    <row r="11" spans="1:39" s="5" customFormat="1" ht="27.6">
      <c r="A11" s="3">
        <f t="shared" si="1"/>
        <v>4</v>
      </c>
      <c r="B11" s="706">
        <f>'תקציב אגף שאיפה  2020 '!B43</f>
        <v>2164</v>
      </c>
      <c r="C11" s="87" t="str">
        <f>'תקציב אגף שאיפה  2020 '!C43</f>
        <v>שדרוג מתחם המשקל העירוני</v>
      </c>
      <c r="D11" s="4">
        <f>'תקציב אגף שאיפה  2020 '!D43</f>
        <v>200000</v>
      </c>
      <c r="E11" s="4">
        <f>'תקציב אגף שאיפה  2020 '!E43</f>
        <v>0</v>
      </c>
      <c r="F11" s="4">
        <f>'תקציב אגף שאיפה  2020 '!F43</f>
        <v>200000</v>
      </c>
      <c r="G11" s="4">
        <f>'תקציב אגף שאיפה  2020 '!G43</f>
        <v>0</v>
      </c>
      <c r="H11" s="4">
        <f>'תקציב אגף שאיפה  2020 '!H43</f>
        <v>0</v>
      </c>
      <c r="I11" s="4">
        <f>'תקציב אגף שאיפה  2020 '!I43</f>
        <v>0</v>
      </c>
      <c r="J11" s="4">
        <f>'תקציב אגף שאיפה  2020 '!J43</f>
        <v>0</v>
      </c>
      <c r="K11" s="4">
        <f>'תקציב אגף שאיפה  2020 '!K43</f>
        <v>0</v>
      </c>
      <c r="L11" s="4">
        <f>'תקציב אגף שאיפה  2020 '!L43</f>
        <v>0</v>
      </c>
      <c r="M11" s="4">
        <f>'תקציב אגף שאיפה  2020 '!M43</f>
        <v>0</v>
      </c>
      <c r="N11" s="4">
        <f>'תקציב אגף שאיפה  2020 '!N43</f>
        <v>200000</v>
      </c>
      <c r="O11" s="4">
        <f>'תקציב אגף שאיפה  2020 '!O43</f>
        <v>0</v>
      </c>
      <c r="P11" s="4">
        <f>'תקציב אגף שאיפה  2020 '!P43</f>
        <v>0</v>
      </c>
      <c r="Q11" s="4">
        <f>'תקציב אגף שאיפה  2020 '!Q43</f>
        <v>0</v>
      </c>
      <c r="R11" s="4">
        <f>'תקציב אגף שאיפה  2020 '!R43</f>
        <v>0</v>
      </c>
      <c r="S11" s="4">
        <f>'תקציב אגף שאיפה  2020 '!S43</f>
        <v>0</v>
      </c>
      <c r="T11" s="4">
        <f>'תקציב אגף שאיפה  2020 '!T43</f>
        <v>0</v>
      </c>
      <c r="U11" s="4">
        <f>'תקציב אגף שאיפה  2020 '!U43</f>
        <v>200000</v>
      </c>
      <c r="V11" s="4">
        <f>'תקציב אגף שאיפה  2020 '!V43</f>
        <v>0</v>
      </c>
      <c r="W11" s="4">
        <f>'תקציב אגף שאיפה  2020 '!W43</f>
        <v>200000</v>
      </c>
      <c r="X11" s="4">
        <f>'תקציב אגף שאיפה  2020 '!X43</f>
        <v>0</v>
      </c>
      <c r="Y11" s="4">
        <f>'תקציב אגף שאיפה  2020 '!Y43</f>
        <v>0</v>
      </c>
      <c r="Z11" s="4">
        <f>'תקציב אגף שאיפה  2020 '!Z43</f>
        <v>0</v>
      </c>
      <c r="AA11" s="87" t="str">
        <f>'תקציב אגף שאיפה  2020 '!AA43</f>
        <v>עבודות במתחם המשקל העירוני להסדרת נושא הבטיחות.</v>
      </c>
      <c r="AB11" s="706">
        <f>'תקציב אגף שאיפה  2020 '!AB43</f>
        <v>742000</v>
      </c>
      <c r="AC11" s="210"/>
      <c r="AD11" s="52"/>
      <c r="AE11" s="6"/>
      <c r="AF11" s="6"/>
    </row>
    <row r="12" spans="1:39" s="5" customFormat="1" ht="27.6">
      <c r="A12" s="3">
        <f t="shared" si="1"/>
        <v>5</v>
      </c>
      <c r="B12" s="706">
        <f>'תקציב אגף שאיפה  2020 '!B46</f>
        <v>2167</v>
      </c>
      <c r="C12" s="87" t="str">
        <f>'תקציב אגף שאיפה  2020 '!C46</f>
        <v>הקמת סככות המתנה לאוטובוס כולל תשתיות</v>
      </c>
      <c r="D12" s="4">
        <f>'תקציב אגף שאיפה  2020 '!D46</f>
        <v>1400000</v>
      </c>
      <c r="E12" s="4">
        <f>'תקציב אגף שאיפה  2020 '!E46</f>
        <v>0</v>
      </c>
      <c r="F12" s="4">
        <f>'תקציב אגף שאיפה  2020 '!F46</f>
        <v>1400000</v>
      </c>
      <c r="G12" s="4">
        <f>'תקציב אגף שאיפה  2020 '!G46</f>
        <v>0</v>
      </c>
      <c r="H12" s="4">
        <f>'תקציב אגף שאיפה  2020 '!H46</f>
        <v>0</v>
      </c>
      <c r="I12" s="4">
        <f>'תקציב אגף שאיפה  2020 '!I46</f>
        <v>0</v>
      </c>
      <c r="J12" s="4">
        <f>'תקציב אגף שאיפה  2020 '!J46</f>
        <v>0</v>
      </c>
      <c r="K12" s="4">
        <f>'תקציב אגף שאיפה  2020 '!K46</f>
        <v>0</v>
      </c>
      <c r="L12" s="4">
        <f>'תקציב אגף שאיפה  2020 '!L46</f>
        <v>0</v>
      </c>
      <c r="M12" s="4">
        <f>'תקציב אגף שאיפה  2020 '!M46</f>
        <v>0</v>
      </c>
      <c r="N12" s="4">
        <f>'תקציב אגף שאיפה  2020 '!N46</f>
        <v>1200000</v>
      </c>
      <c r="O12" s="4">
        <f>'תקציב אגף שאיפה  2020 '!O46</f>
        <v>200000</v>
      </c>
      <c r="P12" s="4">
        <f>'תקציב אגף שאיפה  2020 '!P46</f>
        <v>0</v>
      </c>
      <c r="Q12" s="4">
        <f>'תקציב אגף שאיפה  2020 '!Q46</f>
        <v>0</v>
      </c>
      <c r="R12" s="4">
        <f>'תקציב אגף שאיפה  2020 '!R46</f>
        <v>0</v>
      </c>
      <c r="S12" s="4">
        <f>'תקציב אגף שאיפה  2020 '!S46</f>
        <v>0</v>
      </c>
      <c r="T12" s="4">
        <f>'תקציב אגף שאיפה  2020 '!T46</f>
        <v>0</v>
      </c>
      <c r="U12" s="4">
        <f>'תקציב אגף שאיפה  2020 '!U46</f>
        <v>1200000</v>
      </c>
      <c r="V12" s="4">
        <f>'תקציב אגף שאיפה  2020 '!V46</f>
        <v>0</v>
      </c>
      <c r="W12" s="4">
        <f>'תקציב אגף שאיפה  2020 '!W46</f>
        <v>1200000</v>
      </c>
      <c r="X12" s="4">
        <f>'תקציב אגף שאיפה  2020 '!X46</f>
        <v>0</v>
      </c>
      <c r="Y12" s="4">
        <f>'תקציב אגף שאיפה  2020 '!Y46</f>
        <v>0</v>
      </c>
      <c r="Z12" s="4">
        <f>'תקציב אגף שאיפה  2020 '!Z46</f>
        <v>0</v>
      </c>
      <c r="AA12" s="87" t="str">
        <f>'תקציב אגף שאיפה  2020 '!AA46</f>
        <v>הקמת 25 סככות המתנה משודרגות מתוכן 5 ממוזגות.</v>
      </c>
      <c r="AB12" s="706">
        <f>'תקציב אגף שאיפה  2020 '!AB46</f>
        <v>742000</v>
      </c>
      <c r="AC12" s="210"/>
      <c r="AD12" s="52"/>
      <c r="AE12" s="6"/>
      <c r="AF12" s="6"/>
    </row>
    <row r="13" spans="1:39" s="5" customFormat="1" ht="41.4">
      <c r="A13" s="3">
        <f t="shared" si="1"/>
        <v>6</v>
      </c>
      <c r="B13" s="706">
        <f>'תקציב אגף שאיפה  2020 '!B8</f>
        <v>1134</v>
      </c>
      <c r="C13" s="87" t="str">
        <f>'תקציב אגף שאיפה  2020 '!C8</f>
        <v>יער עירוני וגינות קהילתיות</v>
      </c>
      <c r="D13" s="4">
        <f>'תקציב אגף שאיפה  2020 '!D8</f>
        <v>2795000</v>
      </c>
      <c r="E13" s="4">
        <f>'תקציב אגף שאיפה  2020 '!E8</f>
        <v>2700000</v>
      </c>
      <c r="F13" s="4">
        <f>'תקציב אגף שאיפה  2020 '!F8</f>
        <v>95000</v>
      </c>
      <c r="G13" s="4">
        <f>'תקציב אגף שאיפה  2020 '!G8</f>
        <v>2595000</v>
      </c>
      <c r="H13" s="4">
        <f>'תקציב אגף שאיפה  2020 '!H8</f>
        <v>2456417.7400000002</v>
      </c>
      <c r="I13" s="4">
        <f>'תקציב אגף שאיפה  2020 '!I8</f>
        <v>0</v>
      </c>
      <c r="J13" s="4">
        <f>'תקציב אגף שאיפה  2020 '!J8</f>
        <v>49497.11</v>
      </c>
      <c r="K13" s="4">
        <f>'תקציב אגף שאיפה  2020 '!K8</f>
        <v>49497.11</v>
      </c>
      <c r="L13" s="4">
        <f>'תקציב אגף שאיפה  2020 '!L8</f>
        <v>2505914.85</v>
      </c>
      <c r="M13" s="4">
        <f>'תקציב אגף שאיפה  2020 '!M8</f>
        <v>89085.149999999907</v>
      </c>
      <c r="N13" s="4">
        <f>'תקציב אגף שאיפה  2020 '!N8</f>
        <v>200000</v>
      </c>
      <c r="O13" s="4">
        <f>'תקציב אגף שאיפה  2020 '!O8</f>
        <v>0</v>
      </c>
      <c r="P13" s="4">
        <f>'תקציב אגף שאיפה  2020 '!P8</f>
        <v>89085.149999999907</v>
      </c>
      <c r="Q13" s="4">
        <f>'תקציב אגף שאיפה  2020 '!Q8</f>
        <v>0</v>
      </c>
      <c r="R13" s="4">
        <f>'תקציב אגף שאיפה  2020 '!R8</f>
        <v>0</v>
      </c>
      <c r="S13" s="4">
        <f>'תקציב אגף שאיפה  2020 '!S8</f>
        <v>0</v>
      </c>
      <c r="T13" s="4">
        <f>'תקציב אגף שאיפה  2020 '!T8</f>
        <v>0</v>
      </c>
      <c r="U13" s="4">
        <f>'תקציב אגף שאיפה  2020 '!U8</f>
        <v>200000</v>
      </c>
      <c r="V13" s="4">
        <f>'תקציב אגף שאיפה  2020 '!V8</f>
        <v>0</v>
      </c>
      <c r="W13" s="4">
        <f>'תקציב אגף שאיפה  2020 '!W8</f>
        <v>200000</v>
      </c>
      <c r="X13" s="4">
        <f>'תקציב אגף שאיפה  2020 '!X8</f>
        <v>0</v>
      </c>
      <c r="Y13" s="4">
        <f>'תקציב אגף שאיפה  2020 '!Y8</f>
        <v>0</v>
      </c>
      <c r="Z13" s="4">
        <f>'תקציב אגף שאיפה  2020 '!Z8</f>
        <v>0</v>
      </c>
      <c r="AA13" s="87" t="str">
        <f>'תקציב אגף שאיפה  2020 '!AA8</f>
        <v>שדרוג תשתיות בגינות קהילתיות קיימות , החווה החקלאית גליל ים, והקמת יער  נוסף .</v>
      </c>
      <c r="AB13" s="706">
        <f>'תקציב אגף שאיפה  2020 '!AB8</f>
        <v>746000</v>
      </c>
      <c r="AC13" s="210"/>
      <c r="AD13" s="392"/>
      <c r="AE13" s="392"/>
      <c r="AF13" s="330"/>
      <c r="AG13" s="19"/>
      <c r="AH13" s="19"/>
      <c r="AI13" s="28"/>
      <c r="AJ13" s="29"/>
      <c r="AK13" s="29"/>
      <c r="AL13" s="29"/>
      <c r="AM13" s="29"/>
    </row>
    <row r="14" spans="1:39" s="5" customFormat="1">
      <c r="A14" s="3">
        <f t="shared" si="1"/>
        <v>7</v>
      </c>
      <c r="B14" s="706">
        <f>'תקציב אגף שאיפה  2020 '!B9</f>
        <v>1165</v>
      </c>
      <c r="C14" s="87" t="str">
        <f>'תקציב אגף שאיפה  2020 '!C9</f>
        <v>מתקני משחק ,ריהוט גן ומשטחי גומי</v>
      </c>
      <c r="D14" s="4">
        <f>'תקציב אגף שאיפה  2020 '!D9</f>
        <v>12050000</v>
      </c>
      <c r="E14" s="4">
        <f>'תקציב אגף שאיפה  2020 '!E9</f>
        <v>12050000</v>
      </c>
      <c r="F14" s="4">
        <f>'תקציב אגף שאיפה  2020 '!F9</f>
        <v>0</v>
      </c>
      <c r="G14" s="4">
        <f>'תקציב אגף שאיפה  2020 '!G9</f>
        <v>12050000</v>
      </c>
      <c r="H14" s="4">
        <f>'תקציב אגף שאיפה  2020 '!H9</f>
        <v>11892807.189999999</v>
      </c>
      <c r="I14" s="4">
        <f>'תקציב אגף שאיפה  2020 '!I9</f>
        <v>0</v>
      </c>
      <c r="J14" s="4">
        <f>'תקציב אגף שאיפה  2020 '!J9</f>
        <v>2882.2</v>
      </c>
      <c r="K14" s="4">
        <f>'תקציב אגף שאיפה  2020 '!K9</f>
        <v>2882.2</v>
      </c>
      <c r="L14" s="4">
        <f>'תקציב אגף שאיפה  2020 '!L9</f>
        <v>11895689.389999999</v>
      </c>
      <c r="M14" s="4">
        <f>'תקציב אגף שאיפה  2020 '!M9</f>
        <v>154310.61000000127</v>
      </c>
      <c r="N14" s="4">
        <f>'תקציב אגף שאיפה  2020 '!N9</f>
        <v>0</v>
      </c>
      <c r="O14" s="4">
        <f>'תקציב אגף שאיפה  2020 '!O9</f>
        <v>0</v>
      </c>
      <c r="P14" s="4">
        <f>'תקציב אגף שאיפה  2020 '!P9</f>
        <v>154310.61000000127</v>
      </c>
      <c r="Q14" s="4">
        <f>'תקציב אגף שאיפה  2020 '!Q9</f>
        <v>0</v>
      </c>
      <c r="R14" s="4">
        <f>'תקציב אגף שאיפה  2020 '!R9</f>
        <v>0</v>
      </c>
      <c r="S14" s="4">
        <f>'תקציב אגף שאיפה  2020 '!S9</f>
        <v>0</v>
      </c>
      <c r="T14" s="4">
        <f>'תקציב אגף שאיפה  2020 '!T9</f>
        <v>0</v>
      </c>
      <c r="U14" s="4">
        <f>'תקציב אגף שאיפה  2020 '!U9</f>
        <v>0</v>
      </c>
      <c r="V14" s="4">
        <f>'תקציב אגף שאיפה  2020 '!V9</f>
        <v>0</v>
      </c>
      <c r="W14" s="4">
        <f>'תקציב אגף שאיפה  2020 '!W9</f>
        <v>0</v>
      </c>
      <c r="X14" s="4">
        <f>'תקציב אגף שאיפה  2020 '!X9</f>
        <v>0</v>
      </c>
      <c r="Y14" s="4">
        <f>'תקציב אגף שאיפה  2020 '!Y9</f>
        <v>0</v>
      </c>
      <c r="Z14" s="4">
        <f>'תקציב אגף שאיפה  2020 '!Z9</f>
        <v>0</v>
      </c>
      <c r="AA14" s="87" t="str">
        <f>'תקציב אגף שאיפה  2020 '!AA9</f>
        <v>עבודות בגן גלעד וגן קלישר. לקראת סיום.</v>
      </c>
      <c r="AB14" s="706">
        <f>'תקציב אגף שאיפה  2020 '!AB9</f>
        <v>746000</v>
      </c>
      <c r="AC14" s="210"/>
      <c r="AD14" s="392"/>
      <c r="AE14" s="392"/>
      <c r="AF14" s="330"/>
      <c r="AG14" s="333"/>
      <c r="AH14" s="28"/>
      <c r="AI14" s="191"/>
      <c r="AJ14" s="28"/>
      <c r="AK14" s="28"/>
      <c r="AL14" s="28"/>
      <c r="AM14" s="28"/>
    </row>
    <row r="15" spans="1:39" s="5" customFormat="1" ht="27.6">
      <c r="A15" s="3">
        <f t="shared" si="1"/>
        <v>8</v>
      </c>
      <c r="B15" s="706">
        <f>'תקציב אגף שאיפה  2020 '!B10</f>
        <v>1166</v>
      </c>
      <c r="C15" s="87" t="str">
        <f>'תקציב אגף שאיפה  2020 '!C10</f>
        <v>שדרוג מערכת השקייה ממוחשבות (חדשים)</v>
      </c>
      <c r="D15" s="4">
        <f>'תקציב אגף שאיפה  2020 '!D10</f>
        <v>9115000</v>
      </c>
      <c r="E15" s="4">
        <f>'תקציב אגף שאיפה  2020 '!E10</f>
        <v>9115000</v>
      </c>
      <c r="F15" s="4">
        <f>'תקציב אגף שאיפה  2020 '!F10</f>
        <v>0</v>
      </c>
      <c r="G15" s="4">
        <f>'תקציב אגף שאיפה  2020 '!G10</f>
        <v>9115000</v>
      </c>
      <c r="H15" s="4">
        <f>'תקציב אגף שאיפה  2020 '!H10</f>
        <v>9068337.2400000002</v>
      </c>
      <c r="I15" s="4">
        <f>'תקציב אגף שאיפה  2020 '!I10</f>
        <v>0</v>
      </c>
      <c r="J15" s="4">
        <f>'תקציב אגף שאיפה  2020 '!J10</f>
        <v>46623.28</v>
      </c>
      <c r="K15" s="4">
        <f>'תקציב אגף שאיפה  2020 '!K10</f>
        <v>46623.28</v>
      </c>
      <c r="L15" s="4">
        <f>'תקציב אגף שאיפה  2020 '!L10</f>
        <v>9114960.5199999996</v>
      </c>
      <c r="M15" s="4">
        <f>'תקציב אגף שאיפה  2020 '!M10</f>
        <v>39.480000000447035</v>
      </c>
      <c r="N15" s="4">
        <f>'תקציב אגף שאיפה  2020 '!N10</f>
        <v>0</v>
      </c>
      <c r="O15" s="4">
        <f>'תקציב אגף שאיפה  2020 '!O10</f>
        <v>0</v>
      </c>
      <c r="P15" s="4">
        <f>'תקציב אגף שאיפה  2020 '!P10</f>
        <v>39.480000000447035</v>
      </c>
      <c r="Q15" s="4">
        <f>'תקציב אגף שאיפה  2020 '!Q10</f>
        <v>0</v>
      </c>
      <c r="R15" s="4">
        <f>'תקציב אגף שאיפה  2020 '!R10</f>
        <v>0</v>
      </c>
      <c r="S15" s="4">
        <f>'תקציב אגף שאיפה  2020 '!S10</f>
        <v>0</v>
      </c>
      <c r="T15" s="4">
        <f>'תקציב אגף שאיפה  2020 '!T10</f>
        <v>0</v>
      </c>
      <c r="U15" s="4">
        <f>'תקציב אגף שאיפה  2020 '!U10</f>
        <v>0</v>
      </c>
      <c r="V15" s="4">
        <f>'תקציב אגף שאיפה  2020 '!V10</f>
        <v>0</v>
      </c>
      <c r="W15" s="4">
        <f>'תקציב אגף שאיפה  2020 '!W10</f>
        <v>0</v>
      </c>
      <c r="X15" s="4">
        <f>'תקציב אגף שאיפה  2020 '!X10</f>
        <v>0</v>
      </c>
      <c r="Y15" s="4">
        <f>'תקציב אגף שאיפה  2020 '!Y10</f>
        <v>0</v>
      </c>
      <c r="Z15" s="4">
        <f>'תקציב אגף שאיפה  2020 '!Z10</f>
        <v>0</v>
      </c>
      <c r="AA15" s="87" t="str">
        <f>'תקציב אגף שאיפה  2020 '!AA10</f>
        <v>לקראת סיום.</v>
      </c>
      <c r="AB15" s="706">
        <f>'תקציב אגף שאיפה  2020 '!AB10</f>
        <v>746000</v>
      </c>
      <c r="AC15" s="210"/>
      <c r="AD15" s="392"/>
      <c r="AE15" s="392"/>
      <c r="AF15" s="330"/>
      <c r="AG15" s="333"/>
      <c r="AH15" s="28"/>
      <c r="AI15" s="191"/>
      <c r="AJ15" s="28"/>
      <c r="AK15" s="28"/>
      <c r="AL15" s="28"/>
      <c r="AM15" s="28"/>
    </row>
    <row r="16" spans="1:39" s="5" customFormat="1" ht="82.8">
      <c r="A16" s="3">
        <f t="shared" si="1"/>
        <v>9</v>
      </c>
      <c r="B16" s="706">
        <f>'תקציב אגף שאיפה  2020 '!B12</f>
        <v>1254</v>
      </c>
      <c r="C16" s="87" t="str">
        <f>'תקציב אגף שאיפה  2020 '!C12</f>
        <v xml:space="preserve">שיקום שדרוג,הקמה ונגישות גינות ציבוריות </v>
      </c>
      <c r="D16" s="4">
        <f>'תקציב אגף שאיפה  2020 '!D12</f>
        <v>45990000</v>
      </c>
      <c r="E16" s="4">
        <f>'תקציב אגף שאיפה  2020 '!E12</f>
        <v>37990000</v>
      </c>
      <c r="F16" s="4">
        <f>'תקציב אגף שאיפה  2020 '!F12</f>
        <v>8000000</v>
      </c>
      <c r="G16" s="4">
        <f>'תקציב אגף שאיפה  2020 '!G12</f>
        <v>37990000</v>
      </c>
      <c r="H16" s="4">
        <f>'תקציב אגף שאיפה  2020 '!H12</f>
        <v>34036953.539999999</v>
      </c>
      <c r="I16" s="4">
        <f>'תקציב אגף שאיפה  2020 '!I12</f>
        <v>0</v>
      </c>
      <c r="J16" s="4">
        <f>'תקציב אגף שאיפה  2020 '!J12</f>
        <v>3524759.54</v>
      </c>
      <c r="K16" s="4">
        <f>'תקציב אגף שאיפה  2020 '!K12</f>
        <v>3524759.54</v>
      </c>
      <c r="L16" s="4">
        <f>'תקציב אגף שאיפה  2020 '!L12</f>
        <v>37561713.079999998</v>
      </c>
      <c r="M16" s="4">
        <f>'תקציב אגף שאיפה  2020 '!M12</f>
        <v>428286.92000000179</v>
      </c>
      <c r="N16" s="4">
        <f>'תקציב אגף שאיפה  2020 '!N12</f>
        <v>6500000</v>
      </c>
      <c r="O16" s="4">
        <f>'תקציב אגף שאיפה  2020 '!O12</f>
        <v>1500000</v>
      </c>
      <c r="P16" s="4">
        <f>'תקציב אגף שאיפה  2020 '!P12</f>
        <v>428286.92000000179</v>
      </c>
      <c r="Q16" s="4">
        <f>'תקציב אגף שאיפה  2020 '!Q12</f>
        <v>0</v>
      </c>
      <c r="R16" s="4">
        <f>'תקציב אגף שאיפה  2020 '!R12</f>
        <v>0</v>
      </c>
      <c r="S16" s="4">
        <f>'תקציב אגף שאיפה  2020 '!S12</f>
        <v>0</v>
      </c>
      <c r="T16" s="4">
        <f>'תקציב אגף שאיפה  2020 '!T12</f>
        <v>0</v>
      </c>
      <c r="U16" s="4">
        <f>'תקציב אגף שאיפה  2020 '!U12</f>
        <v>6500000</v>
      </c>
      <c r="V16" s="4">
        <f>'תקציב אגף שאיפה  2020 '!V12</f>
        <v>1000000</v>
      </c>
      <c r="W16" s="4">
        <f>'תקציב אגף שאיפה  2020 '!W12</f>
        <v>5500000</v>
      </c>
      <c r="X16" s="4">
        <f>'תקציב אגף שאיפה  2020 '!X12</f>
        <v>0</v>
      </c>
      <c r="Y16" s="4">
        <f>'תקציב אגף שאיפה  2020 '!Y12</f>
        <v>0</v>
      </c>
      <c r="Z16" s="4">
        <f>'תקציב אגף שאיפה  2020 '!Z12</f>
        <v>0</v>
      </c>
      <c r="AA16" s="87" t="str">
        <f>'תקציב אגף שאיפה  2020 '!AA12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B16" s="706">
        <f>'תקציב אגף שאיפה  2020 '!AB12</f>
        <v>746000</v>
      </c>
      <c r="AC16" s="210"/>
      <c r="AD16" s="392"/>
      <c r="AE16" s="392"/>
      <c r="AF16" s="330"/>
      <c r="AG16" s="333"/>
      <c r="AH16" s="28"/>
      <c r="AI16" s="191"/>
      <c r="AJ16" s="28"/>
      <c r="AK16" s="28"/>
      <c r="AL16" s="28"/>
      <c r="AM16" s="28"/>
    </row>
    <row r="17" spans="1:39" s="5" customFormat="1" ht="41.4">
      <c r="A17" s="3">
        <f t="shared" si="1"/>
        <v>10</v>
      </c>
      <c r="B17" s="706">
        <f>'תקציב אגף שאיפה  2020 '!B13</f>
        <v>1342</v>
      </c>
      <c r="C17" s="87" t="str">
        <f>'תקציב אגף שאיפה  2020 '!C13</f>
        <v>הקמת גינות לכלבים</v>
      </c>
      <c r="D17" s="4">
        <f>'תקציב אגף שאיפה  2020 '!D13</f>
        <v>4000000</v>
      </c>
      <c r="E17" s="4">
        <f>'תקציב אגף שאיפה  2020 '!E13</f>
        <v>4000000</v>
      </c>
      <c r="F17" s="4">
        <f>'תקציב אגף שאיפה  2020 '!F13</f>
        <v>0</v>
      </c>
      <c r="G17" s="4">
        <f>'תקציב אגף שאיפה  2020 '!G13</f>
        <v>2950000</v>
      </c>
      <c r="H17" s="4">
        <f>'תקציב אגף שאיפה  2020 '!H13</f>
        <v>2269553.59</v>
      </c>
      <c r="I17" s="4">
        <f>'תקציב אגף שאיפה  2020 '!I13</f>
        <v>0</v>
      </c>
      <c r="J17" s="4">
        <f>'תקציב אגף שאיפה  2020 '!J13</f>
        <v>38087.25</v>
      </c>
      <c r="K17" s="4">
        <f>'תקציב אגף שאיפה  2020 '!K13</f>
        <v>38087.25</v>
      </c>
      <c r="L17" s="4">
        <f>'תקציב אגף שאיפה  2020 '!L13</f>
        <v>2307640.84</v>
      </c>
      <c r="M17" s="4">
        <f>'תקציב אגף שאיפה  2020 '!M13</f>
        <v>642359.16000000015</v>
      </c>
      <c r="N17" s="4">
        <f>'תקציב אגף שאיפה  2020 '!N13</f>
        <v>500000</v>
      </c>
      <c r="O17" s="4">
        <f>'תקציב אגף שאיפה  2020 '!O13</f>
        <v>550000</v>
      </c>
      <c r="P17" s="4">
        <f>'תקציב אגף שאיפה  2020 '!P13</f>
        <v>642359.16000000015</v>
      </c>
      <c r="Q17" s="4">
        <f>'תקציב אגף שאיפה  2020 '!Q13</f>
        <v>500000</v>
      </c>
      <c r="R17" s="4">
        <f>'תקציב אגף שאיפה  2020 '!R13</f>
        <v>0</v>
      </c>
      <c r="S17" s="4">
        <f>'תקציב אגף שאיפה  2020 '!S13</f>
        <v>500000</v>
      </c>
      <c r="T17" s="4">
        <f>'תקציב אגף שאיפה  2020 '!T13</f>
        <v>500000</v>
      </c>
      <c r="U17" s="4">
        <f>'תקציב אגף שאיפה  2020 '!U13</f>
        <v>0</v>
      </c>
      <c r="V17" s="4">
        <f>'תקציב אגף שאיפה  2020 '!V13</f>
        <v>0</v>
      </c>
      <c r="W17" s="4">
        <f>'תקציב אגף שאיפה  2020 '!W13</f>
        <v>0</v>
      </c>
      <c r="X17" s="4">
        <f>'תקציב אגף שאיפה  2020 '!X13</f>
        <v>0</v>
      </c>
      <c r="Y17" s="4">
        <f>'תקציב אגף שאיפה  2020 '!Y13</f>
        <v>0</v>
      </c>
      <c r="Z17" s="4">
        <f>'תקציב אגף שאיפה  2020 '!Z13</f>
        <v>0</v>
      </c>
      <c r="AA17" s="87" t="str">
        <f>'תקציב אגף שאיפה  2020 '!AA13</f>
        <v xml:space="preserve">הקמת גינות כלבים כולל: פיתוח שבילים, גידור, תאורה, ברזיות, ריהוט גן תואם,גינון והשקייה. </v>
      </c>
      <c r="AB17" s="706">
        <f>'תקציב אגף שאיפה  2020 '!AB13</f>
        <v>746000</v>
      </c>
      <c r="AC17" s="210"/>
      <c r="AD17" s="392"/>
      <c r="AE17" s="392"/>
      <c r="AF17" s="330"/>
      <c r="AG17" s="333"/>
      <c r="AH17" s="28"/>
      <c r="AI17" s="191"/>
      <c r="AJ17" s="28"/>
      <c r="AK17" s="28"/>
      <c r="AL17" s="28"/>
      <c r="AM17" s="28"/>
    </row>
    <row r="18" spans="1:39" s="5" customFormat="1" ht="55.2">
      <c r="A18" s="3">
        <f t="shared" si="1"/>
        <v>11</v>
      </c>
      <c r="B18" s="706">
        <f>'תקציב אגף שאיפה  2020 '!B14</f>
        <v>1343</v>
      </c>
      <c r="C18" s="87" t="str">
        <f>'תקציב אגף שאיפה  2020 '!C14</f>
        <v>סככות הצללה לגני משחקים</v>
      </c>
      <c r="D18" s="4">
        <f>'תקציב אגף שאיפה  2020 '!D14</f>
        <v>8320000</v>
      </c>
      <c r="E18" s="4">
        <f>'תקציב אגף שאיפה  2020 '!E14</f>
        <v>8320000</v>
      </c>
      <c r="F18" s="4">
        <f>'תקציב אגף שאיפה  2020 '!F14</f>
        <v>0</v>
      </c>
      <c r="G18" s="4">
        <f>'תקציב אגף שאיפה  2020 '!G14</f>
        <v>6520000</v>
      </c>
      <c r="H18" s="4">
        <f>'תקציב אגף שאיפה  2020 '!H14</f>
        <v>5532043.8499999996</v>
      </c>
      <c r="I18" s="4">
        <f>'תקציב אגף שאיפה  2020 '!I14</f>
        <v>0</v>
      </c>
      <c r="J18" s="4">
        <f>'תקציב אגף שאיפה  2020 '!J14</f>
        <v>937492.49</v>
      </c>
      <c r="K18" s="4">
        <f>'תקציב אגף שאיפה  2020 '!K14</f>
        <v>937492.49</v>
      </c>
      <c r="L18" s="4">
        <f>'תקציב אגף שאיפה  2020 '!L14</f>
        <v>6469536.3399999999</v>
      </c>
      <c r="M18" s="4">
        <f>'תקציב אגף שאיפה  2020 '!M14</f>
        <v>550463.66000000015</v>
      </c>
      <c r="N18" s="4">
        <f>'תקציב אגף שאיפה  2020 '!N14</f>
        <v>400000</v>
      </c>
      <c r="O18" s="4">
        <f>'תקציב אגף שאיפה  2020 '!O14</f>
        <v>900000</v>
      </c>
      <c r="P18" s="4">
        <f>'תקציב אגף שאיפה  2020 '!P14</f>
        <v>50463.660000000149</v>
      </c>
      <c r="Q18" s="4">
        <f>'תקציב אגף שאיפה  2020 '!Q14</f>
        <v>500000</v>
      </c>
      <c r="R18" s="4">
        <f>'תקציב אגף שאיפה  2020 '!R14</f>
        <v>0</v>
      </c>
      <c r="S18" s="4">
        <f>'תקציב אגף שאיפה  2020 '!S14</f>
        <v>500000</v>
      </c>
      <c r="T18" s="4">
        <f>'תקציב אגף שאיפה  2020 '!T14</f>
        <v>0</v>
      </c>
      <c r="U18" s="4">
        <f>'תקציב אגף שאיפה  2020 '!U14</f>
        <v>400000</v>
      </c>
      <c r="V18" s="4">
        <f>'תקציב אגף שאיפה  2020 '!V14</f>
        <v>0</v>
      </c>
      <c r="W18" s="4">
        <f>'תקציב אגף שאיפה  2020 '!W14</f>
        <v>400000</v>
      </c>
      <c r="X18" s="4">
        <f>'תקציב אגף שאיפה  2020 '!X14</f>
        <v>0</v>
      </c>
      <c r="Y18" s="4">
        <f>'תקציב אגף שאיפה  2020 '!Y14</f>
        <v>0</v>
      </c>
      <c r="Z18" s="4">
        <f>'תקציב אגף שאיפה  2020 '!Z14</f>
        <v>0</v>
      </c>
      <c r="AA18" s="87" t="str">
        <f>'תקציב אגף שאיפה  2020 '!AA14</f>
        <v>הצללת אזורים של מתקני משחקים לנוחות הציבור. נחקק חוק חדש שאושר בוועדת הפנים המחייב את הרשויות להקים הצללות בגני משחקים.</v>
      </c>
      <c r="AB18" s="706">
        <f>'תקציב אגף שאיפה  2020 '!AB14</f>
        <v>746000</v>
      </c>
      <c r="AC18" s="210"/>
      <c r="AD18" s="392"/>
      <c r="AE18" s="392"/>
      <c r="AF18" s="330"/>
      <c r="AG18" s="333"/>
      <c r="AH18" s="28"/>
      <c r="AI18" s="191"/>
      <c r="AJ18" s="28"/>
      <c r="AK18" s="28"/>
      <c r="AL18" s="28"/>
      <c r="AM18" s="28"/>
    </row>
    <row r="19" spans="1:39" s="5" customFormat="1" ht="27.6">
      <c r="A19" s="3">
        <f t="shared" si="1"/>
        <v>12</v>
      </c>
      <c r="B19" s="706">
        <f>'תקציב אגף שאיפה  2020 '!B17</f>
        <v>1491</v>
      </c>
      <c r="C19" s="87" t="str">
        <f>'תקציב אגף שאיפה  2020 '!C17</f>
        <v>שדרוג תשתיות משטחי גומי גינות</v>
      </c>
      <c r="D19" s="4">
        <f>'תקציב אגף שאיפה  2020 '!D17</f>
        <v>6870000</v>
      </c>
      <c r="E19" s="4">
        <f>'תקציב אגף שאיפה  2020 '!E17</f>
        <v>6870000</v>
      </c>
      <c r="F19" s="4">
        <f>'תקציב אגף שאיפה  2020 '!F17</f>
        <v>0</v>
      </c>
      <c r="G19" s="4">
        <f>'תקציב אגף שאיפה  2020 '!G17</f>
        <v>6870000</v>
      </c>
      <c r="H19" s="4">
        <f>'תקציב אגף שאיפה  2020 '!H17</f>
        <v>6396807.6100000003</v>
      </c>
      <c r="I19" s="4">
        <f>'תקציב אגף שאיפה  2020 '!I17</f>
        <v>0</v>
      </c>
      <c r="J19" s="4">
        <f>'תקציב אגף שאיפה  2020 '!J17</f>
        <v>438194.45</v>
      </c>
      <c r="K19" s="4">
        <f>'תקציב אגף שאיפה  2020 '!K17</f>
        <v>438194.45</v>
      </c>
      <c r="L19" s="4">
        <f>'תקציב אגף שאיפה  2020 '!L17</f>
        <v>6835002.0600000005</v>
      </c>
      <c r="M19" s="4">
        <f>'תקציב אגף שאיפה  2020 '!M17</f>
        <v>34997.939999999478</v>
      </c>
      <c r="N19" s="4">
        <f>'תקציב אגף שאיפה  2020 '!N17</f>
        <v>0</v>
      </c>
      <c r="O19" s="4">
        <f>'תקציב אגף שאיפה  2020 '!O17</f>
        <v>0</v>
      </c>
      <c r="P19" s="4">
        <f>'תקציב אגף שאיפה  2020 '!P17</f>
        <v>34997.939999999478</v>
      </c>
      <c r="Q19" s="4">
        <f>'תקציב אגף שאיפה  2020 '!Q17</f>
        <v>0</v>
      </c>
      <c r="R19" s="4">
        <f>'תקציב אגף שאיפה  2020 '!R17</f>
        <v>0</v>
      </c>
      <c r="S19" s="4">
        <f>'תקציב אגף שאיפה  2020 '!S17</f>
        <v>0</v>
      </c>
      <c r="T19" s="4">
        <f>'תקציב אגף שאיפה  2020 '!T17</f>
        <v>0</v>
      </c>
      <c r="U19" s="4">
        <f>'תקציב אגף שאיפה  2020 '!U17</f>
        <v>0</v>
      </c>
      <c r="V19" s="4">
        <f>'תקציב אגף שאיפה  2020 '!V17</f>
        <v>0</v>
      </c>
      <c r="W19" s="4">
        <f>'תקציב אגף שאיפה  2020 '!W17</f>
        <v>0</v>
      </c>
      <c r="X19" s="4">
        <f>'תקציב אגף שאיפה  2020 '!X17</f>
        <v>0</v>
      </c>
      <c r="Y19" s="4">
        <f>'תקציב אגף שאיפה  2020 '!Y17</f>
        <v>0</v>
      </c>
      <c r="Z19" s="4">
        <f>'תקציב אגף שאיפה  2020 '!Z17</f>
        <v>0</v>
      </c>
      <c r="AA19" s="87" t="str">
        <f>'תקציב אגף שאיפה  2020 '!AA17</f>
        <v>ביצוע של החלפת משטחי גומי ישנים מאוד בגינות קיימות. לקראת סיום.</v>
      </c>
      <c r="AB19" s="706">
        <f>'תקציב אגף שאיפה  2020 '!AB17</f>
        <v>746000</v>
      </c>
      <c r="AC19" s="210"/>
      <c r="AD19" s="392"/>
      <c r="AE19" s="392"/>
      <c r="AF19" s="330"/>
      <c r="AG19" s="333"/>
      <c r="AH19" s="28"/>
      <c r="AI19" s="191"/>
      <c r="AJ19" s="28"/>
      <c r="AK19" s="28"/>
      <c r="AL19" s="28"/>
      <c r="AM19" s="28"/>
    </row>
    <row r="20" spans="1:39" s="5" customFormat="1" ht="69">
      <c r="A20" s="3">
        <f t="shared" si="1"/>
        <v>13</v>
      </c>
      <c r="B20" s="706">
        <f>'תקציב אגף שאיפה  2020 '!B18</f>
        <v>1504</v>
      </c>
      <c r="C20" s="87" t="str">
        <f>'תקציב אגף שאיפה  2020 '!C18</f>
        <v>נטיעת עצים ברחבי העיר</v>
      </c>
      <c r="D20" s="4">
        <f>'תקציב אגף שאיפה  2020 '!D18</f>
        <v>2000000</v>
      </c>
      <c r="E20" s="4">
        <f>'תקציב אגף שאיפה  2020 '!E18</f>
        <v>1700000</v>
      </c>
      <c r="F20" s="4">
        <f>'תקציב אגף שאיפה  2020 '!F18</f>
        <v>300000</v>
      </c>
      <c r="G20" s="4">
        <f>'תקציב אגף שאיפה  2020 '!G18</f>
        <v>1500000</v>
      </c>
      <c r="H20" s="4">
        <f>'תקציב אגף שאיפה  2020 '!H18</f>
        <v>1424566.83</v>
      </c>
      <c r="I20" s="4">
        <f>'תקציב אגף שאיפה  2020 '!I18</f>
        <v>0</v>
      </c>
      <c r="J20" s="4">
        <f>'תקציב אגף שאיפה  2020 '!J18</f>
        <v>6500.72</v>
      </c>
      <c r="K20" s="4">
        <f>'תקציב אגף שאיפה  2020 '!K18</f>
        <v>6500.72</v>
      </c>
      <c r="L20" s="4">
        <f>'תקציב אגף שאיפה  2020 '!L18</f>
        <v>1431067.55</v>
      </c>
      <c r="M20" s="4">
        <f>'תקציב אגף שאיפה  2020 '!M18</f>
        <v>68932.449999999953</v>
      </c>
      <c r="N20" s="4">
        <f>'תקציב אגף שאיפה  2020 '!N18</f>
        <v>400000</v>
      </c>
      <c r="O20" s="4">
        <f>'תקציב אגף שאיפה  2020 '!O18</f>
        <v>100000</v>
      </c>
      <c r="P20" s="4">
        <f>'תקציב אגף שאיפה  2020 '!P18</f>
        <v>68932.449999999953</v>
      </c>
      <c r="Q20" s="4">
        <f>'תקציב אגף שאיפה  2020 '!Q18</f>
        <v>0</v>
      </c>
      <c r="R20" s="4">
        <f>'תקציב אגף שאיפה  2020 '!R18</f>
        <v>0</v>
      </c>
      <c r="S20" s="4">
        <f>'תקציב אגף שאיפה  2020 '!S18</f>
        <v>0</v>
      </c>
      <c r="T20" s="4">
        <f>'תקציב אגף שאיפה  2020 '!T18</f>
        <v>0</v>
      </c>
      <c r="U20" s="4">
        <f>'תקציב אגף שאיפה  2020 '!U18</f>
        <v>400000</v>
      </c>
      <c r="V20" s="4">
        <f>'תקציב אגף שאיפה  2020 '!V18</f>
        <v>400000</v>
      </c>
      <c r="W20" s="4">
        <f>'תקציב אגף שאיפה  2020 '!W18</f>
        <v>0</v>
      </c>
      <c r="X20" s="4">
        <f>'תקציב אגף שאיפה  2020 '!X18</f>
        <v>0</v>
      </c>
      <c r="Y20" s="4">
        <f>'תקציב אגף שאיפה  2020 '!Y18</f>
        <v>0</v>
      </c>
      <c r="Z20" s="4">
        <f>'תקציב אגף שאיפה  2020 '!Z18</f>
        <v>0</v>
      </c>
      <c r="AA20" s="87" t="str">
        <f>'תקציב אגף שאיפה  2020 '!AA18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B20" s="706">
        <f>'תקציב אגף שאיפה  2020 '!AB18</f>
        <v>746000</v>
      </c>
      <c r="AC20" s="210"/>
      <c r="AD20" s="392"/>
      <c r="AE20" s="392"/>
      <c r="AF20" s="330"/>
      <c r="AG20" s="333"/>
      <c r="AH20" s="28"/>
      <c r="AI20" s="191"/>
      <c r="AJ20" s="28"/>
      <c r="AK20" s="28"/>
      <c r="AL20" s="28"/>
      <c r="AM20" s="28"/>
    </row>
    <row r="21" spans="1:39" s="5" customFormat="1">
      <c r="A21" s="3">
        <f t="shared" si="1"/>
        <v>14</v>
      </c>
      <c r="B21" s="706">
        <f>'תקציב אגף שאיפה  2020 '!B21</f>
        <v>1629</v>
      </c>
      <c r="C21" s="87" t="str">
        <f>'תקציב אגף שאיפה  2020 '!C21</f>
        <v>ריהוט רחוב</v>
      </c>
      <c r="D21" s="4">
        <f>'תקציב אגף שאיפה  2020 '!D21</f>
        <v>450000</v>
      </c>
      <c r="E21" s="4">
        <f>'תקציב אגף שאיפה  2020 '!E21</f>
        <v>450000</v>
      </c>
      <c r="F21" s="4">
        <f>'תקציב אגף שאיפה  2020 '!F21</f>
        <v>0</v>
      </c>
      <c r="G21" s="4">
        <f>'תקציב אגף שאיפה  2020 '!G21</f>
        <v>450000</v>
      </c>
      <c r="H21" s="4">
        <f>'תקציב אגף שאיפה  2020 '!H21</f>
        <v>349830.63</v>
      </c>
      <c r="I21" s="4">
        <f>'תקציב אגף שאיפה  2020 '!I21</f>
        <v>0</v>
      </c>
      <c r="J21" s="4">
        <f>'תקציב אגף שאיפה  2020 '!J21</f>
        <v>100168.97</v>
      </c>
      <c r="K21" s="4">
        <f>'תקציב אגף שאיפה  2020 '!K21</f>
        <v>100168.97</v>
      </c>
      <c r="L21" s="4">
        <f>'תקציב אגף שאיפה  2020 '!L21</f>
        <v>449999.6</v>
      </c>
      <c r="M21" s="4">
        <f>'תקציב אגף שאיפה  2020 '!M21</f>
        <v>0.40000000002328306</v>
      </c>
      <c r="N21" s="4">
        <f>'תקציב אגף שאיפה  2020 '!N21</f>
        <v>0</v>
      </c>
      <c r="O21" s="4">
        <f>'תקציב אגף שאיפה  2020 '!O21</f>
        <v>0</v>
      </c>
      <c r="P21" s="4">
        <f>'תקציב אגף שאיפה  2020 '!P21</f>
        <v>0.40000000002328306</v>
      </c>
      <c r="Q21" s="4">
        <f>'תקציב אגף שאיפה  2020 '!Q21</f>
        <v>0</v>
      </c>
      <c r="R21" s="4">
        <f>'תקציב אגף שאיפה  2020 '!R21</f>
        <v>0</v>
      </c>
      <c r="S21" s="4">
        <f>'תקציב אגף שאיפה  2020 '!S21</f>
        <v>0</v>
      </c>
      <c r="T21" s="4">
        <f>'תקציב אגף שאיפה  2020 '!T21</f>
        <v>0</v>
      </c>
      <c r="U21" s="4">
        <f>'תקציב אגף שאיפה  2020 '!U21</f>
        <v>0</v>
      </c>
      <c r="V21" s="4">
        <f>'תקציב אגף שאיפה  2020 '!V21</f>
        <v>0</v>
      </c>
      <c r="W21" s="4">
        <f>'תקציב אגף שאיפה  2020 '!W21</f>
        <v>0</v>
      </c>
      <c r="X21" s="4">
        <f>'תקציב אגף שאיפה  2020 '!X21</f>
        <v>0</v>
      </c>
      <c r="Y21" s="4">
        <f>'תקציב אגף שאיפה  2020 '!Y21</f>
        <v>0</v>
      </c>
      <c r="Z21" s="4">
        <f>'תקציב אגף שאיפה  2020 '!Z21</f>
        <v>0</v>
      </c>
      <c r="AA21" s="87">
        <f>'תקציב אגף שאיפה  2020 '!AA21</f>
        <v>0</v>
      </c>
      <c r="AB21" s="706">
        <f>'תקציב אגף שאיפה  2020 '!AB21</f>
        <v>746000</v>
      </c>
      <c r="AC21" s="210"/>
      <c r="AD21" s="392"/>
      <c r="AE21" s="392"/>
      <c r="AF21" s="330"/>
      <c r="AG21" s="333"/>
      <c r="AH21" s="28"/>
      <c r="AI21" s="191"/>
      <c r="AJ21" s="28"/>
      <c r="AK21" s="29"/>
      <c r="AL21" s="29"/>
      <c r="AM21" s="29"/>
    </row>
    <row r="22" spans="1:39" s="5" customFormat="1" ht="27.6">
      <c r="A22" s="3">
        <f t="shared" si="1"/>
        <v>15</v>
      </c>
      <c r="B22" s="706">
        <f>'תקציב אגף שאיפה  2020 '!B22</f>
        <v>1680</v>
      </c>
      <c r="C22" s="87" t="str">
        <f>'תקציב אגף שאיפה  2020 '!C22</f>
        <v>סקר עצים מסוכנים ברחבי העיר</v>
      </c>
      <c r="D22" s="4">
        <f>'תקציב אגף שאיפה  2020 '!D22</f>
        <v>950000</v>
      </c>
      <c r="E22" s="4">
        <f>'תקציב אגף שאיפה  2020 '!E22</f>
        <v>950000</v>
      </c>
      <c r="F22" s="4">
        <f>'תקציב אגף שאיפה  2020 '!F22</f>
        <v>0</v>
      </c>
      <c r="G22" s="4">
        <f>'תקציב אגף שאיפה  2020 '!G22</f>
        <v>500000</v>
      </c>
      <c r="H22" s="4">
        <f>'תקציב אגף שאיפה  2020 '!H22</f>
        <v>208809.82</v>
      </c>
      <c r="I22" s="4">
        <f>'תקציב אגף שאיפה  2020 '!I22</f>
        <v>0</v>
      </c>
      <c r="J22" s="4">
        <f>'תקציב אגף שאיפה  2020 '!J22</f>
        <v>258336</v>
      </c>
      <c r="K22" s="4">
        <f>'תקציב אגף שאיפה  2020 '!K22</f>
        <v>258336</v>
      </c>
      <c r="L22" s="4">
        <f>'תקציב אגף שאיפה  2020 '!L22</f>
        <v>467145.82</v>
      </c>
      <c r="M22" s="4">
        <f>'תקציב אגף שאיפה  2020 '!M22</f>
        <v>32854.179999999993</v>
      </c>
      <c r="N22" s="4">
        <f>'תקציב אגף שאיפה  2020 '!N22</f>
        <v>450000</v>
      </c>
      <c r="O22" s="4">
        <f>'תקציב אגף שאיפה  2020 '!O22</f>
        <v>0</v>
      </c>
      <c r="P22" s="4">
        <f>'תקציב אגף שאיפה  2020 '!P22</f>
        <v>32854.179999999993</v>
      </c>
      <c r="Q22" s="4">
        <f>'תקציב אגף שאיפה  2020 '!Q22</f>
        <v>0</v>
      </c>
      <c r="R22" s="4">
        <f>'תקציב אגף שאיפה  2020 '!R22</f>
        <v>0</v>
      </c>
      <c r="S22" s="4">
        <f>'תקציב אגף שאיפה  2020 '!S22</f>
        <v>0</v>
      </c>
      <c r="T22" s="4">
        <f>'תקציב אגף שאיפה  2020 '!T22</f>
        <v>0</v>
      </c>
      <c r="U22" s="4">
        <f>'תקציב אגף שאיפה  2020 '!U22</f>
        <v>450000</v>
      </c>
      <c r="V22" s="4">
        <f>'תקציב אגף שאיפה  2020 '!V22</f>
        <v>0</v>
      </c>
      <c r="W22" s="4">
        <f>'תקציב אגף שאיפה  2020 '!W22</f>
        <v>450000</v>
      </c>
      <c r="X22" s="4">
        <f>'תקציב אגף שאיפה  2020 '!X22</f>
        <v>0</v>
      </c>
      <c r="Y22" s="4">
        <f>'תקציב אגף שאיפה  2020 '!Y22</f>
        <v>0</v>
      </c>
      <c r="Z22" s="4">
        <f>'תקציב אגף שאיפה  2020 '!Z22</f>
        <v>0</v>
      </c>
      <c r="AA22" s="87" t="str">
        <f>'תקציב אגף שאיפה  2020 '!AA22</f>
        <v>סקירת עצים מסוכנים בפארקים, שצ"פים, רחובות וחורשות אקליפטוסים.</v>
      </c>
      <c r="AB22" s="706">
        <f>'תקציב אגף שאיפה  2020 '!AB22</f>
        <v>746000</v>
      </c>
      <c r="AC22" s="210"/>
      <c r="AD22" s="392"/>
      <c r="AE22" s="392"/>
      <c r="AF22" s="330"/>
      <c r="AG22" s="333"/>
      <c r="AH22" s="28"/>
      <c r="AI22" s="191"/>
      <c r="AJ22" s="28"/>
      <c r="AK22" s="29"/>
      <c r="AL22" s="29"/>
      <c r="AM22" s="29"/>
    </row>
    <row r="23" spans="1:39" s="5" customFormat="1" ht="41.4">
      <c r="A23" s="3">
        <f t="shared" si="1"/>
        <v>16</v>
      </c>
      <c r="B23" s="706">
        <f>'תקציב אגף שאיפה  2020 '!B28</f>
        <v>1971</v>
      </c>
      <c r="C23" s="87" t="str">
        <f>'תקציב אגף שאיפה  2020 '!C28</f>
        <v>פיתוח חורשת נוף ים</v>
      </c>
      <c r="D23" s="4">
        <f>'תקציב אגף שאיפה  2020 '!D28</f>
        <v>500000</v>
      </c>
      <c r="E23" s="4">
        <f>'תקציב אגף שאיפה  2020 '!E28</f>
        <v>500000</v>
      </c>
      <c r="F23" s="4">
        <f>'תקציב אגף שאיפה  2020 '!F28</f>
        <v>0</v>
      </c>
      <c r="G23" s="4">
        <f>'תקציב אגף שאיפה  2020 '!G28</f>
        <v>500000</v>
      </c>
      <c r="H23" s="4">
        <f>'תקציב אגף שאיפה  2020 '!H28</f>
        <v>235730.91</v>
      </c>
      <c r="I23" s="4">
        <f>'תקציב אגף שאיפה  2020 '!I28</f>
        <v>0</v>
      </c>
      <c r="J23" s="4">
        <f>'תקציב אגף שאיפה  2020 '!J28</f>
        <v>0</v>
      </c>
      <c r="K23" s="4">
        <f>'תקציב אגף שאיפה  2020 '!K28</f>
        <v>0</v>
      </c>
      <c r="L23" s="4">
        <f>'תקציב אגף שאיפה  2020 '!L28</f>
        <v>235730.91</v>
      </c>
      <c r="M23" s="4">
        <f>'תקציב אגף שאיפה  2020 '!M28</f>
        <v>264269.08999999997</v>
      </c>
      <c r="N23" s="4">
        <f>'תקציב אגף שאיפה  2020 '!N28</f>
        <v>0</v>
      </c>
      <c r="O23" s="4">
        <f>'תקציב אגף שאיפה  2020 '!O28</f>
        <v>0</v>
      </c>
      <c r="P23" s="4">
        <f>'תקציב אגף שאיפה  2020 '!P28</f>
        <v>264269.08999999997</v>
      </c>
      <c r="Q23" s="4">
        <f>'תקציב אגף שאיפה  2020 '!Q28</f>
        <v>0</v>
      </c>
      <c r="R23" s="4">
        <f>'תקציב אגף שאיפה  2020 '!R28</f>
        <v>0</v>
      </c>
      <c r="S23" s="4">
        <f>'תקציב אגף שאיפה  2020 '!S28</f>
        <v>0</v>
      </c>
      <c r="T23" s="4">
        <f>'תקציב אגף שאיפה  2020 '!T28</f>
        <v>0</v>
      </c>
      <c r="U23" s="4">
        <f>'תקציב אגף שאיפה  2020 '!U28</f>
        <v>0</v>
      </c>
      <c r="V23" s="4">
        <f>'תקציב אגף שאיפה  2020 '!V28</f>
        <v>0</v>
      </c>
      <c r="W23" s="4">
        <f>'תקציב אגף שאיפה  2020 '!W28</f>
        <v>0</v>
      </c>
      <c r="X23" s="4">
        <f>'תקציב אגף שאיפה  2020 '!X28</f>
        <v>0</v>
      </c>
      <c r="Y23" s="4">
        <f>'תקציב אגף שאיפה  2020 '!Y28</f>
        <v>0</v>
      </c>
      <c r="Z23" s="4">
        <f>'תקציב אגף שאיפה  2020 '!Z28</f>
        <v>0</v>
      </c>
      <c r="AA23" s="87" t="str">
        <f>'תקציב אגף שאיפה  2020 '!AA28</f>
        <v>עבודות במתחם מתקני הכושר:החלפת חול,דשא סינטטי. החלפת מתקני משחק וגידור.</v>
      </c>
      <c r="AB23" s="706">
        <f>'תקציב אגף שאיפה  2020 '!AB28</f>
        <v>746000</v>
      </c>
      <c r="AC23" s="210"/>
      <c r="AD23" s="392"/>
      <c r="AE23" s="392"/>
      <c r="AF23" s="330"/>
      <c r="AG23" s="333"/>
      <c r="AH23" s="28"/>
      <c r="AI23" s="191"/>
      <c r="AJ23" s="28"/>
      <c r="AK23" s="29"/>
      <c r="AL23" s="29"/>
      <c r="AM23" s="29"/>
    </row>
    <row r="24" spans="1:39" s="5" customFormat="1" ht="41.4">
      <c r="A24" s="3">
        <f t="shared" si="1"/>
        <v>17</v>
      </c>
      <c r="B24" s="706">
        <f>'תקציב אגף שאיפה  2020 '!B30</f>
        <v>1989</v>
      </c>
      <c r="C24" s="87" t="str">
        <f>'תקציב אגף שאיפה  2020 '!C30</f>
        <v>פיתוח נופי דרך ירושלים כביש 531</v>
      </c>
      <c r="D24" s="4">
        <f>'תקציב אגף שאיפה  2020 '!D30</f>
        <v>860000</v>
      </c>
      <c r="E24" s="4">
        <f>'תקציב אגף שאיפה  2020 '!E30</f>
        <v>860000</v>
      </c>
      <c r="F24" s="4">
        <f>'תקציב אגף שאיפה  2020 '!F30</f>
        <v>0</v>
      </c>
      <c r="G24" s="4">
        <f>'תקציב אגף שאיפה  2020 '!G30</f>
        <v>655000</v>
      </c>
      <c r="H24" s="4">
        <f>'תקציב אגף שאיפה  2020 '!H30</f>
        <v>542461.30000000005</v>
      </c>
      <c r="I24" s="4">
        <f>'תקציב אגף שאיפה  2020 '!I30</f>
        <v>0</v>
      </c>
      <c r="J24" s="4">
        <f>'תקציב אגף שאיפה  2020 '!J30</f>
        <v>0</v>
      </c>
      <c r="K24" s="4">
        <f>'תקציב אגף שאיפה  2020 '!K30</f>
        <v>0</v>
      </c>
      <c r="L24" s="4">
        <f>'תקציב אגף שאיפה  2020 '!L30</f>
        <v>542461.30000000005</v>
      </c>
      <c r="M24" s="4">
        <f>'תקציב אגף שאיפה  2020 '!M30</f>
        <v>112538.69999999995</v>
      </c>
      <c r="N24" s="4">
        <f>'תקציב אגף שאיפה  2020 '!N30</f>
        <v>205000</v>
      </c>
      <c r="O24" s="4">
        <f>'תקציב אגף שאיפה  2020 '!O30</f>
        <v>0</v>
      </c>
      <c r="P24" s="4">
        <f>'תקציב אגף שאיפה  2020 '!P30</f>
        <v>112538.69999999995</v>
      </c>
      <c r="Q24" s="4">
        <f>'תקציב אגף שאיפה  2020 '!Q30</f>
        <v>205000</v>
      </c>
      <c r="R24" s="4">
        <f>'תקציב אגף שאיפה  2020 '!R30</f>
        <v>0</v>
      </c>
      <c r="S24" s="4">
        <f>'תקציב אגף שאיפה  2020 '!S30</f>
        <v>205000</v>
      </c>
      <c r="T24" s="4">
        <f>'תקציב אגף שאיפה  2020 '!T30</f>
        <v>205000</v>
      </c>
      <c r="U24" s="4">
        <f>'תקציב אגף שאיפה  2020 '!U30</f>
        <v>0</v>
      </c>
      <c r="V24" s="4">
        <f>'תקציב אגף שאיפה  2020 '!V30</f>
        <v>0</v>
      </c>
      <c r="W24" s="4">
        <f>'תקציב אגף שאיפה  2020 '!W30</f>
        <v>0</v>
      </c>
      <c r="X24" s="4">
        <f>'תקציב אגף שאיפה  2020 '!X30</f>
        <v>0</v>
      </c>
      <c r="Y24" s="4">
        <f>'תקציב אגף שאיפה  2020 '!Y30</f>
        <v>0</v>
      </c>
      <c r="Z24" s="4">
        <f>'תקציב אגף שאיפה  2020 '!Z30</f>
        <v>0</v>
      </c>
      <c r="AA24" s="87" t="str">
        <f>'תקציב אגף שאיפה  2020 '!AA30</f>
        <v>עבודות פיתוח השטח בין שכונת יד התשעה לקיר האקוסטי של כביש 531, כולל פיתוח השצ"פ.</v>
      </c>
      <c r="AB24" s="706">
        <f>'תקציב אגף שאיפה  2020 '!AB30</f>
        <v>746000</v>
      </c>
      <c r="AC24" s="210"/>
      <c r="AD24" s="392"/>
      <c r="AE24" s="392"/>
      <c r="AF24" s="330"/>
      <c r="AG24" s="333"/>
      <c r="AH24" s="28"/>
      <c r="AI24" s="191"/>
      <c r="AJ24" s="28"/>
      <c r="AK24" s="29"/>
      <c r="AL24" s="29"/>
      <c r="AM24" s="29"/>
    </row>
    <row r="25" spans="1:39" s="5" customFormat="1">
      <c r="A25" s="3">
        <f t="shared" si="1"/>
        <v>18</v>
      </c>
      <c r="B25" s="706">
        <f>'תקציב אגף שאיפה  2020 '!B31</f>
        <v>2035</v>
      </c>
      <c r="C25" s="87" t="str">
        <f>'תקציב אגף שאיפה  2020 '!C31</f>
        <v>שדרוג גן שלווה</v>
      </c>
      <c r="D25" s="4">
        <f>'תקציב אגף שאיפה  2020 '!D31</f>
        <v>953000</v>
      </c>
      <c r="E25" s="4">
        <f>'תקציב אגף שאיפה  2020 '!E31</f>
        <v>953000</v>
      </c>
      <c r="F25" s="4">
        <f>'תקציב אגף שאיפה  2020 '!F31</f>
        <v>0</v>
      </c>
      <c r="G25" s="4">
        <f>'תקציב אגף שאיפה  2020 '!G31</f>
        <v>953000</v>
      </c>
      <c r="H25" s="4">
        <f>'תקציב אגף שאיפה  2020 '!H31</f>
        <v>157768.07999999999</v>
      </c>
      <c r="I25" s="4">
        <f>'תקציב אגף שאיפה  2020 '!I31</f>
        <v>0</v>
      </c>
      <c r="J25" s="4">
        <f>'תקציב אגף שאיפה  2020 '!J31</f>
        <v>795216.85</v>
      </c>
      <c r="K25" s="4">
        <f>'תקציב אגף שאיפה  2020 '!K31</f>
        <v>795216.85</v>
      </c>
      <c r="L25" s="4">
        <f>'תקציב אגף שאיפה  2020 '!L31</f>
        <v>952984.92999999993</v>
      </c>
      <c r="M25" s="4">
        <f>'תקציב אגף שאיפה  2020 '!M31</f>
        <v>15.070000000065193</v>
      </c>
      <c r="N25" s="4">
        <f>'תקציב אגף שאיפה  2020 '!N31</f>
        <v>0</v>
      </c>
      <c r="O25" s="4">
        <f>'תקציב אגף שאיפה  2020 '!O31</f>
        <v>0</v>
      </c>
      <c r="P25" s="4">
        <f>'תקציב אגף שאיפה  2020 '!P31</f>
        <v>15.070000000065193</v>
      </c>
      <c r="Q25" s="4">
        <f>'תקציב אגף שאיפה  2020 '!Q31</f>
        <v>0</v>
      </c>
      <c r="R25" s="4">
        <f>'תקציב אגף שאיפה  2020 '!R31</f>
        <v>0</v>
      </c>
      <c r="S25" s="4">
        <f>'תקציב אגף שאיפה  2020 '!S31</f>
        <v>0</v>
      </c>
      <c r="T25" s="4">
        <f>'תקציב אגף שאיפה  2020 '!T31</f>
        <v>0</v>
      </c>
      <c r="U25" s="4">
        <f>'תקציב אגף שאיפה  2020 '!U31</f>
        <v>0</v>
      </c>
      <c r="V25" s="4">
        <f>'תקציב אגף שאיפה  2020 '!V31</f>
        <v>0</v>
      </c>
      <c r="W25" s="4">
        <f>'תקציב אגף שאיפה  2020 '!W31</f>
        <v>0</v>
      </c>
      <c r="X25" s="4">
        <f>'תקציב אגף שאיפה  2020 '!X31</f>
        <v>0</v>
      </c>
      <c r="Y25" s="4">
        <f>'תקציב אגף שאיפה  2020 '!Y31</f>
        <v>0</v>
      </c>
      <c r="Z25" s="4">
        <f>'תקציב אגף שאיפה  2020 '!Z31</f>
        <v>0</v>
      </c>
      <c r="AA25" s="87">
        <f>'תקציב אגף שאיפה  2020 '!AA31</f>
        <v>0</v>
      </c>
      <c r="AB25" s="706">
        <f>'תקציב אגף שאיפה  2020 '!AB31</f>
        <v>746000</v>
      </c>
      <c r="AC25" s="210"/>
      <c r="AD25" s="392"/>
      <c r="AE25" s="392"/>
      <c r="AF25" s="330"/>
      <c r="AG25" s="333"/>
      <c r="AH25" s="28"/>
      <c r="AI25" s="191"/>
      <c r="AJ25" s="28"/>
      <c r="AK25" s="28"/>
      <c r="AL25" s="28"/>
      <c r="AM25" s="28"/>
    </row>
    <row r="26" spans="1:39" s="5" customFormat="1" ht="41.4">
      <c r="A26" s="3">
        <f t="shared" si="1"/>
        <v>19</v>
      </c>
      <c r="B26" s="706">
        <f>'תקציב אגף שאיפה  2020 '!B38</f>
        <v>2042</v>
      </c>
      <c r="C26" s="87" t="str">
        <f>'תקציב אגף שאיפה  2020 '!C38</f>
        <v>הרצליה ב' שצ" פ המסילה, מ.מסחרי</v>
      </c>
      <c r="D26" s="4">
        <f>'תקציב אגף שאיפה  2020 '!D38</f>
        <v>740000</v>
      </c>
      <c r="E26" s="4">
        <f>'תקציב אגף שאיפה  2020 '!E38</f>
        <v>740000</v>
      </c>
      <c r="F26" s="4">
        <f>'תקציב אגף שאיפה  2020 '!F38</f>
        <v>0</v>
      </c>
      <c r="G26" s="4">
        <f>'תקציב אגף שאיפה  2020 '!G38</f>
        <v>450000</v>
      </c>
      <c r="H26" s="4">
        <f>'תקציב אגף שאיפה  2020 '!H38</f>
        <v>181745.18</v>
      </c>
      <c r="I26" s="4">
        <f>'תקציב אגף שאיפה  2020 '!I38</f>
        <v>0</v>
      </c>
      <c r="J26" s="4">
        <f>'תקציב אגף שאיפה  2020 '!J38</f>
        <v>45365.82</v>
      </c>
      <c r="K26" s="4">
        <f>'תקציב אגף שאיפה  2020 '!K38</f>
        <v>45365.82</v>
      </c>
      <c r="L26" s="4">
        <f>'תקציב אגף שאיפה  2020 '!L38</f>
        <v>227111</v>
      </c>
      <c r="M26" s="4">
        <f>'תקציב אגף שאיפה  2020 '!M38</f>
        <v>2889</v>
      </c>
      <c r="N26" s="4">
        <f>'תקציב אגף שאיפה  2020 '!N38</f>
        <v>0</v>
      </c>
      <c r="O26" s="4">
        <f>'תקציב אגף שאיפה  2020 '!O38</f>
        <v>510000</v>
      </c>
      <c r="P26" s="4">
        <f>'תקציב אגף שאיפה  2020 '!P38</f>
        <v>222889</v>
      </c>
      <c r="Q26" s="4">
        <f>'תקציב אגף שאיפה  2020 '!Q38</f>
        <v>0</v>
      </c>
      <c r="R26" s="4">
        <f>'תקציב אגף שאיפה  2020 '!R38</f>
        <v>0</v>
      </c>
      <c r="S26" s="4">
        <f>'תקציב אגף שאיפה  2020 '!S38</f>
        <v>0</v>
      </c>
      <c r="T26" s="4">
        <f>'תקציב אגף שאיפה  2020 '!T38</f>
        <v>220000</v>
      </c>
      <c r="U26" s="4">
        <f>'תקציב אגף שאיפה  2020 '!U38</f>
        <v>-220000</v>
      </c>
      <c r="V26" s="4">
        <f>'תקציב אגף שאיפה  2020 '!V38</f>
        <v>-220000</v>
      </c>
      <c r="W26" s="4">
        <f>'תקציב אגף שאיפה  2020 '!W38</f>
        <v>0</v>
      </c>
      <c r="X26" s="4">
        <f>'תקציב אגף שאיפה  2020 '!X38</f>
        <v>0</v>
      </c>
      <c r="Y26" s="4">
        <f>'תקציב אגף שאיפה  2020 '!Y38</f>
        <v>0</v>
      </c>
      <c r="Z26" s="4">
        <f>'תקציב אגף שאיפה  2020 '!Z38</f>
        <v>0</v>
      </c>
      <c r="AA26" s="87" t="str">
        <f>'תקציב אגף שאיפה  2020 '!AA38</f>
        <v>ביצוע שצ"פ רחוב המסילה כולל גידור, הסדרת המרכז המסחרי אל-על נורדאו, עבודות גינון נוספות. העבודות הסתיימו.</v>
      </c>
      <c r="AB26" s="706">
        <f>'תקציב אגף שאיפה  2020 '!AB38</f>
        <v>746000</v>
      </c>
      <c r="AC26" s="210"/>
      <c r="AD26" s="392"/>
      <c r="AE26" s="392"/>
      <c r="AF26" s="330"/>
      <c r="AG26" s="333"/>
      <c r="AH26" s="28"/>
      <c r="AI26" s="191"/>
      <c r="AJ26" s="28"/>
      <c r="AK26" s="29"/>
      <c r="AL26" s="29"/>
      <c r="AM26" s="29"/>
    </row>
    <row r="27" spans="1:39" s="5" customFormat="1" ht="55.2">
      <c r="A27" s="3">
        <f t="shared" si="1"/>
        <v>20</v>
      </c>
      <c r="B27" s="706">
        <f>'תקציב אגף שאיפה  2020 '!B41</f>
        <v>2087</v>
      </c>
      <c r="C27" s="87" t="str">
        <f>'תקציב אגף שאיפה  2020 '!C41</f>
        <v xml:space="preserve">ארלוזרוב - דרך ירושלים </v>
      </c>
      <c r="D27" s="4">
        <f>'תקציב אגף שאיפה  2020 '!D41</f>
        <v>1200000</v>
      </c>
      <c r="E27" s="4">
        <f>'תקציב אגף שאיפה  2020 '!E41</f>
        <v>1200000</v>
      </c>
      <c r="F27" s="4">
        <f>'תקציב אגף שאיפה  2020 '!F41</f>
        <v>0</v>
      </c>
      <c r="G27" s="4">
        <f>'תקציב אגף שאיפה  2020 '!G41</f>
        <v>750000</v>
      </c>
      <c r="H27" s="4">
        <f>'תקציב אגף שאיפה  2020 '!H41</f>
        <v>128147.79</v>
      </c>
      <c r="I27" s="4">
        <f>'תקציב אגף שאיפה  2020 '!I41</f>
        <v>0</v>
      </c>
      <c r="J27" s="4">
        <f>'תקציב אגף שאיפה  2020 '!J41</f>
        <v>490942.62</v>
      </c>
      <c r="K27" s="4">
        <f>'תקציב אגף שאיפה  2020 '!K41</f>
        <v>490942.62</v>
      </c>
      <c r="L27" s="4">
        <f>'תקציב אגף שאיפה  2020 '!L41</f>
        <v>619090.41</v>
      </c>
      <c r="M27" s="4">
        <f>'תקציב אגף שאיפה  2020 '!M41</f>
        <v>130909.58999999997</v>
      </c>
      <c r="N27" s="4">
        <f>'תקציב אגף שאיפה  2020 '!N41</f>
        <v>450000</v>
      </c>
      <c r="O27" s="4">
        <f>'תקציב אגף שאיפה  2020 '!O41</f>
        <v>0</v>
      </c>
      <c r="P27" s="4">
        <f>'תקציב אגף שאיפה  2020 '!P41</f>
        <v>130909.58999999997</v>
      </c>
      <c r="Q27" s="4">
        <f>'תקציב אגף שאיפה  2020 '!Q41</f>
        <v>450000</v>
      </c>
      <c r="R27" s="4">
        <f>'תקציב אגף שאיפה  2020 '!R41</f>
        <v>0</v>
      </c>
      <c r="S27" s="4">
        <f>'תקציב אגף שאיפה  2020 '!S41</f>
        <v>450000</v>
      </c>
      <c r="T27" s="4">
        <f>'תקציב אגף שאיפה  2020 '!T41</f>
        <v>450000</v>
      </c>
      <c r="U27" s="4">
        <f>'תקציב אגף שאיפה  2020 '!U41</f>
        <v>0</v>
      </c>
      <c r="V27" s="4">
        <f>'תקציב אגף שאיפה  2020 '!V41</f>
        <v>0</v>
      </c>
      <c r="W27" s="4">
        <f>'תקציב אגף שאיפה  2020 '!W41</f>
        <v>0</v>
      </c>
      <c r="X27" s="4">
        <f>'תקציב אגף שאיפה  2020 '!X41</f>
        <v>0</v>
      </c>
      <c r="Y27" s="4">
        <f>'תקציב אגף שאיפה  2020 '!Y41</f>
        <v>0</v>
      </c>
      <c r="Z27" s="4">
        <f>'תקציב אגף שאיפה  2020 '!Z41</f>
        <v>0</v>
      </c>
      <c r="AA27" s="87" t="str">
        <f>'תקציב אגף שאיפה  2020 '!AA41</f>
        <v>הסדרת השטח לאורך רח' ארלוזרוב קטע: בית"ר-דרך ירושלים. ייצוב פני הקרקע למניעת סחף והסדרת שיפועים וניקוזים, הסדרת המדרכה וגינון והשקייה.</v>
      </c>
      <c r="AB27" s="706">
        <f>'תקציב אגף שאיפה  2020 '!AB41</f>
        <v>746000</v>
      </c>
      <c r="AC27" s="210"/>
      <c r="AD27" s="392"/>
      <c r="AE27" s="330"/>
      <c r="AF27" s="330"/>
      <c r="AG27" s="333"/>
      <c r="AH27" s="28"/>
      <c r="AI27" s="191"/>
      <c r="AJ27" s="28"/>
      <c r="AK27" s="29"/>
      <c r="AL27" s="29"/>
      <c r="AM27" s="29"/>
    </row>
    <row r="28" spans="1:39" s="5" customFormat="1" ht="41.4">
      <c r="A28" s="3">
        <f t="shared" si="1"/>
        <v>21</v>
      </c>
      <c r="B28" s="706">
        <f>'תקציב אגף שאיפה  2020 '!B42</f>
        <v>2088</v>
      </c>
      <c r="C28" s="87" t="str">
        <f>'תקציב אגף שאיפה  2020 '!C42</f>
        <v xml:space="preserve">שדרוג גן דפנה אילת </v>
      </c>
      <c r="D28" s="4">
        <f>'תקציב אגף שאיפה  2020 '!D42</f>
        <v>1600000</v>
      </c>
      <c r="E28" s="4">
        <f>'תקציב אגף שאיפה  2020 '!E42</f>
        <v>1200000</v>
      </c>
      <c r="F28" s="4">
        <f>'תקציב אגף שאיפה  2020 '!F42</f>
        <v>400000</v>
      </c>
      <c r="G28" s="4">
        <f>'תקציב אגף שאיפה  2020 '!G42</f>
        <v>1200000</v>
      </c>
      <c r="H28" s="4">
        <f>'תקציב אגף שאיפה  2020 '!H42</f>
        <v>0</v>
      </c>
      <c r="I28" s="4">
        <f>'תקציב אגף שאיפה  2020 '!I42</f>
        <v>0</v>
      </c>
      <c r="J28" s="4">
        <f>'תקציב אגף שאיפה  2020 '!J42</f>
        <v>1015806.8</v>
      </c>
      <c r="K28" s="4">
        <f>'תקציב אגף שאיפה  2020 '!K42</f>
        <v>1015806.8</v>
      </c>
      <c r="L28" s="4">
        <f>'תקציב אגף שאיפה  2020 '!L42</f>
        <v>1015806.8</v>
      </c>
      <c r="M28" s="4">
        <f>'תקציב אגף שאיפה  2020 '!M42</f>
        <v>184193.19999999995</v>
      </c>
      <c r="N28" s="4">
        <f>'תקציב אגף שאיפה  2020 '!N42</f>
        <v>400000</v>
      </c>
      <c r="O28" s="4">
        <f>'תקציב אגף שאיפה  2020 '!O42</f>
        <v>0</v>
      </c>
      <c r="P28" s="4">
        <f>'תקציב אגף שאיפה  2020 '!P42</f>
        <v>184193.19999999995</v>
      </c>
      <c r="Q28" s="4">
        <f>'תקציב אגף שאיפה  2020 '!Q42</f>
        <v>0</v>
      </c>
      <c r="R28" s="4">
        <f>'תקציב אגף שאיפה  2020 '!R42</f>
        <v>0</v>
      </c>
      <c r="S28" s="4">
        <f>'תקציב אגף שאיפה  2020 '!S42</f>
        <v>0</v>
      </c>
      <c r="T28" s="4">
        <f>'תקציב אגף שאיפה  2020 '!T42</f>
        <v>0</v>
      </c>
      <c r="U28" s="4">
        <f>'תקציב אגף שאיפה  2020 '!U42</f>
        <v>400000</v>
      </c>
      <c r="V28" s="4">
        <f>'תקציב אגף שאיפה  2020 '!V42</f>
        <v>400000</v>
      </c>
      <c r="W28" s="4">
        <f>'תקציב אגף שאיפה  2020 '!W42</f>
        <v>0</v>
      </c>
      <c r="X28" s="4">
        <f>'תקציב אגף שאיפה  2020 '!X42</f>
        <v>0</v>
      </c>
      <c r="Y28" s="4">
        <f>'תקציב אגף שאיפה  2020 '!Y42</f>
        <v>0</v>
      </c>
      <c r="Z28" s="4">
        <f>'תקציב אגף שאיפה  2020 '!Z42</f>
        <v>0</v>
      </c>
      <c r="AA28" s="87" t="str">
        <f>'תקציב אגף שאיפה  2020 '!AA42</f>
        <v>הסדרת הגן המרכזי בשכונת גן רש"ל כולל: מתקני משחק, משטח גומי, עבודות גינון, השקייה, פיתוח והנגשה.</v>
      </c>
      <c r="AB28" s="706">
        <f>'תקציב אגף שאיפה  2020 '!AB42</f>
        <v>746000</v>
      </c>
      <c r="AC28" s="210"/>
      <c r="AD28" s="392"/>
      <c r="AE28" s="330"/>
      <c r="AF28" s="330"/>
      <c r="AG28" s="333"/>
      <c r="AH28" s="28"/>
      <c r="AI28" s="191"/>
      <c r="AJ28" s="28"/>
      <c r="AK28" s="29"/>
      <c r="AL28" s="29"/>
      <c r="AM28" s="29"/>
    </row>
    <row r="29" spans="1:39" s="5" customFormat="1" ht="55.2" customHeight="1">
      <c r="A29" s="3">
        <f t="shared" si="1"/>
        <v>22</v>
      </c>
      <c r="B29" s="706">
        <f>'תקציב אגף שאיפה  2020 '!B44</f>
        <v>2165</v>
      </c>
      <c r="C29" s="87" t="str">
        <f>'תקציב אגף שאיפה  2020 '!C44</f>
        <v>שדרוג רחוב וינגגיט</v>
      </c>
      <c r="D29" s="4">
        <f>'תקציב אגף שאיפה  2020 '!D44</f>
        <v>1040000</v>
      </c>
      <c r="E29" s="4">
        <f>'תקציב אגף שאיפה  2020 '!E44</f>
        <v>0</v>
      </c>
      <c r="F29" s="4">
        <f>'תקציב אגף שאיפה  2020 '!F44</f>
        <v>1040000</v>
      </c>
      <c r="G29" s="4">
        <f>'תקציב אגף שאיפה  2020 '!G44</f>
        <v>0</v>
      </c>
      <c r="H29" s="4">
        <f>'תקציב אגף שאיפה  2020 '!H44</f>
        <v>0</v>
      </c>
      <c r="I29" s="4">
        <f>'תקציב אגף שאיפה  2020 '!I44</f>
        <v>0</v>
      </c>
      <c r="J29" s="4">
        <f>'תקציב אגף שאיפה  2020 '!J44</f>
        <v>0</v>
      </c>
      <c r="K29" s="4">
        <f>'תקציב אגף שאיפה  2020 '!K44</f>
        <v>0</v>
      </c>
      <c r="L29" s="4">
        <f>'תקציב אגף שאיפה  2020 '!L44</f>
        <v>0</v>
      </c>
      <c r="M29" s="4">
        <f>'תקציב אגף שאיפה  2020 '!M44</f>
        <v>0</v>
      </c>
      <c r="N29" s="4">
        <f>'תקציב אגף שאיפה  2020 '!N44</f>
        <v>250000</v>
      </c>
      <c r="O29" s="4">
        <f>'תקציב אגף שאיפה  2020 '!O44</f>
        <v>790000</v>
      </c>
      <c r="P29" s="4">
        <f>'תקציב אגף שאיפה  2020 '!P44</f>
        <v>0</v>
      </c>
      <c r="Q29" s="4">
        <f>'תקציב אגף שאיפה  2020 '!Q44</f>
        <v>0</v>
      </c>
      <c r="R29" s="4">
        <f>'תקציב אגף שאיפה  2020 '!R44</f>
        <v>0</v>
      </c>
      <c r="S29" s="4">
        <f>'תקציב אגף שאיפה  2020 '!S44</f>
        <v>0</v>
      </c>
      <c r="T29" s="4">
        <f>'תקציב אגף שאיפה  2020 '!T44</f>
        <v>0</v>
      </c>
      <c r="U29" s="4">
        <f>'תקציב אגף שאיפה  2020 '!U44</f>
        <v>250000</v>
      </c>
      <c r="V29" s="4">
        <f>'תקציב אגף שאיפה  2020 '!V44</f>
        <v>0</v>
      </c>
      <c r="W29" s="4">
        <f>'תקציב אגף שאיפה  2020 '!W44</f>
        <v>250000</v>
      </c>
      <c r="X29" s="4">
        <f>'תקציב אגף שאיפה  2020 '!X44</f>
        <v>0</v>
      </c>
      <c r="Y29" s="4">
        <f>'תקציב אגף שאיפה  2020 '!Y44</f>
        <v>0</v>
      </c>
      <c r="Z29" s="4">
        <f>'תקציב אגף שאיפה  2020 '!Z44</f>
        <v>0</v>
      </c>
      <c r="AA29" s="87" t="str">
        <f>'תקציב אגף שאיפה  2020 '!AA44</f>
        <v>עבודות שדרוג ושיקום ערוגות הגינון  לצידי הרחוב והכיכרות המרכזיות. מרחוב וינגייט ועד רח' הקונגרס שטח של כ- 2.6 דונם.</v>
      </c>
      <c r="AB29" s="706">
        <f>'תקציב אגף שאיפה  2020 '!AB44</f>
        <v>746000</v>
      </c>
      <c r="AC29" s="210"/>
      <c r="AD29" s="52"/>
      <c r="AE29" s="6"/>
      <c r="AF29" s="6"/>
    </row>
    <row r="30" spans="1:39" s="5" customFormat="1" ht="41.4">
      <c r="A30" s="3">
        <f t="shared" si="1"/>
        <v>23</v>
      </c>
      <c r="B30" s="706">
        <f>'תקציב אגף שאיפה  2020 '!B45</f>
        <v>2166</v>
      </c>
      <c r="C30" s="87" t="str">
        <f>'תקציב אגף שאיפה  2020 '!C45</f>
        <v>שדרוג רחוב בן גוריון</v>
      </c>
      <c r="D30" s="4">
        <f>'תקציב אגף שאיפה  2020 '!D45</f>
        <v>500000</v>
      </c>
      <c r="E30" s="4">
        <f>'תקציב אגף שאיפה  2020 '!E45</f>
        <v>0</v>
      </c>
      <c r="F30" s="4">
        <f>'תקציב אגף שאיפה  2020 '!F45</f>
        <v>500000</v>
      </c>
      <c r="G30" s="4">
        <f>'תקציב אגף שאיפה  2020 '!G45</f>
        <v>0</v>
      </c>
      <c r="H30" s="4">
        <f>'תקציב אגף שאיפה  2020 '!H45</f>
        <v>0</v>
      </c>
      <c r="I30" s="4">
        <f>'תקציב אגף שאיפה  2020 '!I45</f>
        <v>0</v>
      </c>
      <c r="J30" s="4">
        <f>'תקציב אגף שאיפה  2020 '!J45</f>
        <v>0</v>
      </c>
      <c r="K30" s="4">
        <f>'תקציב אגף שאיפה  2020 '!K45</f>
        <v>0</v>
      </c>
      <c r="L30" s="4">
        <f>'תקציב אגף שאיפה  2020 '!L45</f>
        <v>0</v>
      </c>
      <c r="M30" s="4">
        <f>'תקציב אגף שאיפה  2020 '!M45</f>
        <v>0</v>
      </c>
      <c r="N30" s="4">
        <f>'תקציב אגף שאיפה  2020 '!N45</f>
        <v>300000</v>
      </c>
      <c r="O30" s="4">
        <f>'תקציב אגף שאיפה  2020 '!O45</f>
        <v>200000</v>
      </c>
      <c r="P30" s="4">
        <f>'תקציב אגף שאיפה  2020 '!P45</f>
        <v>0</v>
      </c>
      <c r="Q30" s="4">
        <f>'תקציב אגף שאיפה  2020 '!Q45</f>
        <v>0</v>
      </c>
      <c r="R30" s="4">
        <f>'תקציב אגף שאיפה  2020 '!R45</f>
        <v>0</v>
      </c>
      <c r="S30" s="4">
        <f>'תקציב אגף שאיפה  2020 '!S45</f>
        <v>0</v>
      </c>
      <c r="T30" s="4">
        <f>'תקציב אגף שאיפה  2020 '!T45</f>
        <v>0</v>
      </c>
      <c r="U30" s="4">
        <f>'תקציב אגף שאיפה  2020 '!U45</f>
        <v>300000</v>
      </c>
      <c r="V30" s="4">
        <f>'תקציב אגף שאיפה  2020 '!V45</f>
        <v>0</v>
      </c>
      <c r="W30" s="4">
        <f>'תקציב אגף שאיפה  2020 '!W45</f>
        <v>300000</v>
      </c>
      <c r="X30" s="4">
        <f>'תקציב אגף שאיפה  2020 '!X45</f>
        <v>0</v>
      </c>
      <c r="Y30" s="4">
        <f>'תקציב אגף שאיפה  2020 '!Y45</f>
        <v>0</v>
      </c>
      <c r="Z30" s="4">
        <f>'תקציב אגף שאיפה  2020 '!Z45</f>
        <v>0</v>
      </c>
      <c r="AA30" s="87" t="str">
        <f>'תקציב אגף שאיפה  2020 '!AA45</f>
        <v>עבודות שדרוג ושיקום שטחי הגינון  לצידי הרחוב במקטעים שטרם שודרגו. שטח של כ- 4.5 דונם.</v>
      </c>
      <c r="AB30" s="706">
        <f>'תקציב אגף שאיפה  2020 '!AB45</f>
        <v>746000</v>
      </c>
      <c r="AC30" s="210"/>
      <c r="AD30" s="52"/>
      <c r="AE30" s="6"/>
      <c r="AF30" s="6"/>
    </row>
    <row r="31" spans="1:39" s="5" customFormat="1" ht="55.2">
      <c r="A31" s="3">
        <f t="shared" si="1"/>
        <v>24</v>
      </c>
      <c r="B31" s="706">
        <f>'תקציב אגף שאיפה  2020 '!B47</f>
        <v>2168</v>
      </c>
      <c r="C31" s="87" t="str">
        <f>'תקציב אגף שאיפה  2020 '!C47</f>
        <v>קידום ושימור הטבע העירוני בעיר</v>
      </c>
      <c r="D31" s="4">
        <f>'תקציב אגף שאיפה  2020 '!D47</f>
        <v>240000</v>
      </c>
      <c r="E31" s="4">
        <f>'תקציב אגף שאיפה  2020 '!E47</f>
        <v>0</v>
      </c>
      <c r="F31" s="4">
        <f>'תקציב אגף שאיפה  2020 '!F47</f>
        <v>240000</v>
      </c>
      <c r="G31" s="4">
        <f>'תקציב אגף שאיפה  2020 '!G47</f>
        <v>0</v>
      </c>
      <c r="H31" s="4">
        <f>'תקציב אגף שאיפה  2020 '!H47</f>
        <v>0</v>
      </c>
      <c r="I31" s="4">
        <f>'תקציב אגף שאיפה  2020 '!I47</f>
        <v>0</v>
      </c>
      <c r="J31" s="4">
        <f>'תקציב אגף שאיפה  2020 '!J47</f>
        <v>0</v>
      </c>
      <c r="K31" s="4">
        <f>'תקציב אגף שאיפה  2020 '!K47</f>
        <v>0</v>
      </c>
      <c r="L31" s="4">
        <f>'תקציב אגף שאיפה  2020 '!L47</f>
        <v>0</v>
      </c>
      <c r="M31" s="4">
        <f>'תקציב אגף שאיפה  2020 '!M47</f>
        <v>0</v>
      </c>
      <c r="N31" s="4">
        <f>'תקציב אגף שאיפה  2020 '!N47</f>
        <v>240000</v>
      </c>
      <c r="O31" s="4">
        <f>'תקציב אגף שאיפה  2020 '!O47</f>
        <v>0</v>
      </c>
      <c r="P31" s="4">
        <f>'תקציב אגף שאיפה  2020 '!P47</f>
        <v>0</v>
      </c>
      <c r="Q31" s="4">
        <f>'תקציב אגף שאיפה  2020 '!Q47</f>
        <v>0</v>
      </c>
      <c r="R31" s="4">
        <f>'תקציב אגף שאיפה  2020 '!R47</f>
        <v>0</v>
      </c>
      <c r="S31" s="4">
        <f>'תקציב אגף שאיפה  2020 '!S47</f>
        <v>0</v>
      </c>
      <c r="T31" s="4">
        <f>'תקציב אגף שאיפה  2020 '!T47</f>
        <v>0</v>
      </c>
      <c r="U31" s="4">
        <f>'תקציב אגף שאיפה  2020 '!U47</f>
        <v>240000</v>
      </c>
      <c r="V31" s="4">
        <f>'תקציב אגף שאיפה  2020 '!V47</f>
        <v>0</v>
      </c>
      <c r="W31" s="4">
        <f>'תקציב אגף שאיפה  2020 '!W47</f>
        <v>240000</v>
      </c>
      <c r="X31" s="4">
        <f>'תקציב אגף שאיפה  2020 '!X47</f>
        <v>0</v>
      </c>
      <c r="Y31" s="4">
        <f>'תקציב אגף שאיפה  2020 '!Y47</f>
        <v>0</v>
      </c>
      <c r="Z31" s="4">
        <f>'תקציב אגף שאיפה  2020 '!Z47</f>
        <v>0</v>
      </c>
      <c r="AA31" s="87" t="str">
        <f>'תקציב אגף שאיפה  2020 '!AA47</f>
        <v>פעילות חד פעמית בעקבות ממצאי סקר טבע עירוני. הפעילות כוללת: סילוק מינים פולשים של צמחייה , סגירת אזורים עם בולדרים,שילוט .</v>
      </c>
      <c r="AB31" s="706">
        <f>'תקציב אגף שאיפה  2020 '!AB47</f>
        <v>746000</v>
      </c>
      <c r="AC31" s="210"/>
      <c r="AD31" s="52"/>
      <c r="AE31" s="6"/>
      <c r="AF31" s="6"/>
    </row>
    <row r="32" spans="1:39" s="84" customFormat="1" ht="13.8">
      <c r="A32" s="41"/>
      <c r="B32" s="725"/>
      <c r="C32" s="705" t="s">
        <v>691</v>
      </c>
      <c r="D32" s="88">
        <f>SUM(D9:D31)</f>
        <v>104373000</v>
      </c>
      <c r="E32" s="88">
        <f t="shared" ref="E32:Z32" si="2">SUM(E9:E31)</f>
        <v>92198000</v>
      </c>
      <c r="F32" s="88">
        <f t="shared" si="2"/>
        <v>12175000</v>
      </c>
      <c r="G32" s="88">
        <f t="shared" si="2"/>
        <v>86720200</v>
      </c>
      <c r="H32" s="88">
        <f t="shared" si="2"/>
        <v>75620793.450000003</v>
      </c>
      <c r="I32" s="88">
        <f t="shared" si="2"/>
        <v>0</v>
      </c>
      <c r="J32" s="88">
        <f t="shared" si="2"/>
        <v>7902746.2299999995</v>
      </c>
      <c r="K32" s="88">
        <f t="shared" si="2"/>
        <v>7902746.2299999995</v>
      </c>
      <c r="L32" s="88">
        <f t="shared" si="2"/>
        <v>83523539.679999977</v>
      </c>
      <c r="M32" s="88">
        <f t="shared" si="2"/>
        <v>3476660.320000004</v>
      </c>
      <c r="N32" s="88">
        <f t="shared" si="2"/>
        <v>11795000</v>
      </c>
      <c r="O32" s="88">
        <f t="shared" si="2"/>
        <v>5577800</v>
      </c>
      <c r="P32" s="88">
        <f t="shared" si="2"/>
        <v>3196660.320000004</v>
      </c>
      <c r="Q32" s="88">
        <f t="shared" si="2"/>
        <v>1655000</v>
      </c>
      <c r="R32" s="88">
        <f t="shared" si="2"/>
        <v>0</v>
      </c>
      <c r="S32" s="88">
        <f t="shared" si="2"/>
        <v>1655000</v>
      </c>
      <c r="T32" s="88">
        <f t="shared" si="2"/>
        <v>1375000</v>
      </c>
      <c r="U32" s="88">
        <f t="shared" si="2"/>
        <v>10420000</v>
      </c>
      <c r="V32" s="88">
        <f t="shared" si="2"/>
        <v>1580000</v>
      </c>
      <c r="W32" s="88">
        <f t="shared" si="2"/>
        <v>8840000</v>
      </c>
      <c r="X32" s="88">
        <f t="shared" si="2"/>
        <v>0</v>
      </c>
      <c r="Y32" s="88">
        <f t="shared" si="2"/>
        <v>0</v>
      </c>
      <c r="Z32" s="88">
        <f t="shared" si="2"/>
        <v>0</v>
      </c>
      <c r="AA32" s="410"/>
      <c r="AB32" s="725"/>
      <c r="AC32" s="412"/>
      <c r="AD32" s="438"/>
    </row>
    <row r="33" spans="1:39" s="5" customFormat="1">
      <c r="A33" s="3">
        <f>A31+1</f>
        <v>25</v>
      </c>
      <c r="B33" s="706">
        <f>'תקציב אגף שאיפה  2020 '!B7</f>
        <v>135</v>
      </c>
      <c r="C33" s="87" t="str">
        <f>'תקציב אגף שאיפה  2020 '!C7</f>
        <v>שימור רצועת החוף</v>
      </c>
      <c r="D33" s="4">
        <f>'תקציב אגף שאיפה  2020 '!D7</f>
        <v>1233000</v>
      </c>
      <c r="E33" s="4">
        <f>'תקציב אגף שאיפה  2020 '!E7</f>
        <v>1233000</v>
      </c>
      <c r="F33" s="4">
        <f>'תקציב אגף שאיפה  2020 '!F7</f>
        <v>0</v>
      </c>
      <c r="G33" s="4">
        <f>'תקציב אגף שאיפה  2020 '!G7</f>
        <v>1233000</v>
      </c>
      <c r="H33" s="4">
        <f>'תקציב אגף שאיפה  2020 '!H7</f>
        <v>1149152.1299999999</v>
      </c>
      <c r="I33" s="4">
        <f>'תקציב אגף שאיפה  2020 '!I7</f>
        <v>0</v>
      </c>
      <c r="J33" s="4">
        <f>'תקציב אגף שאיפה  2020 '!J7</f>
        <v>0</v>
      </c>
      <c r="K33" s="4">
        <f>'תקציב אגף שאיפה  2020 '!K7</f>
        <v>0</v>
      </c>
      <c r="L33" s="4">
        <f>'תקציב אגף שאיפה  2020 '!L7</f>
        <v>1149152.1299999999</v>
      </c>
      <c r="M33" s="4">
        <f>'תקציב אגף שאיפה  2020 '!M7</f>
        <v>33847.870000000112</v>
      </c>
      <c r="N33" s="4">
        <f>'תקציב אגף שאיפה  2020 '!N7</f>
        <v>0</v>
      </c>
      <c r="O33" s="4">
        <f>'תקציב אגף שאיפה  2020 '!O7</f>
        <v>50000</v>
      </c>
      <c r="P33" s="4">
        <f>'תקציב אגף שאיפה  2020 '!P7</f>
        <v>83847.870000000112</v>
      </c>
      <c r="Q33" s="4">
        <f>'תקציב אגף שאיפה  2020 '!Q7</f>
        <v>0</v>
      </c>
      <c r="R33" s="4">
        <f>'תקציב אגף שאיפה  2020 '!R7</f>
        <v>0</v>
      </c>
      <c r="S33" s="4">
        <f>'תקציב אגף שאיפה  2020 '!S7</f>
        <v>0</v>
      </c>
      <c r="T33" s="4">
        <f>'תקציב אגף שאיפה  2020 '!T7</f>
        <v>50000</v>
      </c>
      <c r="U33" s="4">
        <f>'תקציב אגף שאיפה  2020 '!U7</f>
        <v>-50000</v>
      </c>
      <c r="V33" s="4">
        <f>'תקציב אגף שאיפה  2020 '!V7</f>
        <v>-50000</v>
      </c>
      <c r="W33" s="4">
        <f>'תקציב אגף שאיפה  2020 '!W7</f>
        <v>0</v>
      </c>
      <c r="X33" s="4">
        <f>'תקציב אגף שאיפה  2020 '!X7</f>
        <v>0</v>
      </c>
      <c r="Y33" s="4">
        <f>'תקציב אגף שאיפה  2020 '!Y7</f>
        <v>0</v>
      </c>
      <c r="Z33" s="4">
        <f>'תקציב אגף שאיפה  2020 '!Z7</f>
        <v>0</v>
      </c>
      <c r="AA33" s="87">
        <f>'תקציב אגף שאיפה  2020 '!AA7</f>
        <v>0</v>
      </c>
      <c r="AB33" s="706">
        <f>'תקציב אגף שאיפה  2020 '!AB7</f>
        <v>747000</v>
      </c>
      <c r="AC33" s="210"/>
      <c r="AD33" s="392"/>
      <c r="AE33" s="392"/>
      <c r="AF33" s="330"/>
      <c r="AG33" s="19"/>
      <c r="AH33" s="19"/>
      <c r="AI33" s="28"/>
      <c r="AJ33" s="29"/>
      <c r="AK33" s="29"/>
      <c r="AL33" s="29"/>
      <c r="AM33" s="29"/>
    </row>
    <row r="34" spans="1:39" s="84" customFormat="1">
      <c r="A34" s="41"/>
      <c r="B34" s="725"/>
      <c r="C34" s="705" t="s">
        <v>701</v>
      </c>
      <c r="D34" s="88">
        <f>SUM(D33)</f>
        <v>1233000</v>
      </c>
      <c r="E34" s="88">
        <f t="shared" ref="E34:Z34" si="3">SUM(E33)</f>
        <v>1233000</v>
      </c>
      <c r="F34" s="88">
        <f t="shared" si="3"/>
        <v>0</v>
      </c>
      <c r="G34" s="88">
        <f t="shared" si="3"/>
        <v>1233000</v>
      </c>
      <c r="H34" s="88">
        <f t="shared" si="3"/>
        <v>1149152.1299999999</v>
      </c>
      <c r="I34" s="88">
        <f t="shared" si="3"/>
        <v>0</v>
      </c>
      <c r="J34" s="88">
        <f t="shared" si="3"/>
        <v>0</v>
      </c>
      <c r="K34" s="88">
        <f t="shared" si="3"/>
        <v>0</v>
      </c>
      <c r="L34" s="88">
        <f t="shared" si="3"/>
        <v>1149152.1299999999</v>
      </c>
      <c r="M34" s="88">
        <f t="shared" si="3"/>
        <v>33847.870000000112</v>
      </c>
      <c r="N34" s="88">
        <f t="shared" si="3"/>
        <v>0</v>
      </c>
      <c r="O34" s="88">
        <f t="shared" si="3"/>
        <v>50000</v>
      </c>
      <c r="P34" s="88">
        <f t="shared" si="3"/>
        <v>83847.870000000112</v>
      </c>
      <c r="Q34" s="88">
        <f t="shared" si="3"/>
        <v>0</v>
      </c>
      <c r="R34" s="88">
        <f t="shared" si="3"/>
        <v>0</v>
      </c>
      <c r="S34" s="88">
        <f t="shared" si="3"/>
        <v>0</v>
      </c>
      <c r="T34" s="88">
        <f t="shared" si="3"/>
        <v>50000</v>
      </c>
      <c r="U34" s="88">
        <f t="shared" si="3"/>
        <v>-50000</v>
      </c>
      <c r="V34" s="88">
        <f t="shared" si="3"/>
        <v>-50000</v>
      </c>
      <c r="W34" s="88">
        <f t="shared" si="3"/>
        <v>0</v>
      </c>
      <c r="X34" s="88">
        <f t="shared" si="3"/>
        <v>0</v>
      </c>
      <c r="Y34" s="88">
        <f t="shared" si="3"/>
        <v>0</v>
      </c>
      <c r="Z34" s="88">
        <f t="shared" si="3"/>
        <v>0</v>
      </c>
      <c r="AA34" s="410"/>
      <c r="AB34" s="725"/>
      <c r="AC34" s="412"/>
      <c r="AD34" s="427"/>
      <c r="AE34" s="427"/>
      <c r="AF34" s="426"/>
      <c r="AG34" s="430"/>
      <c r="AH34" s="430"/>
      <c r="AI34" s="308"/>
      <c r="AJ34" s="309"/>
      <c r="AK34" s="309"/>
      <c r="AL34" s="309"/>
      <c r="AM34" s="309"/>
    </row>
    <row r="35" spans="1:39" s="5" customFormat="1" ht="27.6">
      <c r="A35" s="3">
        <f>A33+1</f>
        <v>26</v>
      </c>
      <c r="B35" s="706">
        <f>'תקציב אגף שאיפה  2020 '!B35</f>
        <v>2039</v>
      </c>
      <c r="C35" s="87" t="str">
        <f>'תקציב אגף שאיפה  2020 '!C35</f>
        <v>הצבת קולרים ברחבי העיר</v>
      </c>
      <c r="D35" s="4">
        <f>'תקציב אגף שאיפה  2020 '!D35</f>
        <v>285000</v>
      </c>
      <c r="E35" s="4">
        <f>'תקציב אגף שאיפה  2020 '!E35</f>
        <v>285000</v>
      </c>
      <c r="F35" s="4">
        <f>'תקציב אגף שאיפה  2020 '!F35</f>
        <v>0</v>
      </c>
      <c r="G35" s="4">
        <f>'תקציב אגף שאיפה  2020 '!G35</f>
        <v>285000</v>
      </c>
      <c r="H35" s="4">
        <f>'תקציב אגף שאיפה  2020 '!H35</f>
        <v>25514.34</v>
      </c>
      <c r="I35" s="4">
        <f>'תקציב אגף שאיפה  2020 '!I35</f>
        <v>0</v>
      </c>
      <c r="J35" s="4">
        <f>'תקציב אגף שאיפה  2020 '!J35</f>
        <v>0</v>
      </c>
      <c r="K35" s="4">
        <f>'תקציב אגף שאיפה  2020 '!K35</f>
        <v>0</v>
      </c>
      <c r="L35" s="4">
        <f>'תקציב אגף שאיפה  2020 '!L35</f>
        <v>25514.34</v>
      </c>
      <c r="M35" s="4">
        <f>'תקציב אגף שאיפה  2020 '!M35</f>
        <v>59485.66</v>
      </c>
      <c r="N35" s="4">
        <f>'תקציב אגף שאיפה  2020 '!N35</f>
        <v>200000</v>
      </c>
      <c r="O35" s="4">
        <f>'תקציב אגף שאיפה  2020 '!O35</f>
        <v>0</v>
      </c>
      <c r="P35" s="4">
        <f>'תקציב אגף שאיפה  2020 '!P35</f>
        <v>259485.66</v>
      </c>
      <c r="Q35" s="4">
        <f>'תקציב אגף שאיפה  2020 '!Q35</f>
        <v>0</v>
      </c>
      <c r="R35" s="4">
        <f>'תקציב אגף שאיפה  2020 '!R35</f>
        <v>0</v>
      </c>
      <c r="S35" s="4">
        <f>'תקציב אגף שאיפה  2020 '!S35</f>
        <v>0</v>
      </c>
      <c r="T35" s="4">
        <f>'תקציב אגף שאיפה  2020 '!T35</f>
        <v>200000</v>
      </c>
      <c r="U35" s="4">
        <f>'תקציב אגף שאיפה  2020 '!U35</f>
        <v>0</v>
      </c>
      <c r="V35" s="4">
        <f>'תקציב אגף שאיפה  2020 '!V35</f>
        <v>0</v>
      </c>
      <c r="W35" s="4">
        <f>'תקציב אגף שאיפה  2020 '!W35</f>
        <v>0</v>
      </c>
      <c r="X35" s="4">
        <f>'תקציב אגף שאיפה  2020 '!X35</f>
        <v>0</v>
      </c>
      <c r="Y35" s="4">
        <f>'תקציב אגף שאיפה  2020 '!Y35</f>
        <v>0</v>
      </c>
      <c r="Z35" s="4">
        <f>'תקציב אגף שאיפה  2020 '!Z35</f>
        <v>0</v>
      </c>
      <c r="AA35" s="87" t="str">
        <f>'תקציב אגף שאיפה  2020 '!AA35</f>
        <v>הצבת מתקני שתייה מקוררים ברחבי העיר לרווחת התושבים.</v>
      </c>
      <c r="AB35" s="706">
        <f>'תקציב אגף שאיפה  2020 '!AB35</f>
        <v>760000</v>
      </c>
      <c r="AC35" s="210"/>
      <c r="AD35" s="392"/>
      <c r="AE35" s="392"/>
      <c r="AF35" s="330"/>
      <c r="AG35" s="333"/>
      <c r="AH35" s="28"/>
      <c r="AI35" s="191"/>
      <c r="AJ35" s="28"/>
      <c r="AK35" s="29"/>
      <c r="AL35" s="29"/>
      <c r="AM35" s="29"/>
    </row>
    <row r="36" spans="1:39" s="84" customFormat="1">
      <c r="A36" s="41"/>
      <c r="B36" s="725"/>
      <c r="C36" s="705" t="s">
        <v>692</v>
      </c>
      <c r="D36" s="88">
        <f>SUM(D35)</f>
        <v>285000</v>
      </c>
      <c r="E36" s="88">
        <f t="shared" ref="E36:Z36" si="4">SUM(E35)</f>
        <v>285000</v>
      </c>
      <c r="F36" s="88">
        <f t="shared" si="4"/>
        <v>0</v>
      </c>
      <c r="G36" s="88">
        <f t="shared" si="4"/>
        <v>285000</v>
      </c>
      <c r="H36" s="88">
        <f t="shared" si="4"/>
        <v>25514.34</v>
      </c>
      <c r="I36" s="88">
        <f t="shared" si="4"/>
        <v>0</v>
      </c>
      <c r="J36" s="88">
        <f t="shared" si="4"/>
        <v>0</v>
      </c>
      <c r="K36" s="88">
        <f t="shared" si="4"/>
        <v>0</v>
      </c>
      <c r="L36" s="88">
        <f t="shared" si="4"/>
        <v>25514.34</v>
      </c>
      <c r="M36" s="88">
        <f t="shared" si="4"/>
        <v>59485.66</v>
      </c>
      <c r="N36" s="88">
        <f t="shared" si="4"/>
        <v>200000</v>
      </c>
      <c r="O36" s="88">
        <f t="shared" si="4"/>
        <v>0</v>
      </c>
      <c r="P36" s="88">
        <f t="shared" si="4"/>
        <v>259485.66</v>
      </c>
      <c r="Q36" s="88">
        <f t="shared" si="4"/>
        <v>0</v>
      </c>
      <c r="R36" s="88">
        <f t="shared" si="4"/>
        <v>0</v>
      </c>
      <c r="S36" s="88">
        <f t="shared" si="4"/>
        <v>0</v>
      </c>
      <c r="T36" s="88">
        <f t="shared" si="4"/>
        <v>200000</v>
      </c>
      <c r="U36" s="88">
        <f t="shared" si="4"/>
        <v>0</v>
      </c>
      <c r="V36" s="88">
        <f t="shared" si="4"/>
        <v>0</v>
      </c>
      <c r="W36" s="88">
        <f t="shared" si="4"/>
        <v>0</v>
      </c>
      <c r="X36" s="88">
        <f t="shared" si="4"/>
        <v>0</v>
      </c>
      <c r="Y36" s="88">
        <f t="shared" si="4"/>
        <v>0</v>
      </c>
      <c r="Z36" s="88">
        <f t="shared" si="4"/>
        <v>0</v>
      </c>
      <c r="AA36" s="410"/>
      <c r="AB36" s="725"/>
      <c r="AC36" s="412"/>
      <c r="AD36" s="427"/>
      <c r="AE36" s="427"/>
      <c r="AF36" s="426"/>
      <c r="AG36" s="425"/>
      <c r="AH36" s="308"/>
      <c r="AI36" s="428"/>
      <c r="AJ36" s="308"/>
      <c r="AK36" s="309"/>
      <c r="AL36" s="309"/>
      <c r="AM36" s="309"/>
    </row>
    <row r="37" spans="1:39" s="5" customFormat="1" ht="41.4">
      <c r="A37" s="3">
        <f>A35+1</f>
        <v>27</v>
      </c>
      <c r="B37" s="706">
        <f>'תקציב אגף שאיפה  2020 '!B11</f>
        <v>1210</v>
      </c>
      <c r="C37" s="87" t="str">
        <f>'תקציב אגף שאיפה  2020 '!C11</f>
        <v>חזיתות בתים שיפוץ</v>
      </c>
      <c r="D37" s="4">
        <f>'תקציב אגף שאיפה  2020 '!D11</f>
        <v>89650000</v>
      </c>
      <c r="E37" s="4">
        <f>'תקציב אגף שאיפה  2020 '!E11</f>
        <v>88000000</v>
      </c>
      <c r="F37" s="4">
        <f>'תקציב אגף שאיפה  2020 '!F11</f>
        <v>1650000</v>
      </c>
      <c r="G37" s="4">
        <f>'תקציב אגף שאיפה  2020 '!G11</f>
        <v>71450000</v>
      </c>
      <c r="H37" s="4">
        <f>'תקציב אגף שאיפה  2020 '!H11</f>
        <v>69535503</v>
      </c>
      <c r="I37" s="4">
        <f>'תקציב אגף שאיפה  2020 '!I11</f>
        <v>0</v>
      </c>
      <c r="J37" s="4">
        <f>'תקציב אגף שאיפה  2020 '!J11</f>
        <v>185655</v>
      </c>
      <c r="K37" s="4">
        <f>'תקציב אגף שאיפה  2020 '!K11</f>
        <v>185655</v>
      </c>
      <c r="L37" s="4">
        <f>'תקציב אגף שאיפה  2020 '!L11</f>
        <v>69721158</v>
      </c>
      <c r="M37" s="4">
        <f>'תקציב אגף שאיפה  2020 '!M11</f>
        <v>2428842</v>
      </c>
      <c r="N37" s="4">
        <f>'תקציב אגף שאיפה  2020 '!N11</f>
        <v>17500000</v>
      </c>
      <c r="O37" s="4">
        <f>'תקציב אגף שאיפה  2020 '!O11</f>
        <v>0</v>
      </c>
      <c r="P37" s="4">
        <f>'תקציב אגף שאיפה  2020 '!P11</f>
        <v>1728842</v>
      </c>
      <c r="Q37" s="4">
        <f>'תקציב אגף שאיפה  2020 '!Q11</f>
        <v>700000</v>
      </c>
      <c r="R37" s="4">
        <f>'תקציב אגף שאיפה  2020 '!R11</f>
        <v>0</v>
      </c>
      <c r="S37" s="4">
        <f>'תקציב אגף שאיפה  2020 '!S11</f>
        <v>700000</v>
      </c>
      <c r="T37" s="4">
        <f>'תקציב אגף שאיפה  2020 '!T11</f>
        <v>0</v>
      </c>
      <c r="U37" s="4">
        <f>'תקציב אגף שאיפה  2020 '!U11</f>
        <v>17500000</v>
      </c>
      <c r="V37" s="4">
        <f>'תקציב אגף שאיפה  2020 '!V11</f>
        <v>0</v>
      </c>
      <c r="W37" s="4">
        <f>'תקציב אגף שאיפה  2020 '!W11</f>
        <v>0</v>
      </c>
      <c r="X37" s="4">
        <f>'תקציב אגף שאיפה  2020 '!X11</f>
        <v>0</v>
      </c>
      <c r="Y37" s="4">
        <f>'תקציב אגף שאיפה  2020 '!Y11</f>
        <v>0</v>
      </c>
      <c r="Z37" s="4">
        <f>'תקציב אגף שאיפה  2020 '!Z11</f>
        <v>17500000</v>
      </c>
      <c r="AA37" s="87" t="str">
        <f>'תקציב אגף שאיפה  2020 '!AA11</f>
        <v>שיפוץ חזיתות בתים כולל: פיתוח חצרות, חדרי מדרגות, מעלית (רכוש משותף). בשיתוף האגודה לתרבות הדיור.</v>
      </c>
      <c r="AB37" s="706">
        <f>'תקציב אגף שאיפה  2020 '!AB11</f>
        <v>764000</v>
      </c>
      <c r="AC37" s="210"/>
      <c r="AD37" s="392"/>
      <c r="AE37" s="392"/>
      <c r="AF37" s="330"/>
      <c r="AG37" s="333"/>
      <c r="AH37" s="14"/>
      <c r="AI37" s="191"/>
    </row>
    <row r="38" spans="1:39" s="84" customFormat="1">
      <c r="A38" s="41"/>
      <c r="B38" s="725"/>
      <c r="C38" s="705" t="s">
        <v>1335</v>
      </c>
      <c r="D38" s="88">
        <f>SUM(D37)</f>
        <v>89650000</v>
      </c>
      <c r="E38" s="88">
        <f t="shared" ref="E38:Z38" si="5">SUM(E37)</f>
        <v>88000000</v>
      </c>
      <c r="F38" s="88">
        <f t="shared" si="5"/>
        <v>1650000</v>
      </c>
      <c r="G38" s="88">
        <f t="shared" si="5"/>
        <v>71450000</v>
      </c>
      <c r="H38" s="88">
        <f t="shared" si="5"/>
        <v>69535503</v>
      </c>
      <c r="I38" s="88">
        <f t="shared" si="5"/>
        <v>0</v>
      </c>
      <c r="J38" s="88">
        <f t="shared" si="5"/>
        <v>185655</v>
      </c>
      <c r="K38" s="88">
        <f t="shared" si="5"/>
        <v>185655</v>
      </c>
      <c r="L38" s="88">
        <f t="shared" si="5"/>
        <v>69721158</v>
      </c>
      <c r="M38" s="88">
        <f t="shared" si="5"/>
        <v>2428842</v>
      </c>
      <c r="N38" s="88">
        <f t="shared" si="5"/>
        <v>17500000</v>
      </c>
      <c r="O38" s="88">
        <f t="shared" si="5"/>
        <v>0</v>
      </c>
      <c r="P38" s="88">
        <f t="shared" si="5"/>
        <v>1728842</v>
      </c>
      <c r="Q38" s="88">
        <f t="shared" si="5"/>
        <v>700000</v>
      </c>
      <c r="R38" s="88">
        <f t="shared" si="5"/>
        <v>0</v>
      </c>
      <c r="S38" s="88">
        <f t="shared" si="5"/>
        <v>700000</v>
      </c>
      <c r="T38" s="88">
        <f t="shared" si="5"/>
        <v>0</v>
      </c>
      <c r="U38" s="88">
        <f t="shared" si="5"/>
        <v>17500000</v>
      </c>
      <c r="V38" s="88">
        <f t="shared" si="5"/>
        <v>0</v>
      </c>
      <c r="W38" s="88">
        <f t="shared" si="5"/>
        <v>0</v>
      </c>
      <c r="X38" s="88">
        <f t="shared" si="5"/>
        <v>0</v>
      </c>
      <c r="Y38" s="88">
        <f t="shared" si="5"/>
        <v>0</v>
      </c>
      <c r="Z38" s="88">
        <f t="shared" si="5"/>
        <v>17500000</v>
      </c>
      <c r="AA38" s="410"/>
      <c r="AB38" s="725"/>
      <c r="AC38" s="412"/>
      <c r="AD38" s="427"/>
      <c r="AE38" s="427"/>
      <c r="AF38" s="426"/>
      <c r="AG38" s="425"/>
      <c r="AH38" s="416"/>
      <c r="AI38" s="428"/>
    </row>
    <row r="39" spans="1:39" s="5" customFormat="1" ht="27.6">
      <c r="A39" s="3">
        <f>A37+1</f>
        <v>28</v>
      </c>
      <c r="B39" s="706">
        <f>'תקציב אגף שאיפה  2020 '!B23</f>
        <v>1817</v>
      </c>
      <c r="C39" s="87" t="str">
        <f>'תקציב אגף שאיפה  2020 '!C23</f>
        <v>הקמת גינות בי"ס קהילתיות</v>
      </c>
      <c r="D39" s="4">
        <f>'תקציב אגף שאיפה  2020 '!D23</f>
        <v>872000</v>
      </c>
      <c r="E39" s="4">
        <f>'תקציב אגף שאיפה  2020 '!E23</f>
        <v>872000</v>
      </c>
      <c r="F39" s="4">
        <f>'תקציב אגף שאיפה  2020 '!F23</f>
        <v>0</v>
      </c>
      <c r="G39" s="4">
        <f>'תקציב אגף שאיפה  2020 '!G23</f>
        <v>740000</v>
      </c>
      <c r="H39" s="4">
        <f>'תקציב אגף שאיפה  2020 '!H23</f>
        <v>600131.54</v>
      </c>
      <c r="I39" s="4">
        <f>'תקציב אגף שאיפה  2020 '!I23</f>
        <v>0</v>
      </c>
      <c r="J39" s="4">
        <f>'תקציב אגף שאיפה  2020 '!J23</f>
        <v>38789.65</v>
      </c>
      <c r="K39" s="4">
        <f>'תקציב אגף שאיפה  2020 '!K23</f>
        <v>38789.65</v>
      </c>
      <c r="L39" s="4">
        <f>'תקציב אגף שאיפה  2020 '!L23</f>
        <v>638921.19000000006</v>
      </c>
      <c r="M39" s="4">
        <f>'תקציב אגף שאיפה  2020 '!M23</f>
        <v>101078.80999999994</v>
      </c>
      <c r="N39" s="4">
        <f>'תקציב אגף שאיפה  2020 '!N23</f>
        <v>132000</v>
      </c>
      <c r="O39" s="4">
        <f>'תקציב אגף שאיפה  2020 '!O23</f>
        <v>0</v>
      </c>
      <c r="P39" s="4">
        <f>'תקציב אגף שאיפה  2020 '!P23</f>
        <v>101078.80999999994</v>
      </c>
      <c r="Q39" s="4">
        <f>'תקציב אגף שאיפה  2020 '!Q23</f>
        <v>0</v>
      </c>
      <c r="R39" s="4">
        <f>'תקציב אגף שאיפה  2020 '!R23</f>
        <v>0</v>
      </c>
      <c r="S39" s="4">
        <f>'תקציב אגף שאיפה  2020 '!S23</f>
        <v>0</v>
      </c>
      <c r="T39" s="4">
        <f>'תקציב אגף שאיפה  2020 '!T23</f>
        <v>0</v>
      </c>
      <c r="U39" s="4">
        <f>'תקציב אגף שאיפה  2020 '!U23</f>
        <v>132000</v>
      </c>
      <c r="V39" s="4">
        <f>'תקציב אגף שאיפה  2020 '!V23</f>
        <v>0</v>
      </c>
      <c r="W39" s="4">
        <f>'תקציב אגף שאיפה  2020 '!W23</f>
        <v>0</v>
      </c>
      <c r="X39" s="4">
        <f>'תקציב אגף שאיפה  2020 '!X23</f>
        <v>0</v>
      </c>
      <c r="Y39" s="4">
        <f>'תקציב אגף שאיפה  2020 '!Y23</f>
        <v>0</v>
      </c>
      <c r="Z39" s="4">
        <f>'תקציב אגף שאיפה  2020 '!Z23</f>
        <v>132000</v>
      </c>
      <c r="AA39" s="87" t="str">
        <f>'תקציב אגף שאיפה  2020 '!AA23</f>
        <v>הקמת גינות קהילתיות בית ספריות במימון קרן הועדה החקלאית.</v>
      </c>
      <c r="AB39" s="706">
        <f>'תקציב אגף שאיפה  2020 '!AB23</f>
        <v>810000</v>
      </c>
      <c r="AC39" s="210"/>
      <c r="AD39" s="392"/>
      <c r="AE39" s="392"/>
      <c r="AF39" s="330"/>
      <c r="AG39" s="19"/>
      <c r="AH39" s="19"/>
      <c r="AI39" s="28"/>
      <c r="AJ39" s="29"/>
      <c r="AK39" s="29"/>
      <c r="AL39" s="29"/>
      <c r="AM39" s="29"/>
    </row>
    <row r="40" spans="1:39" s="5" customFormat="1" ht="41.4">
      <c r="A40" s="3">
        <f>A39+1</f>
        <v>29</v>
      </c>
      <c r="B40" s="706">
        <f>'תקציב אגף שאיפה  2020 '!B32</f>
        <v>2036</v>
      </c>
      <c r="C40" s="87" t="str">
        <f>'תקציב אגף שאיפה  2020 '!C32</f>
        <v>בי"ס אלון פיתוח חצר אחורית</v>
      </c>
      <c r="D40" s="4">
        <f>'תקציב אגף שאיפה  2020 '!D32</f>
        <v>1120000</v>
      </c>
      <c r="E40" s="4">
        <f>'תקציב אגף שאיפה  2020 '!E32</f>
        <v>1120000</v>
      </c>
      <c r="F40" s="4">
        <f>'תקציב אגף שאיפה  2020 '!F32</f>
        <v>0</v>
      </c>
      <c r="G40" s="4">
        <f>'תקציב אגף שאיפה  2020 '!G32</f>
        <v>1120000</v>
      </c>
      <c r="H40" s="4">
        <f>'תקציב אגף שאיפה  2020 '!H32</f>
        <v>547371.93999999994</v>
      </c>
      <c r="I40" s="4">
        <f>'תקציב אגף שאיפה  2020 '!I32</f>
        <v>0</v>
      </c>
      <c r="J40" s="4">
        <f>'תקציב אגף שאיפה  2020 '!J32</f>
        <v>572579.85</v>
      </c>
      <c r="K40" s="4">
        <f>'תקציב אגף שאיפה  2020 '!K32</f>
        <v>572579.85</v>
      </c>
      <c r="L40" s="4">
        <f>'תקציב אגף שאיפה  2020 '!L32</f>
        <v>1119951.79</v>
      </c>
      <c r="M40" s="4">
        <f>'תקציב אגף שאיפה  2020 '!M32</f>
        <v>48.209999999962747</v>
      </c>
      <c r="N40" s="4">
        <f>'תקציב אגף שאיפה  2020 '!N32</f>
        <v>0</v>
      </c>
      <c r="O40" s="4">
        <f>'תקציב אגף שאיפה  2020 '!O32</f>
        <v>0</v>
      </c>
      <c r="P40" s="4">
        <f>'תקציב אגף שאיפה  2020 '!P32</f>
        <v>48.209999999962747</v>
      </c>
      <c r="Q40" s="4">
        <f>'תקציב אגף שאיפה  2020 '!Q32</f>
        <v>0</v>
      </c>
      <c r="R40" s="4">
        <f>'תקציב אגף שאיפה  2020 '!R32</f>
        <v>0</v>
      </c>
      <c r="S40" s="4">
        <f>'תקציב אגף שאיפה  2020 '!S32</f>
        <v>0</v>
      </c>
      <c r="T40" s="4">
        <f>'תקציב אגף שאיפה  2020 '!T32</f>
        <v>0</v>
      </c>
      <c r="U40" s="4">
        <f>'תקציב אגף שאיפה  2020 '!U32</f>
        <v>0</v>
      </c>
      <c r="V40" s="4">
        <f>'תקציב אגף שאיפה  2020 '!V32</f>
        <v>0</v>
      </c>
      <c r="W40" s="4">
        <f>'תקציב אגף שאיפה  2020 '!W32</f>
        <v>0</v>
      </c>
      <c r="X40" s="4">
        <f>'תקציב אגף שאיפה  2020 '!X32</f>
        <v>0</v>
      </c>
      <c r="Y40" s="4">
        <f>'תקציב אגף שאיפה  2020 '!Y32</f>
        <v>0</v>
      </c>
      <c r="Z40" s="4">
        <f>'תקציב אגף שאיפה  2020 '!Z32</f>
        <v>0</v>
      </c>
      <c r="AA40" s="87" t="str">
        <f>'תקציב אגף שאיפה  2020 '!AA32</f>
        <v>עבודות פיתוח ושדרוג החצר האחורית במתחם בי"ס אלון כולל הצללה. העבודות הסתיימו.</v>
      </c>
      <c r="AB40" s="706">
        <f>'תקציב אגף שאיפה  2020 '!AB32</f>
        <v>810000</v>
      </c>
      <c r="AC40" s="210"/>
      <c r="AD40" s="392"/>
      <c r="AE40" s="392"/>
      <c r="AF40" s="330"/>
      <c r="AG40" s="333"/>
      <c r="AH40" s="28"/>
      <c r="AI40" s="191"/>
      <c r="AJ40" s="28"/>
      <c r="AK40" s="28"/>
      <c r="AL40" s="28"/>
      <c r="AM40" s="28"/>
    </row>
    <row r="41" spans="1:39" s="5" customFormat="1" ht="69">
      <c r="A41" s="3">
        <f>A40+1</f>
        <v>30</v>
      </c>
      <c r="B41" s="706">
        <f>'תקציב אגף שאיפה  2020 '!B34</f>
        <v>2038</v>
      </c>
      <c r="C41" s="87" t="str">
        <f>'תקציב אגף שאיפה  2020 '!C34</f>
        <v xml:space="preserve">הסדרת שטחי מוס"ח ברחבי העיר </v>
      </c>
      <c r="D41" s="4">
        <f>'תקציב אגף שאיפה  2020 '!D34</f>
        <v>3750000</v>
      </c>
      <c r="E41" s="4">
        <f>'תקציב אגף שאיפה  2020 '!E34</f>
        <v>2250000</v>
      </c>
      <c r="F41" s="4">
        <f>'תקציב אגף שאיפה  2020 '!F34</f>
        <v>1500000</v>
      </c>
      <c r="G41" s="4">
        <f>'תקציב אגף שאיפה  2020 '!G34</f>
        <v>2250000</v>
      </c>
      <c r="H41" s="4">
        <f>'תקציב אגף שאיפה  2020 '!H34</f>
        <v>1369147.68</v>
      </c>
      <c r="I41" s="4">
        <f>'תקציב אגף שאיפה  2020 '!I34</f>
        <v>0</v>
      </c>
      <c r="J41" s="4">
        <f>'תקציב אגף שאיפה  2020 '!J34</f>
        <v>866076.87</v>
      </c>
      <c r="K41" s="4">
        <f>'תקציב אגף שאיפה  2020 '!K34</f>
        <v>866076.87</v>
      </c>
      <c r="L41" s="4">
        <f>'תקציב אגף שאיפה  2020 '!L34</f>
        <v>2235224.5499999998</v>
      </c>
      <c r="M41" s="4">
        <f>'תקציב אגף שאיפה  2020 '!M34</f>
        <v>14775.450000000186</v>
      </c>
      <c r="N41" s="4">
        <f>'תקציב אגף שאיפה  2020 '!N34</f>
        <v>1200000</v>
      </c>
      <c r="O41" s="4">
        <f>'תקציב אגף שאיפה  2020 '!O34</f>
        <v>300000</v>
      </c>
      <c r="P41" s="4">
        <f>'תקציב אגף שאיפה  2020 '!P34</f>
        <v>14775.450000000186</v>
      </c>
      <c r="Q41" s="4">
        <f>'תקציב אגף שאיפה  2020 '!Q34</f>
        <v>0</v>
      </c>
      <c r="R41" s="4">
        <f>'תקציב אגף שאיפה  2020 '!R34</f>
        <v>0</v>
      </c>
      <c r="S41" s="4">
        <f>'תקציב אגף שאיפה  2020 '!S34</f>
        <v>0</v>
      </c>
      <c r="T41" s="4">
        <f>'תקציב אגף שאיפה  2020 '!T34</f>
        <v>0</v>
      </c>
      <c r="U41" s="4">
        <f>'תקציב אגף שאיפה  2020 '!U34</f>
        <v>1200000</v>
      </c>
      <c r="V41" s="4">
        <f>'תקציב אגף שאיפה  2020 '!V34</f>
        <v>1200000</v>
      </c>
      <c r="W41" s="4">
        <f>'תקציב אגף שאיפה  2020 '!W34</f>
        <v>0</v>
      </c>
      <c r="X41" s="4">
        <f>'תקציב אגף שאיפה  2020 '!X34</f>
        <v>0</v>
      </c>
      <c r="Y41" s="4">
        <f>'תקציב אגף שאיפה  2020 '!Y34</f>
        <v>0</v>
      </c>
      <c r="Z41" s="4">
        <f>'תקציב אגף שאיפה  2020 '!Z34</f>
        <v>0</v>
      </c>
      <c r="AA41" s="87" t="str">
        <f>'תקציב אגף שאיפה  2020 '!AA34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B41" s="706">
        <f>'תקציב אגף שאיפה  2020 '!AB34</f>
        <v>810000</v>
      </c>
      <c r="AC41" s="210"/>
      <c r="AD41" s="392"/>
      <c r="AE41" s="392"/>
      <c r="AF41" s="330"/>
      <c r="AG41" s="333"/>
      <c r="AH41" s="28"/>
      <c r="AI41" s="191"/>
      <c r="AJ41" s="28"/>
      <c r="AK41" s="29"/>
      <c r="AL41" s="29"/>
      <c r="AM41" s="29"/>
    </row>
    <row r="42" spans="1:39" s="5" customFormat="1">
      <c r="A42" s="3">
        <f>A41+1</f>
        <v>31</v>
      </c>
      <c r="B42" s="706">
        <f>'תקציב אגף שאיפה  2020 '!B37</f>
        <v>2041</v>
      </c>
      <c r="C42" s="87" t="str">
        <f>'תקציב אגף שאיפה  2020 '!C37</f>
        <v>פרויקט מומה בן גוריון,סמדר</v>
      </c>
      <c r="D42" s="4">
        <f>'תקציב אגף שאיפה  2020 '!D37</f>
        <v>650000</v>
      </c>
      <c r="E42" s="4">
        <f>'תקציב אגף שאיפה  2020 '!E37</f>
        <v>650000</v>
      </c>
      <c r="F42" s="4">
        <f>'תקציב אגף שאיפה  2020 '!F37</f>
        <v>0</v>
      </c>
      <c r="G42" s="4">
        <f>'תקציב אגף שאיפה  2020 '!G37</f>
        <v>650000</v>
      </c>
      <c r="H42" s="4">
        <f>'תקציב אגף שאיפה  2020 '!H37</f>
        <v>507921.17</v>
      </c>
      <c r="I42" s="4">
        <f>'תקציב אגף שאיפה  2020 '!I37</f>
        <v>0</v>
      </c>
      <c r="J42" s="4">
        <f>'תקציב אגף שאיפה  2020 '!J37</f>
        <v>98025.24</v>
      </c>
      <c r="K42" s="4">
        <f>'תקציב אגף שאיפה  2020 '!K37</f>
        <v>98025.24</v>
      </c>
      <c r="L42" s="4">
        <f>'תקציב אגף שאיפה  2020 '!L37</f>
        <v>605946.41</v>
      </c>
      <c r="M42" s="4">
        <f>'תקציב אגף שאיפה  2020 '!M37</f>
        <v>44053.589999999967</v>
      </c>
      <c r="N42" s="4">
        <f>'תקציב אגף שאיפה  2020 '!N37</f>
        <v>0</v>
      </c>
      <c r="O42" s="4">
        <f>'תקציב אגף שאיפה  2020 '!O37</f>
        <v>0</v>
      </c>
      <c r="P42" s="4">
        <f>'תקציב אגף שאיפה  2020 '!P37</f>
        <v>44053.589999999967</v>
      </c>
      <c r="Q42" s="4">
        <f>'תקציב אגף שאיפה  2020 '!Q37</f>
        <v>0</v>
      </c>
      <c r="R42" s="4">
        <f>'תקציב אגף שאיפה  2020 '!R37</f>
        <v>0</v>
      </c>
      <c r="S42" s="4">
        <f>'תקציב אגף שאיפה  2020 '!S37</f>
        <v>0</v>
      </c>
      <c r="T42" s="4">
        <f>'תקציב אגף שאיפה  2020 '!T37</f>
        <v>0</v>
      </c>
      <c r="U42" s="4">
        <f>'תקציב אגף שאיפה  2020 '!U37</f>
        <v>0</v>
      </c>
      <c r="V42" s="4">
        <f>'תקציב אגף שאיפה  2020 '!V37</f>
        <v>0</v>
      </c>
      <c r="W42" s="4">
        <f>'תקציב אגף שאיפה  2020 '!W37</f>
        <v>0</v>
      </c>
      <c r="X42" s="4">
        <f>'תקציב אגף שאיפה  2020 '!X37</f>
        <v>0</v>
      </c>
      <c r="Y42" s="4">
        <f>'תקציב אגף שאיפה  2020 '!Y37</f>
        <v>0</v>
      </c>
      <c r="Z42" s="4">
        <f>'תקציב אגף שאיפה  2020 '!Z37</f>
        <v>0</v>
      </c>
      <c r="AA42" s="87" t="str">
        <f>'תקציב אגף שאיפה  2020 '!AA37</f>
        <v xml:space="preserve">לקראת סיום. </v>
      </c>
      <c r="AB42" s="706">
        <f>'תקציב אגף שאיפה  2020 '!AB37</f>
        <v>810000</v>
      </c>
      <c r="AC42" s="210"/>
      <c r="AD42" s="392"/>
      <c r="AE42" s="392"/>
      <c r="AF42" s="330"/>
      <c r="AG42" s="333"/>
      <c r="AH42" s="28"/>
      <c r="AI42" s="191"/>
      <c r="AJ42" s="28"/>
      <c r="AK42" s="29"/>
      <c r="AL42" s="29"/>
      <c r="AM42" s="29"/>
    </row>
    <row r="43" spans="1:39" s="84" customFormat="1">
      <c r="A43" s="41"/>
      <c r="B43" s="725"/>
      <c r="C43" s="705" t="s">
        <v>699</v>
      </c>
      <c r="D43" s="88">
        <f>SUM(D39:D42)</f>
        <v>6392000</v>
      </c>
      <c r="E43" s="88">
        <f t="shared" ref="E43:Z43" si="6">SUM(E39:E42)</f>
        <v>4892000</v>
      </c>
      <c r="F43" s="88">
        <f t="shared" si="6"/>
        <v>1500000</v>
      </c>
      <c r="G43" s="88">
        <f t="shared" si="6"/>
        <v>4760000</v>
      </c>
      <c r="H43" s="88">
        <f t="shared" si="6"/>
        <v>3024572.33</v>
      </c>
      <c r="I43" s="88">
        <f t="shared" si="6"/>
        <v>0</v>
      </c>
      <c r="J43" s="88">
        <f t="shared" si="6"/>
        <v>1575471.61</v>
      </c>
      <c r="K43" s="88">
        <f t="shared" si="6"/>
        <v>1575471.61</v>
      </c>
      <c r="L43" s="88">
        <f t="shared" si="6"/>
        <v>4600043.9399999995</v>
      </c>
      <c r="M43" s="88">
        <f t="shared" si="6"/>
        <v>159956.06000000006</v>
      </c>
      <c r="N43" s="88">
        <f t="shared" si="6"/>
        <v>1332000</v>
      </c>
      <c r="O43" s="88">
        <f t="shared" si="6"/>
        <v>300000</v>
      </c>
      <c r="P43" s="88">
        <f t="shared" si="6"/>
        <v>159956.06000000006</v>
      </c>
      <c r="Q43" s="88">
        <f t="shared" si="6"/>
        <v>0</v>
      </c>
      <c r="R43" s="88">
        <f t="shared" si="6"/>
        <v>0</v>
      </c>
      <c r="S43" s="88">
        <f t="shared" si="6"/>
        <v>0</v>
      </c>
      <c r="T43" s="88">
        <f t="shared" si="6"/>
        <v>0</v>
      </c>
      <c r="U43" s="88">
        <f t="shared" si="6"/>
        <v>1332000</v>
      </c>
      <c r="V43" s="88">
        <f t="shared" si="6"/>
        <v>1200000</v>
      </c>
      <c r="W43" s="88">
        <f t="shared" si="6"/>
        <v>0</v>
      </c>
      <c r="X43" s="88">
        <f t="shared" si="6"/>
        <v>0</v>
      </c>
      <c r="Y43" s="88">
        <f t="shared" si="6"/>
        <v>0</v>
      </c>
      <c r="Z43" s="88">
        <f t="shared" si="6"/>
        <v>132000</v>
      </c>
      <c r="AA43" s="410"/>
      <c r="AB43" s="725"/>
      <c r="AC43" s="412"/>
      <c r="AD43" s="427"/>
      <c r="AE43" s="427"/>
      <c r="AF43" s="426"/>
      <c r="AG43" s="425"/>
      <c r="AH43" s="308"/>
      <c r="AI43" s="428"/>
      <c r="AJ43" s="308"/>
      <c r="AK43" s="309"/>
      <c r="AL43" s="309"/>
      <c r="AM43" s="309"/>
    </row>
    <row r="44" spans="1:39" s="5" customFormat="1" ht="41.4">
      <c r="A44" s="3">
        <f>A42+1</f>
        <v>32</v>
      </c>
      <c r="B44" s="706">
        <f>'תקציב אגף שאיפה  2020 '!B36</f>
        <v>2040</v>
      </c>
      <c r="C44" s="87" t="str">
        <f>'תקציב אגף שאיפה  2020 '!C36</f>
        <v>ספורטק חידוש מתחם מתקני משחק</v>
      </c>
      <c r="D44" s="4">
        <f>'תקציב אגף שאיפה  2020 '!D36</f>
        <v>1010000</v>
      </c>
      <c r="E44" s="4">
        <f>'תקציב אגף שאיפה  2020 '!E36</f>
        <v>410000</v>
      </c>
      <c r="F44" s="4">
        <f>'תקציב אגף שאיפה  2020 '!F36</f>
        <v>600000</v>
      </c>
      <c r="G44" s="4">
        <f>'תקציב אגף שאיפה  2020 '!G36</f>
        <v>410000</v>
      </c>
      <c r="H44" s="4">
        <f>'תקציב אגף שאיפה  2020 '!H36</f>
        <v>409998.49</v>
      </c>
      <c r="I44" s="4">
        <f>'תקציב אגף שאיפה  2020 '!I36</f>
        <v>0</v>
      </c>
      <c r="J44" s="4">
        <f>'תקציב אגף שאיפה  2020 '!J36</f>
        <v>0</v>
      </c>
      <c r="K44" s="4">
        <f>'תקציב אגף שאיפה  2020 '!K36</f>
        <v>0</v>
      </c>
      <c r="L44" s="4">
        <f>'תקציב אגף שאיפה  2020 '!L36</f>
        <v>409998.49</v>
      </c>
      <c r="M44" s="4">
        <f>'תקציב אגף שאיפה  2020 '!M36</f>
        <v>1.5100000000093132</v>
      </c>
      <c r="N44" s="4">
        <f>'תקציב אגף שאיפה  2020 '!N36</f>
        <v>500000</v>
      </c>
      <c r="O44" s="4">
        <f>'תקציב אגף שאיפה  2020 '!O36</f>
        <v>100000</v>
      </c>
      <c r="P44" s="4">
        <f>'תקציב אגף שאיפה  2020 '!P36</f>
        <v>1.5100000000093132</v>
      </c>
      <c r="Q44" s="4">
        <f>'תקציב אגף שאיפה  2020 '!Q36</f>
        <v>0</v>
      </c>
      <c r="R44" s="4">
        <f>'תקציב אגף שאיפה  2020 '!R36</f>
        <v>0</v>
      </c>
      <c r="S44" s="4">
        <f>'תקציב אגף שאיפה  2020 '!S36</f>
        <v>0</v>
      </c>
      <c r="T44" s="4">
        <f>'תקציב אגף שאיפה  2020 '!T36</f>
        <v>0</v>
      </c>
      <c r="U44" s="4">
        <f>'תקציב אגף שאיפה  2020 '!U36</f>
        <v>500000</v>
      </c>
      <c r="V44" s="4">
        <f>'תקציב אגף שאיפה  2020 '!V36</f>
        <v>0</v>
      </c>
      <c r="W44" s="4">
        <f>'תקציב אגף שאיפה  2020 '!W36</f>
        <v>500000</v>
      </c>
      <c r="X44" s="4">
        <f>'תקציב אגף שאיפה  2020 '!X36</f>
        <v>0</v>
      </c>
      <c r="Y44" s="4">
        <f>'תקציב אגף שאיפה  2020 '!Y36</f>
        <v>0</v>
      </c>
      <c r="Z44" s="4">
        <f>'תקציב אגף שאיפה  2020 '!Z36</f>
        <v>0</v>
      </c>
      <c r="AA44" s="87" t="str">
        <f>'תקציב אגף שאיפה  2020 '!AA36</f>
        <v>החלפת מתחם ישן ורעוע עשוי מלוחות עץ נרקבים שעומד שעומד לפני פסילת מכון התקנים.</v>
      </c>
      <c r="AB44" s="706">
        <f>'תקציב אגף שאיפה  2020 '!AB36</f>
        <v>829000</v>
      </c>
      <c r="AC44" s="210"/>
      <c r="AD44" s="392"/>
      <c r="AE44" s="392"/>
      <c r="AF44" s="330"/>
      <c r="AG44" s="333"/>
      <c r="AH44" s="28"/>
      <c r="AI44" s="191"/>
      <c r="AJ44" s="28"/>
      <c r="AK44" s="29"/>
      <c r="AL44" s="29"/>
      <c r="AM44" s="29"/>
    </row>
    <row r="45" spans="1:39" s="84" customFormat="1">
      <c r="A45" s="41"/>
      <c r="B45" s="725"/>
      <c r="C45" s="705" t="s">
        <v>695</v>
      </c>
      <c r="D45" s="88">
        <f>SUM(D44)</f>
        <v>1010000</v>
      </c>
      <c r="E45" s="88">
        <f t="shared" ref="E45:Z45" si="7">SUM(E44)</f>
        <v>410000</v>
      </c>
      <c r="F45" s="88">
        <f t="shared" si="7"/>
        <v>600000</v>
      </c>
      <c r="G45" s="88">
        <f t="shared" si="7"/>
        <v>410000</v>
      </c>
      <c r="H45" s="88">
        <f t="shared" si="7"/>
        <v>409998.49</v>
      </c>
      <c r="I45" s="88">
        <f t="shared" si="7"/>
        <v>0</v>
      </c>
      <c r="J45" s="88">
        <f t="shared" si="7"/>
        <v>0</v>
      </c>
      <c r="K45" s="88">
        <f t="shared" si="7"/>
        <v>0</v>
      </c>
      <c r="L45" s="88">
        <f t="shared" si="7"/>
        <v>409998.49</v>
      </c>
      <c r="M45" s="88">
        <f t="shared" si="7"/>
        <v>1.5100000000093132</v>
      </c>
      <c r="N45" s="88">
        <f t="shared" si="7"/>
        <v>500000</v>
      </c>
      <c r="O45" s="88">
        <f t="shared" si="7"/>
        <v>100000</v>
      </c>
      <c r="P45" s="88">
        <f t="shared" si="7"/>
        <v>1.5100000000093132</v>
      </c>
      <c r="Q45" s="88">
        <f t="shared" si="7"/>
        <v>0</v>
      </c>
      <c r="R45" s="88">
        <f t="shared" si="7"/>
        <v>0</v>
      </c>
      <c r="S45" s="88">
        <f t="shared" si="7"/>
        <v>0</v>
      </c>
      <c r="T45" s="88">
        <f t="shared" si="7"/>
        <v>0</v>
      </c>
      <c r="U45" s="88">
        <f t="shared" si="7"/>
        <v>500000</v>
      </c>
      <c r="V45" s="88">
        <f t="shared" si="7"/>
        <v>0</v>
      </c>
      <c r="W45" s="88">
        <f t="shared" si="7"/>
        <v>500000</v>
      </c>
      <c r="X45" s="88">
        <f t="shared" si="7"/>
        <v>0</v>
      </c>
      <c r="Y45" s="88">
        <f t="shared" si="7"/>
        <v>0</v>
      </c>
      <c r="Z45" s="88">
        <f t="shared" si="7"/>
        <v>0</v>
      </c>
      <c r="AA45" s="410"/>
      <c r="AB45" s="725"/>
      <c r="AC45" s="412"/>
      <c r="AD45" s="427"/>
      <c r="AE45" s="427"/>
      <c r="AF45" s="426"/>
      <c r="AG45" s="425"/>
      <c r="AH45" s="308"/>
      <c r="AI45" s="428"/>
      <c r="AJ45" s="308"/>
      <c r="AK45" s="309"/>
      <c r="AL45" s="309"/>
      <c r="AM45" s="309"/>
    </row>
    <row r="46" spans="1:39" s="5" customFormat="1" ht="41.4">
      <c r="A46" s="3">
        <f>A44+1</f>
        <v>33</v>
      </c>
      <c r="B46" s="706">
        <f>'תקציב אגף שאיפה  2020 '!B16</f>
        <v>1435</v>
      </c>
      <c r="C46" s="87" t="str">
        <f>'תקציב אגף שאיפה  2020 '!C16</f>
        <v>שדרוג וטיפול המרחב הציבורי</v>
      </c>
      <c r="D46" s="4">
        <f>'תקציב אגף שאיפה  2020 '!D16</f>
        <v>31274320</v>
      </c>
      <c r="E46" s="4">
        <f>'תקציב אגף שאיפה  2020 '!E16</f>
        <v>27300000</v>
      </c>
      <c r="F46" s="4">
        <f>'תקציב אגף שאיפה  2020 '!F16</f>
        <v>3974320</v>
      </c>
      <c r="G46" s="4">
        <f>'תקציב אגף שאיפה  2020 '!G16</f>
        <v>25774320</v>
      </c>
      <c r="H46" s="4">
        <f>'תקציב אגף שאיפה  2020 '!H16</f>
        <v>22936668.030000001</v>
      </c>
      <c r="I46" s="4">
        <f>'תקציב אגף שאיפה  2020 '!I16</f>
        <v>0</v>
      </c>
      <c r="J46" s="4">
        <f>'תקציב אגף שאיפה  2020 '!J16</f>
        <v>2365688.2400000002</v>
      </c>
      <c r="K46" s="4">
        <f>'תקציב אגף שאיפה  2020 '!K16</f>
        <v>2365688.2400000002</v>
      </c>
      <c r="L46" s="4">
        <f>'תקציב אגף שאיפה  2020 '!L16</f>
        <v>25302356.270000003</v>
      </c>
      <c r="M46" s="4">
        <f>'תקציב אגף שאיפה  2020 '!M16</f>
        <v>971963.72999999672</v>
      </c>
      <c r="N46" s="4">
        <f>'תקציב אגף שאיפה  2020 '!N16</f>
        <v>2800000</v>
      </c>
      <c r="O46" s="4">
        <f>'תקציב אגף שאיפה  2020 '!O16</f>
        <v>2200000</v>
      </c>
      <c r="P46" s="4">
        <f>'תקציב אגף שאיפה  2020 '!P16</f>
        <v>471963.72999999672</v>
      </c>
      <c r="Q46" s="4">
        <f>'תקציב אגף שאיפה  2020 '!Q16</f>
        <v>500000</v>
      </c>
      <c r="R46" s="4">
        <f>'תקציב אגף שאיפה  2020 '!R16</f>
        <v>0</v>
      </c>
      <c r="S46" s="4">
        <f>'תקציב אגף שאיפה  2020 '!S16</f>
        <v>500000</v>
      </c>
      <c r="T46" s="4">
        <f>'תקציב אגף שאיפה  2020 '!T16</f>
        <v>0</v>
      </c>
      <c r="U46" s="4">
        <f>'תקציב אגף שאיפה  2020 '!U16</f>
        <v>2800000</v>
      </c>
      <c r="V46" s="4">
        <f>'תקציב אגף שאיפה  2020 '!V16</f>
        <v>0</v>
      </c>
      <c r="W46" s="4">
        <f>'תקציב אגף שאיפה  2020 '!W16</f>
        <v>2800000</v>
      </c>
      <c r="X46" s="4">
        <f>'תקציב אגף שאיפה  2020 '!X16</f>
        <v>0</v>
      </c>
      <c r="Y46" s="4">
        <f>'תקציב אגף שאיפה  2020 '!Y16</f>
        <v>0</v>
      </c>
      <c r="Z46" s="4">
        <f>'תקציב אגף שאיפה  2020 '!Z16</f>
        <v>0</v>
      </c>
      <c r="AA46" s="87" t="str">
        <f>'תקציב אגף שאיפה  2020 '!AA16</f>
        <v xml:space="preserve">עבודות במרחב הציבורי בשכונות השונות ברחבי העיר כולל ריהוט רחוב עפ"י תוכנית עבודה שתאושר ע"י הנהלת העיר. </v>
      </c>
      <c r="AB46" s="706">
        <f>'תקציב אגף שאיפה  2020 '!AB16</f>
        <v>848500</v>
      </c>
      <c r="AC46" s="210"/>
      <c r="AD46" s="392"/>
      <c r="AE46" s="392"/>
      <c r="AF46" s="330"/>
      <c r="AG46" s="333"/>
      <c r="AH46" s="28"/>
      <c r="AI46" s="191"/>
      <c r="AJ46" s="28"/>
      <c r="AK46" s="28"/>
      <c r="AL46" s="28"/>
      <c r="AM46" s="28"/>
    </row>
    <row r="47" spans="1:39" s="84" customFormat="1">
      <c r="A47" s="41"/>
      <c r="B47" s="725"/>
      <c r="C47" s="705" t="s">
        <v>723</v>
      </c>
      <c r="D47" s="88">
        <f>SUM(D46)</f>
        <v>31274320</v>
      </c>
      <c r="E47" s="88">
        <f t="shared" ref="E47:Z47" si="8">SUM(E46)</f>
        <v>27300000</v>
      </c>
      <c r="F47" s="88">
        <f t="shared" si="8"/>
        <v>3974320</v>
      </c>
      <c r="G47" s="88">
        <f t="shared" si="8"/>
        <v>25774320</v>
      </c>
      <c r="H47" s="88">
        <f t="shared" si="8"/>
        <v>22936668.030000001</v>
      </c>
      <c r="I47" s="88">
        <f t="shared" si="8"/>
        <v>0</v>
      </c>
      <c r="J47" s="88">
        <f t="shared" si="8"/>
        <v>2365688.2400000002</v>
      </c>
      <c r="K47" s="88">
        <f t="shared" si="8"/>
        <v>2365688.2400000002</v>
      </c>
      <c r="L47" s="88">
        <f t="shared" si="8"/>
        <v>25302356.270000003</v>
      </c>
      <c r="M47" s="88">
        <f t="shared" si="8"/>
        <v>971963.72999999672</v>
      </c>
      <c r="N47" s="88">
        <f t="shared" si="8"/>
        <v>2800000</v>
      </c>
      <c r="O47" s="88">
        <f t="shared" si="8"/>
        <v>2200000</v>
      </c>
      <c r="P47" s="88">
        <f t="shared" si="8"/>
        <v>471963.72999999672</v>
      </c>
      <c r="Q47" s="88">
        <f t="shared" si="8"/>
        <v>500000</v>
      </c>
      <c r="R47" s="88">
        <f t="shared" si="8"/>
        <v>0</v>
      </c>
      <c r="S47" s="88">
        <f t="shared" si="8"/>
        <v>500000</v>
      </c>
      <c r="T47" s="88">
        <f t="shared" si="8"/>
        <v>0</v>
      </c>
      <c r="U47" s="88">
        <f t="shared" si="8"/>
        <v>2800000</v>
      </c>
      <c r="V47" s="88">
        <f t="shared" si="8"/>
        <v>0</v>
      </c>
      <c r="W47" s="88">
        <f t="shared" si="8"/>
        <v>2800000</v>
      </c>
      <c r="X47" s="88">
        <f t="shared" si="8"/>
        <v>0</v>
      </c>
      <c r="Y47" s="88">
        <f t="shared" si="8"/>
        <v>0</v>
      </c>
      <c r="Z47" s="88">
        <f t="shared" si="8"/>
        <v>0</v>
      </c>
      <c r="AA47" s="410"/>
      <c r="AB47" s="725"/>
      <c r="AC47" s="412"/>
      <c r="AD47" s="427"/>
      <c r="AE47" s="427"/>
      <c r="AF47" s="426"/>
      <c r="AG47" s="425"/>
      <c r="AH47" s="308"/>
      <c r="AI47" s="428"/>
      <c r="AJ47" s="308"/>
      <c r="AK47" s="308"/>
      <c r="AL47" s="308"/>
      <c r="AM47" s="308"/>
    </row>
    <row r="48" spans="1:39" s="5" customFormat="1" ht="27.6">
      <c r="A48" s="3">
        <f>A46+1</f>
        <v>34</v>
      </c>
      <c r="B48" s="706">
        <v>1345</v>
      </c>
      <c r="C48" s="325" t="s">
        <v>791</v>
      </c>
      <c r="D48" s="4">
        <f>'תקציב אגף שאיפה  2020 '!D15</f>
        <v>1739000</v>
      </c>
      <c r="E48" s="4">
        <f>'תקציב אגף שאיפה  2020 '!E15</f>
        <v>1739000</v>
      </c>
      <c r="F48" s="4">
        <f>'תקציב אגף שאיפה  2020 '!F15</f>
        <v>0</v>
      </c>
      <c r="G48" s="4">
        <f>'תקציב אגף שאיפה  2020 '!G15</f>
        <v>915000</v>
      </c>
      <c r="H48" s="4">
        <f>'תקציב אגף שאיפה  2020 '!H15</f>
        <v>808403.94</v>
      </c>
      <c r="I48" s="4">
        <f>'תקציב אגף שאיפה  2020 '!I15</f>
        <v>0</v>
      </c>
      <c r="J48" s="4">
        <f>'תקציב אגף שאיפה  2020 '!J15</f>
        <v>39678.550000000003</v>
      </c>
      <c r="K48" s="4">
        <f>'תקציב אגף שאיפה  2020 '!K15</f>
        <v>39678.550000000003</v>
      </c>
      <c r="L48" s="4">
        <f>'תקציב אגף שאיפה  2020 '!L15</f>
        <v>848082.49</v>
      </c>
      <c r="M48" s="4">
        <f>'תקציב אגף שאיפה  2020 '!M15</f>
        <v>66917.510000000009</v>
      </c>
      <c r="N48" s="4">
        <f>'תקציב אגף שאיפה  2020 '!N15</f>
        <v>80000</v>
      </c>
      <c r="O48" s="4">
        <f>'תקציב אגף שאיפה  2020 '!O15</f>
        <v>744000</v>
      </c>
      <c r="P48" s="4">
        <f>'תקציב אגף שאיפה  2020 '!P15</f>
        <v>66917.510000000009</v>
      </c>
      <c r="Q48" s="4">
        <f>'תקציב אגף שאיפה  2020 '!Q15</f>
        <v>0</v>
      </c>
      <c r="R48" s="4">
        <f>'תקציב אגף שאיפה  2020 '!R15</f>
        <v>0</v>
      </c>
      <c r="S48" s="4">
        <f>'תקציב אגף שאיפה  2020 '!S15</f>
        <v>0</v>
      </c>
      <c r="T48" s="4">
        <f>'תקציב אגף שאיפה  2020 '!T15</f>
        <v>0</v>
      </c>
      <c r="U48" s="4">
        <f>'תקציב אגף שאיפה  2020 '!U15</f>
        <v>80000</v>
      </c>
      <c r="V48" s="4">
        <f>'תקציב אגף שאיפה  2020 '!V15</f>
        <v>0</v>
      </c>
      <c r="W48" s="4">
        <f>'תקציב אגף שאיפה  2020 '!W15</f>
        <v>80000</v>
      </c>
      <c r="X48" s="4">
        <f>'תקציב אגף שאיפה  2020 '!X15</f>
        <v>0</v>
      </c>
      <c r="Y48" s="4">
        <f>'תקציב אגף שאיפה  2020 '!Y15</f>
        <v>0</v>
      </c>
      <c r="Z48" s="4">
        <f>'תקציב אגף שאיפה  2020 '!Z15</f>
        <v>0</v>
      </c>
      <c r="AA48" s="87" t="str">
        <f>'תקציב אגף שאיפה  2020 '!AA15</f>
        <v>קידום אמנת ברית ערים כתוכנית המשך לתוכנית להפחתת פליטות של פורום ה-15.</v>
      </c>
      <c r="AB48" s="706">
        <f>'תקציב אגף שאיפה  2020 '!AB15</f>
        <v>870000</v>
      </c>
      <c r="AC48" s="210"/>
      <c r="AD48" s="392"/>
      <c r="AE48" s="392"/>
      <c r="AF48" s="330"/>
      <c r="AG48" s="19"/>
      <c r="AH48" s="19"/>
      <c r="AI48" s="28"/>
      <c r="AJ48" s="29"/>
      <c r="AK48" s="29"/>
      <c r="AL48" s="29"/>
      <c r="AM48" s="29"/>
    </row>
    <row r="49" spans="1:39" s="5" customFormat="1" ht="27.6">
      <c r="A49" s="3">
        <f t="shared" ref="A49:A55" si="9">A48+1</f>
        <v>35</v>
      </c>
      <c r="B49" s="706">
        <v>1579</v>
      </c>
      <c r="C49" s="325" t="s">
        <v>614</v>
      </c>
      <c r="D49" s="4">
        <f>'תקציב אגף שאיפה  2020 '!D19</f>
        <v>170000</v>
      </c>
      <c r="E49" s="4">
        <f>'תקציב אגף שאיפה  2020 '!E19</f>
        <v>170000</v>
      </c>
      <c r="F49" s="4">
        <f>'תקציב אגף שאיפה  2020 '!F19</f>
        <v>0</v>
      </c>
      <c r="G49" s="4">
        <f>'תקציב אגף שאיפה  2020 '!G19</f>
        <v>170000</v>
      </c>
      <c r="H49" s="4">
        <f>'תקציב אגף שאיפה  2020 '!H19</f>
        <v>146641.28</v>
      </c>
      <c r="I49" s="4">
        <f>'תקציב אגף שאיפה  2020 '!I19</f>
        <v>0</v>
      </c>
      <c r="J49" s="4">
        <f>'תקציב אגף שאיפה  2020 '!J19</f>
        <v>14237.18</v>
      </c>
      <c r="K49" s="4">
        <f>'תקציב אגף שאיפה  2020 '!K19</f>
        <v>14237.18</v>
      </c>
      <c r="L49" s="4">
        <f>'תקציב אגף שאיפה  2020 '!L19</f>
        <v>160878.46</v>
      </c>
      <c r="M49" s="4">
        <f>'תקציב אגף שאיפה  2020 '!M19</f>
        <v>9121.5400000000081</v>
      </c>
      <c r="N49" s="4">
        <f>'תקציב אגף שאיפה  2020 '!N19</f>
        <v>0</v>
      </c>
      <c r="O49" s="4">
        <f>'תקציב אגף שאיפה  2020 '!O19</f>
        <v>0</v>
      </c>
      <c r="P49" s="4">
        <f>'תקציב אגף שאיפה  2020 '!P19</f>
        <v>9121.5400000000081</v>
      </c>
      <c r="Q49" s="4">
        <f>'תקציב אגף שאיפה  2020 '!Q19</f>
        <v>0</v>
      </c>
      <c r="R49" s="4">
        <f>'תקציב אגף שאיפה  2020 '!R19</f>
        <v>0</v>
      </c>
      <c r="S49" s="4">
        <f>'תקציב אגף שאיפה  2020 '!S19</f>
        <v>0</v>
      </c>
      <c r="T49" s="4">
        <f>'תקציב אגף שאיפה  2020 '!T19</f>
        <v>0</v>
      </c>
      <c r="U49" s="4">
        <f>'תקציב אגף שאיפה  2020 '!U19</f>
        <v>0</v>
      </c>
      <c r="V49" s="4">
        <f>'תקציב אגף שאיפה  2020 '!V19</f>
        <v>0</v>
      </c>
      <c r="W49" s="4">
        <f>'תקציב אגף שאיפה  2020 '!W19</f>
        <v>0</v>
      </c>
      <c r="X49" s="4">
        <f>'תקציב אגף שאיפה  2020 '!X19</f>
        <v>0</v>
      </c>
      <c r="Y49" s="4">
        <f>'תקציב אגף שאיפה  2020 '!Y19</f>
        <v>0</v>
      </c>
      <c r="Z49" s="4">
        <f>'תקציב אגף שאיפה  2020 '!Z19</f>
        <v>0</v>
      </c>
      <c r="AA49" s="87">
        <f>'תקציב אגף שאיפה  2020 '!AA19</f>
        <v>0</v>
      </c>
      <c r="AB49" s="706">
        <f>'תקציב אגף שאיפה  2020 '!AB19</f>
        <v>870000</v>
      </c>
      <c r="AC49" s="210"/>
      <c r="AD49" s="392"/>
      <c r="AE49" s="392"/>
      <c r="AF49" s="330"/>
      <c r="AG49" s="19"/>
      <c r="AH49" s="19"/>
      <c r="AI49" s="28"/>
      <c r="AJ49" s="29"/>
      <c r="AK49" s="29"/>
      <c r="AL49" s="29"/>
      <c r="AM49" s="29"/>
    </row>
    <row r="50" spans="1:39" s="5" customFormat="1" ht="27.6">
      <c r="A50" s="3">
        <f t="shared" si="9"/>
        <v>36</v>
      </c>
      <c r="B50" s="706">
        <v>1598</v>
      </c>
      <c r="C50" s="325" t="s">
        <v>78</v>
      </c>
      <c r="D50" s="4">
        <f>'תקציב אגף שאיפה  2020 '!D20</f>
        <v>724500</v>
      </c>
      <c r="E50" s="4">
        <f>'תקציב אגף שאיפה  2020 '!E20</f>
        <v>589500</v>
      </c>
      <c r="F50" s="4">
        <f>'תקציב אגף שאיפה  2020 '!F20</f>
        <v>135000</v>
      </c>
      <c r="G50" s="4">
        <f>'תקציב אגף שאיפה  2020 '!G20</f>
        <v>449500</v>
      </c>
      <c r="H50" s="4">
        <f>'תקציב אגף שאיפה  2020 '!H20</f>
        <v>327398.75</v>
      </c>
      <c r="I50" s="4">
        <f>'תקציב אגף שאיפה  2020 '!I20</f>
        <v>0</v>
      </c>
      <c r="J50" s="4">
        <f>'תקציב אגף שאיפה  2020 '!J20</f>
        <v>269.57</v>
      </c>
      <c r="K50" s="4">
        <f>'תקציב אגף שאיפה  2020 '!K20</f>
        <v>269.57</v>
      </c>
      <c r="L50" s="4">
        <f>'תקציב אגף שאיפה  2020 '!L20</f>
        <v>327668.32</v>
      </c>
      <c r="M50" s="4">
        <f>'תקציב אגף שאיפה  2020 '!M20</f>
        <v>261831.67999999999</v>
      </c>
      <c r="N50" s="4">
        <f>'תקציב אגף שאיפה  2020 '!N20</f>
        <v>135000</v>
      </c>
      <c r="O50" s="4">
        <f>'תקציב אגף שאיפה  2020 '!O20</f>
        <v>0</v>
      </c>
      <c r="P50" s="4">
        <f>'תקציב אגף שאיפה  2020 '!P20</f>
        <v>121831.67999999999</v>
      </c>
      <c r="Q50" s="4">
        <f>'תקציב אגף שאיפה  2020 '!Q20</f>
        <v>140000</v>
      </c>
      <c r="R50" s="4">
        <f>'תקציב אגף שאיפה  2020 '!R20</f>
        <v>0</v>
      </c>
      <c r="S50" s="4">
        <f>'תקציב אגף שאיפה  2020 '!S20</f>
        <v>140000</v>
      </c>
      <c r="T50" s="4">
        <f>'תקציב אגף שאיפה  2020 '!T20</f>
        <v>0</v>
      </c>
      <c r="U50" s="4">
        <f>'תקציב אגף שאיפה  2020 '!U20</f>
        <v>135000</v>
      </c>
      <c r="V50" s="4">
        <f>'תקציב אגף שאיפה  2020 '!V20</f>
        <v>0</v>
      </c>
      <c r="W50" s="4">
        <f>'תקציב אגף שאיפה  2020 '!W20</f>
        <v>27000</v>
      </c>
      <c r="X50" s="4">
        <f>'תקציב אגף שאיפה  2020 '!X20</f>
        <v>0</v>
      </c>
      <c r="Y50" s="4">
        <f>'תקציב אגף שאיפה  2020 '!Y20</f>
        <v>0</v>
      </c>
      <c r="Z50" s="4">
        <f>'תקציב אגף שאיפה  2020 '!Z20</f>
        <v>108000</v>
      </c>
      <c r="AA50" s="87" t="str">
        <f>'תקציב אגף שאיפה  2020 '!AA20</f>
        <v>חינוך לקיימות. קול קורא לשנים 2018-2020. מימון מ. להגנת הסביבה.</v>
      </c>
      <c r="AB50" s="706">
        <f>'תקציב אגף שאיפה  2020 '!AB20</f>
        <v>870000</v>
      </c>
      <c r="AC50" s="210"/>
      <c r="AD50" s="392"/>
      <c r="AE50" s="392"/>
      <c r="AF50" s="330"/>
      <c r="AG50" s="19"/>
      <c r="AH50" s="19"/>
      <c r="AI50" s="28"/>
      <c r="AJ50" s="29"/>
      <c r="AK50" s="29"/>
      <c r="AL50" s="29"/>
      <c r="AM50" s="29"/>
    </row>
    <row r="51" spans="1:39" s="5" customFormat="1" ht="27.6">
      <c r="A51" s="3">
        <f t="shared" si="9"/>
        <v>37</v>
      </c>
      <c r="B51" s="706">
        <v>1831</v>
      </c>
      <c r="C51" s="325" t="s">
        <v>178</v>
      </c>
      <c r="D51" s="4">
        <f>'תקציב אגף שאיפה  2020 '!D24</f>
        <v>146059</v>
      </c>
      <c r="E51" s="4">
        <f>'תקציב אגף שאיפה  2020 '!E24</f>
        <v>146059</v>
      </c>
      <c r="F51" s="4">
        <f>'תקציב אגף שאיפה  2020 '!F24</f>
        <v>0</v>
      </c>
      <c r="G51" s="4">
        <f>'תקציב אגף שאיפה  2020 '!G24</f>
        <v>146059</v>
      </c>
      <c r="H51" s="4">
        <f>'תקציב אגף שאיפה  2020 '!H24</f>
        <v>38025</v>
      </c>
      <c r="I51" s="4">
        <f>'תקציב אגף שאיפה  2020 '!I24</f>
        <v>0</v>
      </c>
      <c r="J51" s="4">
        <f>'תקציב אגף שאיפה  2020 '!J24</f>
        <v>0</v>
      </c>
      <c r="K51" s="4">
        <f>'תקציב אגף שאיפה  2020 '!K24</f>
        <v>0</v>
      </c>
      <c r="L51" s="4">
        <f>'תקציב אגף שאיפה  2020 '!L24</f>
        <v>38025</v>
      </c>
      <c r="M51" s="4">
        <f>'תקציב אגף שאיפה  2020 '!M24</f>
        <v>8034</v>
      </c>
      <c r="N51" s="4">
        <f>'תקציב אגף שאיפה  2020 '!N24</f>
        <v>100000</v>
      </c>
      <c r="O51" s="4">
        <f>'תקציב אגף שאיפה  2020 '!O24</f>
        <v>0</v>
      </c>
      <c r="P51" s="4">
        <f>'תקציב אגף שאיפה  2020 '!P24</f>
        <v>108034</v>
      </c>
      <c r="Q51" s="4">
        <f>'תקציב אגף שאיפה  2020 '!Q24</f>
        <v>0</v>
      </c>
      <c r="R51" s="4">
        <f>'תקציב אגף שאיפה  2020 '!R24</f>
        <v>0</v>
      </c>
      <c r="S51" s="4">
        <f>'תקציב אגף שאיפה  2020 '!S24</f>
        <v>0</v>
      </c>
      <c r="T51" s="4">
        <f>'תקציב אגף שאיפה  2020 '!T24</f>
        <v>100000</v>
      </c>
      <c r="U51" s="4">
        <f>'תקציב אגף שאיפה  2020 '!U24</f>
        <v>0</v>
      </c>
      <c r="V51" s="4">
        <f>'תקציב אגף שאיפה  2020 '!V24</f>
        <v>0</v>
      </c>
      <c r="W51" s="4">
        <f>'תקציב אגף שאיפה  2020 '!W24</f>
        <v>0</v>
      </c>
      <c r="X51" s="4">
        <f>'תקציב אגף שאיפה  2020 '!X24</f>
        <v>0</v>
      </c>
      <c r="Y51" s="4">
        <f>'תקציב אגף שאיפה  2020 '!Y24</f>
        <v>0</v>
      </c>
      <c r="Z51" s="4">
        <f>'תקציב אגף שאיפה  2020 '!Z24</f>
        <v>0</v>
      </c>
      <c r="AA51" s="87" t="str">
        <f>'תקציב אגף שאיפה  2020 '!AA24</f>
        <v>פרויקטים סביבתתים לשיפור איכות הסביבה. ממומן ע"י מ. להגנת הסביבה.</v>
      </c>
      <c r="AB51" s="706">
        <f>'תקציב אגף שאיפה  2020 '!AB24</f>
        <v>870000</v>
      </c>
      <c r="AC51" s="210"/>
      <c r="AD51" s="392"/>
      <c r="AE51" s="392"/>
      <c r="AF51" s="330"/>
      <c r="AG51" s="19"/>
      <c r="AH51" s="19"/>
      <c r="AI51" s="28"/>
      <c r="AJ51" s="29"/>
      <c r="AK51" s="29"/>
      <c r="AL51" s="29"/>
      <c r="AM51" s="29"/>
    </row>
    <row r="52" spans="1:39" s="5" customFormat="1" ht="27.6">
      <c r="A52" s="3">
        <f t="shared" si="9"/>
        <v>38</v>
      </c>
      <c r="B52" s="706">
        <v>1866</v>
      </c>
      <c r="C52" s="325" t="s">
        <v>181</v>
      </c>
      <c r="D52" s="4">
        <f>'תקציב אגף שאיפה  2020 '!D25</f>
        <v>300000</v>
      </c>
      <c r="E52" s="4">
        <f>'תקציב אגף שאיפה  2020 '!E25</f>
        <v>300000</v>
      </c>
      <c r="F52" s="4">
        <f>'תקציב אגף שאיפה  2020 '!F25</f>
        <v>0</v>
      </c>
      <c r="G52" s="4">
        <f>'תקציב אגף שאיפה  2020 '!G25</f>
        <v>225000</v>
      </c>
      <c r="H52" s="4">
        <f>'תקציב אגף שאיפה  2020 '!H25</f>
        <v>168263.54</v>
      </c>
      <c r="I52" s="4">
        <f>'תקציב אגף שאיפה  2020 '!I25</f>
        <v>0</v>
      </c>
      <c r="J52" s="4">
        <f>'תקציב אגף שאיפה  2020 '!J25</f>
        <v>30296.45</v>
      </c>
      <c r="K52" s="4">
        <f>'תקציב אגף שאיפה  2020 '!K25</f>
        <v>30296.45</v>
      </c>
      <c r="L52" s="4">
        <f>'תקציב אגף שאיפה  2020 '!L25</f>
        <v>198559.99000000002</v>
      </c>
      <c r="M52" s="4">
        <f>'תקציב אגף שאיפה  2020 '!M25</f>
        <v>26440.00999999998</v>
      </c>
      <c r="N52" s="4">
        <f>'תקציב אגף שאיפה  2020 '!N25</f>
        <v>75000</v>
      </c>
      <c r="O52" s="4">
        <f>'תקציב אגף שאיפה  2020 '!O25</f>
        <v>0</v>
      </c>
      <c r="P52" s="4">
        <f>'תקציב אגף שאיפה  2020 '!P25</f>
        <v>26440.00999999998</v>
      </c>
      <c r="Q52" s="4">
        <f>'תקציב אגף שאיפה  2020 '!Q25</f>
        <v>0</v>
      </c>
      <c r="R52" s="4">
        <f>'תקציב אגף שאיפה  2020 '!R25</f>
        <v>0</v>
      </c>
      <c r="S52" s="4">
        <f>'תקציב אגף שאיפה  2020 '!S25</f>
        <v>0</v>
      </c>
      <c r="T52" s="4">
        <f>'תקציב אגף שאיפה  2020 '!T25</f>
        <v>0</v>
      </c>
      <c r="U52" s="4">
        <f>'תקציב אגף שאיפה  2020 '!U25</f>
        <v>75000</v>
      </c>
      <c r="V52" s="4">
        <f>'תקציב אגף שאיפה  2020 '!V25</f>
        <v>0</v>
      </c>
      <c r="W52" s="4">
        <f>'תקציב אגף שאיפה  2020 '!W25</f>
        <v>75000</v>
      </c>
      <c r="X52" s="4">
        <f>'תקציב אגף שאיפה  2020 '!X25</f>
        <v>0</v>
      </c>
      <c r="Y52" s="4">
        <f>'תקציב אגף שאיפה  2020 '!Y25</f>
        <v>0</v>
      </c>
      <c r="Z52" s="4">
        <f>'תקציב אגף שאיפה  2020 '!Z25</f>
        <v>0</v>
      </c>
      <c r="AA52" s="87" t="str">
        <f>'תקציב אגף שאיפה  2020 '!AA25</f>
        <v>הסרת גגות אסבסט ממבנים בעיר וסיוע לתושבים לאיסוף אסבסט בהיקפים קטנים.</v>
      </c>
      <c r="AB52" s="706">
        <f>'תקציב אגף שאיפה  2020 '!AB25</f>
        <v>870000</v>
      </c>
      <c r="AC52" s="210"/>
      <c r="AD52" s="392"/>
      <c r="AE52" s="392"/>
      <c r="AF52" s="330"/>
      <c r="AG52" s="19"/>
      <c r="AH52" s="19"/>
      <c r="AI52" s="28"/>
      <c r="AJ52" s="29"/>
      <c r="AK52" s="29"/>
      <c r="AL52" s="29"/>
      <c r="AM52" s="29"/>
    </row>
    <row r="53" spans="1:39" s="5" customFormat="1" ht="27.6">
      <c r="A53" s="3">
        <f t="shared" si="9"/>
        <v>39</v>
      </c>
      <c r="B53" s="706">
        <v>1899</v>
      </c>
      <c r="C53" s="325" t="s">
        <v>197</v>
      </c>
      <c r="D53" s="4">
        <f>'תקציב אגף שאיפה  2020 '!D26</f>
        <v>770000</v>
      </c>
      <c r="E53" s="4">
        <f>'תקציב אגף שאיפה  2020 '!E26</f>
        <v>500000</v>
      </c>
      <c r="F53" s="4">
        <f>'תקציב אגף שאיפה  2020 '!F26</f>
        <v>270000</v>
      </c>
      <c r="G53" s="4">
        <f>'תקציב אגף שאיפה  2020 '!G26</f>
        <v>470000</v>
      </c>
      <c r="H53" s="4">
        <f>'תקציב אגף שאיפה  2020 '!H26</f>
        <v>192236.45</v>
      </c>
      <c r="I53" s="4">
        <f>'תקציב אגף שאיפה  2020 '!I26</f>
        <v>0</v>
      </c>
      <c r="J53" s="4">
        <f>'תקציב אגף שאיפה  2020 '!J26</f>
        <v>0</v>
      </c>
      <c r="K53" s="4">
        <f>'תקציב אגף שאיפה  2020 '!K26</f>
        <v>0</v>
      </c>
      <c r="L53" s="4">
        <f>'תקציב אגף שאיפה  2020 '!L26</f>
        <v>192236.45</v>
      </c>
      <c r="M53" s="4">
        <f>'תקציב אגף שאיפה  2020 '!M26</f>
        <v>277763.55</v>
      </c>
      <c r="N53" s="4">
        <f>'תקציב אגף שאיפה  2020 '!N26</f>
        <v>200000</v>
      </c>
      <c r="O53" s="4">
        <f>'תקציב אגף שאיפה  2020 '!O26</f>
        <v>100000.00000000006</v>
      </c>
      <c r="P53" s="4">
        <f>'תקציב אגף שאיפה  2020 '!P26</f>
        <v>277763.55</v>
      </c>
      <c r="Q53" s="4">
        <f>'תקציב אגף שאיפה  2020 '!Q26</f>
        <v>0</v>
      </c>
      <c r="R53" s="4">
        <f>'תקציב אגף שאיפה  2020 '!R26</f>
        <v>0</v>
      </c>
      <c r="S53" s="4">
        <f>'תקציב אגף שאיפה  2020 '!S26</f>
        <v>0</v>
      </c>
      <c r="T53" s="4">
        <f>'תקציב אגף שאיפה  2020 '!T26</f>
        <v>0</v>
      </c>
      <c r="U53" s="4">
        <f>'תקציב אגף שאיפה  2020 '!U26</f>
        <v>200000</v>
      </c>
      <c r="V53" s="4">
        <f>'תקציב אגף שאיפה  2020 '!V26</f>
        <v>0</v>
      </c>
      <c r="W53" s="4">
        <f>'תקציב אגף שאיפה  2020 '!W26</f>
        <v>200000</v>
      </c>
      <c r="X53" s="4">
        <f>'תקציב אגף שאיפה  2020 '!X26</f>
        <v>0</v>
      </c>
      <c r="Y53" s="4">
        <f>'תקציב אגף שאיפה  2020 '!Y26</f>
        <v>0</v>
      </c>
      <c r="Z53" s="4">
        <f>'תקציב אגף שאיפה  2020 '!Z26</f>
        <v>0</v>
      </c>
      <c r="AA53" s="87" t="str">
        <f>'תקציב אגף שאיפה  2020 '!AA26</f>
        <v>רכישת מיכלי אצירה מפלסטיק ומתכת לפסולת ומיחזור.</v>
      </c>
      <c r="AB53" s="706">
        <f>'תקציב אגף שאיפה  2020 '!AB26</f>
        <v>870000</v>
      </c>
      <c r="AC53" s="210"/>
      <c r="AD53" s="392"/>
      <c r="AE53" s="392"/>
      <c r="AF53" s="330"/>
      <c r="AG53" s="333"/>
      <c r="AH53" s="28"/>
      <c r="AI53" s="191"/>
      <c r="AJ53" s="28"/>
      <c r="AK53" s="29"/>
      <c r="AL53" s="29"/>
      <c r="AM53" s="29"/>
    </row>
    <row r="54" spans="1:39" s="5" customFormat="1">
      <c r="A54" s="3">
        <f t="shared" si="9"/>
        <v>40</v>
      </c>
      <c r="B54" s="706">
        <v>1922</v>
      </c>
      <c r="C54" s="325" t="s">
        <v>179</v>
      </c>
      <c r="D54" s="4">
        <f>'תקציב אגף שאיפה  2020 '!D27</f>
        <v>330000</v>
      </c>
      <c r="E54" s="4">
        <f>'תקציב אגף שאיפה  2020 '!E27</f>
        <v>330000</v>
      </c>
      <c r="F54" s="4">
        <f>'תקציב אגף שאיפה  2020 '!F27</f>
        <v>0</v>
      </c>
      <c r="G54" s="4">
        <f>'תקציב אגף שאיפה  2020 '!G27</f>
        <v>200000</v>
      </c>
      <c r="H54" s="4">
        <f>'תקציב אגף שאיפה  2020 '!H27</f>
        <v>52334.19</v>
      </c>
      <c r="I54" s="4">
        <f>'תקציב אגף שאיפה  2020 '!I27</f>
        <v>0</v>
      </c>
      <c r="J54" s="4">
        <f>'תקציב אגף שאיפה  2020 '!J27</f>
        <v>30210.799999999999</v>
      </c>
      <c r="K54" s="4">
        <f>'תקציב אגף שאיפה  2020 '!K27</f>
        <v>30210.799999999999</v>
      </c>
      <c r="L54" s="4">
        <f>'תקציב אגף שאיפה  2020 '!L27</f>
        <v>82544.990000000005</v>
      </c>
      <c r="M54" s="4">
        <f>'תקציב אגף שאיפה  2020 '!M27</f>
        <v>117455.01</v>
      </c>
      <c r="N54" s="4">
        <f>'תקציב אגף שאיפה  2020 '!N27</f>
        <v>0</v>
      </c>
      <c r="O54" s="4">
        <f>'תקציב אגף שאיפה  2020 '!O27</f>
        <v>130000.00000000001</v>
      </c>
      <c r="P54" s="4">
        <f>'תקציב אגף שאיפה  2020 '!P27</f>
        <v>117455.01</v>
      </c>
      <c r="Q54" s="4">
        <f>'תקציב אגף שאיפה  2020 '!Q27</f>
        <v>0</v>
      </c>
      <c r="R54" s="4">
        <f>'תקציב אגף שאיפה  2020 '!R27</f>
        <v>0</v>
      </c>
      <c r="S54" s="4">
        <f>'תקציב אגף שאיפה  2020 '!S27</f>
        <v>0</v>
      </c>
      <c r="T54" s="4">
        <f>'תקציב אגף שאיפה  2020 '!T27</f>
        <v>0</v>
      </c>
      <c r="U54" s="4">
        <f>'תקציב אגף שאיפה  2020 '!U27</f>
        <v>0</v>
      </c>
      <c r="V54" s="4">
        <f>'תקציב אגף שאיפה  2020 '!V27</f>
        <v>0</v>
      </c>
      <c r="W54" s="4">
        <f>'תקציב אגף שאיפה  2020 '!W27</f>
        <v>0</v>
      </c>
      <c r="X54" s="4">
        <f>'תקציב אגף שאיפה  2020 '!X27</f>
        <v>0</v>
      </c>
      <c r="Y54" s="4">
        <f>'תקציב אגף שאיפה  2020 '!Y27</f>
        <v>0</v>
      </c>
      <c r="Z54" s="4">
        <f>'תקציב אגף שאיפה  2020 '!Z27</f>
        <v>0</v>
      </c>
      <c r="AA54" s="87">
        <f>'תקציב אגף שאיפה  2020 '!AA27</f>
        <v>0</v>
      </c>
      <c r="AB54" s="706">
        <f>'תקציב אגף שאיפה  2020 '!AB27</f>
        <v>870000</v>
      </c>
      <c r="AC54" s="210"/>
      <c r="AD54" s="392"/>
      <c r="AE54" s="392"/>
      <c r="AF54" s="330"/>
      <c r="AG54" s="19"/>
      <c r="AH54" s="19"/>
      <c r="AI54" s="28"/>
      <c r="AJ54" s="29"/>
      <c r="AK54" s="29"/>
      <c r="AL54" s="29"/>
      <c r="AM54" s="29"/>
    </row>
    <row r="55" spans="1:39" s="5" customFormat="1" ht="55.2">
      <c r="A55" s="3">
        <f t="shared" si="9"/>
        <v>41</v>
      </c>
      <c r="B55" s="706">
        <v>2037</v>
      </c>
      <c r="C55" s="325" t="s">
        <v>987</v>
      </c>
      <c r="D55" s="4">
        <f>'תקציב אגף שאיפה  2020 '!D33</f>
        <v>5000000</v>
      </c>
      <c r="E55" s="4">
        <f>'תקציב אגף שאיפה  2020 '!E33</f>
        <v>5000000</v>
      </c>
      <c r="F55" s="4">
        <f>'תקציב אגף שאיפה  2020 '!F33</f>
        <v>0</v>
      </c>
      <c r="G55" s="4">
        <f>'תקציב אגף שאיפה  2020 '!G33</f>
        <v>800000</v>
      </c>
      <c r="H55" s="4">
        <f>'תקציב אגף שאיפה  2020 '!H33</f>
        <v>188343.37</v>
      </c>
      <c r="I55" s="4">
        <f>'תקציב אגף שאיפה  2020 '!I33</f>
        <v>0</v>
      </c>
      <c r="J55" s="4">
        <f>'תקציב אגף שאיפה  2020 '!J33</f>
        <v>389396.11</v>
      </c>
      <c r="K55" s="4">
        <f>'תקציב אגף שאיפה  2020 '!K33</f>
        <v>389396.11</v>
      </c>
      <c r="L55" s="4">
        <f>'תקציב אגף שאיפה  2020 '!L33</f>
        <v>577739.48</v>
      </c>
      <c r="M55" s="4">
        <f>'תקציב אגף שאיפה  2020 '!M33</f>
        <v>222260.52000000002</v>
      </c>
      <c r="N55" s="4">
        <f>'תקציב אגף שאיפה  2020 '!N33</f>
        <v>400000</v>
      </c>
      <c r="O55" s="4">
        <f>'תקציב אגף שאיפה  2020 '!O33</f>
        <v>3800000</v>
      </c>
      <c r="P55" s="4">
        <f>'תקציב אגף שאיפה  2020 '!P33</f>
        <v>222260.52000000002</v>
      </c>
      <c r="Q55" s="4">
        <f>'תקציב אגף שאיפה  2020 '!Q33</f>
        <v>200000</v>
      </c>
      <c r="R55" s="4">
        <f>'תקציב אגף שאיפה  2020 '!R33</f>
        <v>0</v>
      </c>
      <c r="S55" s="4">
        <f>'תקציב אגף שאיפה  2020 '!S33</f>
        <v>200000</v>
      </c>
      <c r="T55" s="4">
        <f>'תקציב אגף שאיפה  2020 '!T33</f>
        <v>200000</v>
      </c>
      <c r="U55" s="4">
        <f>'תקציב אגף שאיפה  2020 '!U33</f>
        <v>200000</v>
      </c>
      <c r="V55" s="4">
        <f>'תקציב אגף שאיפה  2020 '!V33</f>
        <v>200000</v>
      </c>
      <c r="W55" s="4">
        <f>'תקציב אגף שאיפה  2020 '!W33</f>
        <v>0</v>
      </c>
      <c r="X55" s="4">
        <f>'תקציב אגף שאיפה  2020 '!X33</f>
        <v>0</v>
      </c>
      <c r="Y55" s="4">
        <f>'תקציב אגף שאיפה  2020 '!Y33</f>
        <v>0</v>
      </c>
      <c r="Z55" s="4">
        <f>'תקציב אגף שאיפה  2020 '!Z33</f>
        <v>0</v>
      </c>
      <c r="AA55" s="87" t="str">
        <f>'תקציב אגף שאיפה  2020 '!AA33</f>
        <v>הקמת פינות מיחזור ברחבי העיר (פינות המרכזות מיכלי אצירה לסוגים שונים של פסולת כגון: בקבוקים, זכוכית, נייר, אריזות ועוד).</v>
      </c>
      <c r="AB55" s="706">
        <f>'תקציב אגף שאיפה  2020 '!AB33</f>
        <v>870000</v>
      </c>
      <c r="AC55" s="210"/>
      <c r="AD55" s="392"/>
      <c r="AE55" s="392"/>
      <c r="AF55" s="330"/>
      <c r="AG55" s="333"/>
      <c r="AH55" s="28"/>
      <c r="AI55" s="191"/>
      <c r="AJ55" s="28"/>
      <c r="AK55" s="29"/>
      <c r="AL55" s="29"/>
      <c r="AM55" s="29"/>
    </row>
    <row r="56" spans="1:39" s="84" customFormat="1">
      <c r="A56" s="41"/>
      <c r="B56" s="725"/>
      <c r="C56" s="705" t="s">
        <v>703</v>
      </c>
      <c r="D56" s="88">
        <f>SUM(D48:D55)</f>
        <v>9179559</v>
      </c>
      <c r="E56" s="88">
        <f t="shared" ref="E56:Z56" si="10">SUM(E48:E55)</f>
        <v>8774559</v>
      </c>
      <c r="F56" s="88">
        <f t="shared" si="10"/>
        <v>405000</v>
      </c>
      <c r="G56" s="88">
        <f t="shared" si="10"/>
        <v>3375559</v>
      </c>
      <c r="H56" s="88">
        <f t="shared" si="10"/>
        <v>1921646.52</v>
      </c>
      <c r="I56" s="88">
        <f t="shared" si="10"/>
        <v>0</v>
      </c>
      <c r="J56" s="88">
        <f t="shared" si="10"/>
        <v>504088.66</v>
      </c>
      <c r="K56" s="88">
        <f t="shared" si="10"/>
        <v>504088.66</v>
      </c>
      <c r="L56" s="88">
        <f t="shared" si="10"/>
        <v>2425735.1799999997</v>
      </c>
      <c r="M56" s="88">
        <f t="shared" si="10"/>
        <v>989823.82000000007</v>
      </c>
      <c r="N56" s="88">
        <f t="shared" si="10"/>
        <v>990000</v>
      </c>
      <c r="O56" s="88">
        <f t="shared" si="10"/>
        <v>4774000</v>
      </c>
      <c r="P56" s="88">
        <f t="shared" si="10"/>
        <v>949823.82000000007</v>
      </c>
      <c r="Q56" s="88">
        <f t="shared" si="10"/>
        <v>340000</v>
      </c>
      <c r="R56" s="88">
        <f t="shared" si="10"/>
        <v>0</v>
      </c>
      <c r="S56" s="88">
        <f t="shared" si="10"/>
        <v>340000</v>
      </c>
      <c r="T56" s="88">
        <f t="shared" si="10"/>
        <v>300000</v>
      </c>
      <c r="U56" s="88">
        <f t="shared" si="10"/>
        <v>690000</v>
      </c>
      <c r="V56" s="88">
        <f t="shared" si="10"/>
        <v>200000</v>
      </c>
      <c r="W56" s="88">
        <f t="shared" si="10"/>
        <v>382000</v>
      </c>
      <c r="X56" s="88">
        <f t="shared" si="10"/>
        <v>0</v>
      </c>
      <c r="Y56" s="88">
        <f t="shared" si="10"/>
        <v>0</v>
      </c>
      <c r="Z56" s="88">
        <f t="shared" si="10"/>
        <v>108000</v>
      </c>
      <c r="AA56" s="410"/>
      <c r="AB56" s="725"/>
      <c r="AC56" s="412"/>
      <c r="AD56" s="427"/>
      <c r="AE56" s="427"/>
      <c r="AF56" s="426"/>
      <c r="AG56" s="425"/>
      <c r="AH56" s="308"/>
      <c r="AI56" s="428"/>
      <c r="AJ56" s="308"/>
      <c r="AK56" s="309"/>
      <c r="AL56" s="309"/>
      <c r="AM56" s="309"/>
    </row>
    <row r="57" spans="1:39" s="84" customFormat="1" ht="13.8">
      <c r="A57" s="41">
        <f>A55</f>
        <v>41</v>
      </c>
      <c r="B57" s="725"/>
      <c r="C57" s="221" t="s">
        <v>684</v>
      </c>
      <c r="D57" s="88">
        <f>D56+D47+D45+D43+D38+D36+D34+D32+D8</f>
        <v>243509379</v>
      </c>
      <c r="E57" s="88">
        <f t="shared" ref="E57:Z57" si="11">E56+E47+E45+E43+E38+E36+E34+E32+E8</f>
        <v>223205059</v>
      </c>
      <c r="F57" s="88">
        <f t="shared" si="11"/>
        <v>20304320</v>
      </c>
      <c r="G57" s="88">
        <f t="shared" si="11"/>
        <v>194120579</v>
      </c>
      <c r="H57" s="88">
        <f t="shared" si="11"/>
        <v>174731647.29000002</v>
      </c>
      <c r="I57" s="88">
        <f t="shared" si="11"/>
        <v>0</v>
      </c>
      <c r="J57" s="88">
        <f t="shared" si="11"/>
        <v>12537649.74</v>
      </c>
      <c r="K57" s="88">
        <f t="shared" si="11"/>
        <v>12537649.74</v>
      </c>
      <c r="L57" s="88">
        <f t="shared" si="11"/>
        <v>187269297.02999997</v>
      </c>
      <c r="M57" s="88">
        <f t="shared" si="11"/>
        <v>8121281.9700000016</v>
      </c>
      <c r="N57" s="88">
        <f t="shared" si="11"/>
        <v>35117000</v>
      </c>
      <c r="O57" s="88">
        <f t="shared" si="11"/>
        <v>13001800</v>
      </c>
      <c r="P57" s="88">
        <f t="shared" si="11"/>
        <v>6851281.9700000007</v>
      </c>
      <c r="Q57" s="88">
        <f t="shared" si="11"/>
        <v>3195000</v>
      </c>
      <c r="R57" s="88">
        <f t="shared" si="11"/>
        <v>0</v>
      </c>
      <c r="S57" s="88">
        <f t="shared" si="11"/>
        <v>3195000</v>
      </c>
      <c r="T57" s="88">
        <f t="shared" si="11"/>
        <v>1925000</v>
      </c>
      <c r="U57" s="88">
        <f t="shared" si="11"/>
        <v>33192000</v>
      </c>
      <c r="V57" s="88">
        <f t="shared" si="11"/>
        <v>2930000</v>
      </c>
      <c r="W57" s="88">
        <f t="shared" si="11"/>
        <v>12522000</v>
      </c>
      <c r="X57" s="88">
        <f t="shared" si="11"/>
        <v>0</v>
      </c>
      <c r="Y57" s="88">
        <f t="shared" si="11"/>
        <v>0</v>
      </c>
      <c r="Z57" s="88">
        <f t="shared" si="11"/>
        <v>17740000</v>
      </c>
      <c r="AA57" s="705"/>
      <c r="AB57" s="41"/>
      <c r="AC57" s="210"/>
      <c r="AD57" s="438"/>
    </row>
    <row r="58" spans="1:39" s="49" customFormat="1">
      <c r="A58" s="54"/>
      <c r="B58" s="759"/>
      <c r="C58" s="788"/>
      <c r="D58" s="33"/>
      <c r="E58" s="33"/>
      <c r="F58" s="33"/>
      <c r="G58" s="33"/>
      <c r="H58" s="33"/>
      <c r="I58" s="33"/>
      <c r="J58" s="33"/>
      <c r="K58" s="33"/>
      <c r="L58" s="25">
        <f>K57+H57</f>
        <v>187269297.03000003</v>
      </c>
      <c r="M58" s="25"/>
      <c r="N58" s="33"/>
      <c r="O58" s="33"/>
      <c r="P58" s="16">
        <f>G57-L58</f>
        <v>6851281.969999969</v>
      </c>
      <c r="Q58" s="33"/>
      <c r="R58" s="33"/>
      <c r="S58" s="33"/>
      <c r="T58" s="16">
        <f>P58+S57-M57</f>
        <v>1924999.9999999674</v>
      </c>
      <c r="U58" s="25">
        <f>N57-T58</f>
        <v>33192000.000000034</v>
      </c>
      <c r="V58" s="33"/>
      <c r="W58" s="33"/>
      <c r="X58" s="33"/>
      <c r="Y58" s="33"/>
      <c r="Z58" s="33"/>
      <c r="AA58" s="409"/>
      <c r="AB58" s="54"/>
      <c r="AC58" s="210"/>
      <c r="AD58" s="330"/>
      <c r="AE58" s="330"/>
      <c r="AF58" s="330"/>
      <c r="AG58" s="333"/>
      <c r="AH58" s="28"/>
      <c r="AI58" s="191"/>
      <c r="AJ58" s="54"/>
      <c r="AK58" s="54"/>
      <c r="AL58" s="54"/>
      <c r="AM58" s="54"/>
    </row>
    <row r="59" spans="1:39" s="42" customFormat="1">
      <c r="A59" s="14"/>
      <c r="B59" s="26"/>
      <c r="C59" s="407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6"/>
      <c r="O59" s="16"/>
      <c r="P59" s="16"/>
      <c r="Q59" s="16"/>
      <c r="R59" s="16"/>
      <c r="S59" s="16"/>
      <c r="T59" s="16"/>
      <c r="U59" s="14"/>
      <c r="V59" s="14"/>
      <c r="W59" s="14"/>
      <c r="X59" s="14"/>
      <c r="Y59" s="14"/>
      <c r="Z59" s="14"/>
      <c r="AA59" s="408"/>
      <c r="AB59" s="14"/>
      <c r="AC59" s="210"/>
      <c r="AD59" s="330"/>
      <c r="AE59" s="330"/>
      <c r="AF59" s="330"/>
      <c r="AG59" s="333"/>
      <c r="AH59" s="19"/>
      <c r="AI59" s="191"/>
      <c r="AJ59" s="19"/>
      <c r="AK59" s="19"/>
      <c r="AL59" s="19"/>
      <c r="AM59" s="19"/>
    </row>
  </sheetData>
  <sheetProtection formatCells="0" formatColumns="0" formatRows="0" insertColumns="0" insertRows="0" insertHyperlinks="0" deleteColumns="0" deleteRows="0" sort="0" autoFilter="0" pivotTables="0"/>
  <sortState ref="A7:AM47">
    <sortCondition ref="AB7:AB47"/>
  </sortState>
  <conditionalFormatting sqref="AD51:AG54 AD57:AG57">
    <cfRule type="cellIs" dxfId="279" priority="2" operator="equal">
      <formula>0</formula>
    </cfRule>
  </conditionalFormatting>
  <conditionalFormatting sqref="AD55:AG56">
    <cfRule type="cellIs" dxfId="27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50"/>
  <sheetViews>
    <sheetView showZeros="0" rightToLeft="1" tabSelected="1" zoomScale="93" zoomScaleNormal="93" workbookViewId="0">
      <pane xSplit="3" ySplit="5" topLeftCell="D25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7" customWidth="1"/>
    <col min="2" max="2" width="4.77734375" style="26" customWidth="1"/>
    <col min="3" max="3" width="27.109375" style="407" customWidth="1"/>
    <col min="4" max="4" width="10.77734375" style="16" customWidth="1"/>
    <col min="5" max="5" width="11.109375" style="16" hidden="1" customWidth="1"/>
    <col min="6" max="6" width="11.6640625" style="16" hidden="1" customWidth="1"/>
    <col min="7" max="7" width="11.109375" style="16" hidden="1" customWidth="1"/>
    <col min="8" max="10" width="12.6640625" style="16" hidden="1" customWidth="1"/>
    <col min="11" max="11" width="11.33203125" style="16" hidden="1" customWidth="1"/>
    <col min="12" max="12" width="10.77734375" style="16" customWidth="1"/>
    <col min="13" max="15" width="9.6640625" style="16" customWidth="1"/>
    <col min="16" max="17" width="11.109375" style="16" hidden="1" customWidth="1"/>
    <col min="18" max="19" width="12" style="16" hidden="1" customWidth="1"/>
    <col min="20" max="20" width="9.6640625" style="16" customWidth="1"/>
    <col min="21" max="22" width="9.6640625" style="14" customWidth="1"/>
    <col min="23" max="23" width="9.6640625" style="14" bestFit="1" customWidth="1"/>
    <col min="24" max="25" width="5.33203125" style="14" hidden="1" customWidth="1"/>
    <col min="26" max="26" width="9.6640625" style="14" customWidth="1"/>
    <col min="27" max="27" width="38.21875" style="408" customWidth="1"/>
    <col min="28" max="28" width="7.88671875" style="26" hidden="1" customWidth="1"/>
    <col min="29" max="29" width="19.44140625" style="210" customWidth="1"/>
    <col min="30" max="30" width="10.88671875" style="330" bestFit="1" customWidth="1"/>
    <col min="31" max="31" width="10.5546875" style="330" customWidth="1"/>
    <col min="32" max="32" width="13.44140625" style="330" customWidth="1"/>
    <col min="33" max="33" width="30.6640625" style="333" customWidth="1"/>
    <col min="34" max="34" width="9.109375" style="19" customWidth="1"/>
    <col min="35" max="35" width="30.6640625" style="191" customWidth="1"/>
    <col min="36" max="36" width="9.109375" style="19" customWidth="1"/>
    <col min="37" max="37" width="1.5546875" style="19" customWidth="1"/>
    <col min="38" max="39" width="9.109375" style="19" customWidth="1"/>
    <col min="40" max="16384" width="9.109375" style="14"/>
  </cols>
  <sheetData>
    <row r="2" spans="1:39" s="331" customFormat="1">
      <c r="A2" s="329"/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758"/>
      <c r="AB2" s="754"/>
      <c r="AC2" s="210"/>
      <c r="AD2" s="330"/>
      <c r="AE2" s="330"/>
      <c r="AF2" s="330"/>
      <c r="AG2" s="333"/>
      <c r="AI2" s="191"/>
    </row>
    <row r="3" spans="1:39" s="191" customFormat="1">
      <c r="A3" s="329" t="s">
        <v>230</v>
      </c>
      <c r="B3" s="766"/>
      <c r="C3" s="764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96"/>
      <c r="AB3" s="755"/>
      <c r="AC3" s="210"/>
      <c r="AD3" s="330"/>
      <c r="AE3" s="330"/>
      <c r="AF3" s="330"/>
      <c r="AG3" s="333"/>
    </row>
    <row r="4" spans="1:39" ht="25.2" customHeight="1"/>
    <row r="5" spans="1:39" s="31" customFormat="1" ht="86.25" customHeight="1">
      <c r="A5" s="18" t="s">
        <v>0</v>
      </c>
      <c r="B5" s="756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918</v>
      </c>
      <c r="N5" s="18" t="s">
        <v>919</v>
      </c>
      <c r="O5" s="18" t="s">
        <v>920</v>
      </c>
      <c r="P5" s="18" t="s">
        <v>12</v>
      </c>
      <c r="Q5" s="18" t="s">
        <v>925</v>
      </c>
      <c r="R5" s="18" t="s">
        <v>926</v>
      </c>
      <c r="S5" s="18" t="s">
        <v>927</v>
      </c>
      <c r="T5" s="18" t="s">
        <v>921</v>
      </c>
      <c r="U5" s="18" t="s">
        <v>922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18" t="s">
        <v>410</v>
      </c>
      <c r="AB5" s="756" t="s">
        <v>16</v>
      </c>
      <c r="AC5" s="210"/>
      <c r="AD5" s="330"/>
      <c r="AE5" s="330"/>
      <c r="AF5" s="330"/>
      <c r="AI5" s="191"/>
    </row>
    <row r="6" spans="1:39" s="5" customFormat="1">
      <c r="A6" s="3"/>
      <c r="B6" s="706"/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25"/>
      <c r="AB6" s="706"/>
      <c r="AC6" s="210"/>
      <c r="AD6" s="330"/>
      <c r="AE6" s="330"/>
      <c r="AF6" s="330"/>
      <c r="AG6" s="333"/>
      <c r="AH6" s="29"/>
      <c r="AI6" s="191"/>
      <c r="AJ6" s="29"/>
      <c r="AK6" s="29"/>
      <c r="AL6" s="29"/>
      <c r="AM6" s="29"/>
    </row>
    <row r="7" spans="1:39" s="5" customFormat="1" ht="25.05" customHeight="1">
      <c r="A7" s="3">
        <v>1</v>
      </c>
      <c r="B7" s="706">
        <f>'תקציב אגף שאיפה  2020 '!B7</f>
        <v>135</v>
      </c>
      <c r="C7" s="87" t="str">
        <f>'תקציב אגף שאיפה  2020 '!C7</f>
        <v>שימור רצועת החוף</v>
      </c>
      <c r="D7" s="4">
        <f>'תקציב אגף שאיפה  2020 '!D7</f>
        <v>1233000</v>
      </c>
      <c r="E7" s="4">
        <f>'תקציב אגף שאיפה  2020 '!E7</f>
        <v>1233000</v>
      </c>
      <c r="F7" s="4">
        <f>'תקציב אגף שאיפה  2020 '!F7</f>
        <v>0</v>
      </c>
      <c r="G7" s="4">
        <f>'תקציב אגף שאיפה  2020 '!G7</f>
        <v>1233000</v>
      </c>
      <c r="H7" s="4">
        <f>'תקציב אגף שאיפה  2020 '!H7</f>
        <v>1149152.1299999999</v>
      </c>
      <c r="I7" s="4">
        <f>'תקציב אגף שאיפה  2020 '!I7</f>
        <v>0</v>
      </c>
      <c r="J7" s="4">
        <f>'תקציב אגף שאיפה  2020 '!J7</f>
        <v>0</v>
      </c>
      <c r="K7" s="4">
        <f>'תקציב אגף שאיפה  2020 '!K7</f>
        <v>0</v>
      </c>
      <c r="L7" s="4">
        <f>'תקציב אגף שאיפה  2020 '!L7</f>
        <v>1149152.1299999999</v>
      </c>
      <c r="M7" s="4">
        <f>'תקציב אגף שאיפה  2020 '!M7</f>
        <v>33847.870000000112</v>
      </c>
      <c r="N7" s="4">
        <f>'תקציב אגף שאיפה  2020 '!N7</f>
        <v>0</v>
      </c>
      <c r="O7" s="4">
        <f>'תקציב אגף שאיפה  2020 '!O7</f>
        <v>50000</v>
      </c>
      <c r="P7" s="4">
        <f>'תקציב אגף שאיפה  2020 '!P7</f>
        <v>83847.870000000112</v>
      </c>
      <c r="Q7" s="4">
        <f>'תקציב אגף שאיפה  2020 '!Q7</f>
        <v>0</v>
      </c>
      <c r="R7" s="4">
        <f>'תקציב אגף שאיפה  2020 '!R7</f>
        <v>0</v>
      </c>
      <c r="S7" s="4">
        <f>'תקציב אגף שאיפה  2020 '!S7</f>
        <v>0</v>
      </c>
      <c r="T7" s="4">
        <f>'תקציב אגף שאיפה  2020 '!T7</f>
        <v>50000</v>
      </c>
      <c r="U7" s="4">
        <f>'תקציב אגף שאיפה  2020 '!U7</f>
        <v>-50000</v>
      </c>
      <c r="V7" s="4">
        <f>'תקציב אגף שאיפה  2020 '!V7</f>
        <v>-50000</v>
      </c>
      <c r="W7" s="4">
        <f>'תקציב אגף שאיפה  2020 '!W7</f>
        <v>0</v>
      </c>
      <c r="X7" s="4">
        <f>'תקציב אגף שאיפה  2020 '!X7</f>
        <v>0</v>
      </c>
      <c r="Y7" s="4">
        <f>'תקציב אגף שאיפה  2020 '!Y7</f>
        <v>0</v>
      </c>
      <c r="Z7" s="4">
        <f>'תקציב אגף שאיפה  2020 '!Z7</f>
        <v>0</v>
      </c>
      <c r="AA7" s="87">
        <f>'תקציב אגף שאיפה  2020 '!AA7</f>
        <v>0</v>
      </c>
      <c r="AB7" s="706">
        <f>'תקציב אגף שאיפה  2020 '!AB7</f>
        <v>747000</v>
      </c>
      <c r="AC7" s="210"/>
      <c r="AD7" s="392"/>
      <c r="AE7" s="392"/>
      <c r="AF7" s="330"/>
      <c r="AG7" s="19"/>
      <c r="AH7" s="19"/>
      <c r="AI7" s="28"/>
      <c r="AJ7" s="29"/>
      <c r="AK7" s="29"/>
      <c r="AL7" s="29"/>
      <c r="AM7" s="29"/>
    </row>
    <row r="8" spans="1:39" s="5" customFormat="1" ht="27.6">
      <c r="A8" s="3">
        <f>A7+1</f>
        <v>2</v>
      </c>
      <c r="B8" s="706">
        <f>'תקציב אגף שאיפה  2020 '!B8</f>
        <v>1134</v>
      </c>
      <c r="C8" s="87" t="str">
        <f>'תקציב אגף שאיפה  2020 '!C8</f>
        <v>יער עירוני וגינות קהילתיות</v>
      </c>
      <c r="D8" s="4">
        <f>'תקציב אגף שאיפה  2020 '!D8</f>
        <v>2795000</v>
      </c>
      <c r="E8" s="4">
        <f>'תקציב אגף שאיפה  2020 '!E8</f>
        <v>2700000</v>
      </c>
      <c r="F8" s="4">
        <f>'תקציב אגף שאיפה  2020 '!F8</f>
        <v>95000</v>
      </c>
      <c r="G8" s="4">
        <f>'תקציב אגף שאיפה  2020 '!G8</f>
        <v>2595000</v>
      </c>
      <c r="H8" s="4">
        <f>'תקציב אגף שאיפה  2020 '!H8</f>
        <v>2456417.7400000002</v>
      </c>
      <c r="I8" s="4">
        <f>'תקציב אגף שאיפה  2020 '!I8</f>
        <v>0</v>
      </c>
      <c r="J8" s="4">
        <f>'תקציב אגף שאיפה  2020 '!J8</f>
        <v>49497.11</v>
      </c>
      <c r="K8" s="4">
        <f>'תקציב אגף שאיפה  2020 '!K8</f>
        <v>49497.11</v>
      </c>
      <c r="L8" s="4">
        <f>'תקציב אגף שאיפה  2020 '!L8</f>
        <v>2505914.85</v>
      </c>
      <c r="M8" s="4">
        <f>'תקציב אגף שאיפה  2020 '!M8</f>
        <v>89085.149999999907</v>
      </c>
      <c r="N8" s="4">
        <f>'תקציב אגף שאיפה  2020 '!N8</f>
        <v>200000</v>
      </c>
      <c r="O8" s="4">
        <f>'תקציב אגף שאיפה  2020 '!O8</f>
        <v>0</v>
      </c>
      <c r="P8" s="4">
        <f>'תקציב אגף שאיפה  2020 '!P8</f>
        <v>89085.149999999907</v>
      </c>
      <c r="Q8" s="4">
        <f>'תקציב אגף שאיפה  2020 '!Q8</f>
        <v>0</v>
      </c>
      <c r="R8" s="4">
        <f>'תקציב אגף שאיפה  2020 '!R8</f>
        <v>0</v>
      </c>
      <c r="S8" s="4">
        <f>'תקציב אגף שאיפה  2020 '!S8</f>
        <v>0</v>
      </c>
      <c r="T8" s="4">
        <f>'תקציב אגף שאיפה  2020 '!T8</f>
        <v>0</v>
      </c>
      <c r="U8" s="4">
        <f>'תקציב אגף שאיפה  2020 '!U8</f>
        <v>200000</v>
      </c>
      <c r="V8" s="4">
        <f>'תקציב אגף שאיפה  2020 '!V8</f>
        <v>0</v>
      </c>
      <c r="W8" s="4">
        <f>'תקציב אגף שאיפה  2020 '!W8</f>
        <v>200000</v>
      </c>
      <c r="X8" s="4">
        <f>'תקציב אגף שאיפה  2020 '!X8</f>
        <v>0</v>
      </c>
      <c r="Y8" s="4">
        <f>'תקציב אגף שאיפה  2020 '!Y8</f>
        <v>0</v>
      </c>
      <c r="Z8" s="4">
        <f>'תקציב אגף שאיפה  2020 '!Z8</f>
        <v>0</v>
      </c>
      <c r="AA8" s="87" t="str">
        <f>'תקציב אגף שאיפה  2020 '!AA8</f>
        <v>שדרוג תשתיות בגינות קהילתיות קיימות , החווה החקלאית גליל ים, והקמת יער  נוסף .</v>
      </c>
      <c r="AB8" s="706">
        <f>'תקציב אגף שאיפה  2020 '!AB8</f>
        <v>746000</v>
      </c>
      <c r="AC8" s="210"/>
      <c r="AD8" s="392"/>
      <c r="AE8" s="392"/>
      <c r="AF8" s="330"/>
      <c r="AG8" s="19"/>
      <c r="AH8" s="19"/>
      <c r="AI8" s="28"/>
      <c r="AJ8" s="29"/>
      <c r="AK8" s="29"/>
      <c r="AL8" s="29"/>
      <c r="AM8" s="29"/>
    </row>
    <row r="9" spans="1:39" s="5" customFormat="1" ht="28.8" customHeight="1">
      <c r="A9" s="3">
        <f t="shared" ref="A9:A42" si="0">A8+1</f>
        <v>3</v>
      </c>
      <c r="B9" s="706">
        <f>'תקציב אגף שאיפה  2020 '!B9</f>
        <v>1165</v>
      </c>
      <c r="C9" s="87" t="str">
        <f>'תקציב אגף שאיפה  2020 '!C9</f>
        <v>מתקני משחק ,ריהוט גן ומשטחי גומי</v>
      </c>
      <c r="D9" s="4">
        <f>'תקציב אגף שאיפה  2020 '!D9</f>
        <v>12050000</v>
      </c>
      <c r="E9" s="4">
        <f>'תקציב אגף שאיפה  2020 '!E9</f>
        <v>12050000</v>
      </c>
      <c r="F9" s="4">
        <f>'תקציב אגף שאיפה  2020 '!F9</f>
        <v>0</v>
      </c>
      <c r="G9" s="4">
        <f>'תקציב אגף שאיפה  2020 '!G9</f>
        <v>12050000</v>
      </c>
      <c r="H9" s="4">
        <f>'תקציב אגף שאיפה  2020 '!H9</f>
        <v>11892807.189999999</v>
      </c>
      <c r="I9" s="4">
        <f>'תקציב אגף שאיפה  2020 '!I9</f>
        <v>0</v>
      </c>
      <c r="J9" s="4">
        <f>'תקציב אגף שאיפה  2020 '!J9</f>
        <v>2882.2</v>
      </c>
      <c r="K9" s="4">
        <f>'תקציב אגף שאיפה  2020 '!K9</f>
        <v>2882.2</v>
      </c>
      <c r="L9" s="4">
        <f>'תקציב אגף שאיפה  2020 '!L9</f>
        <v>11895689.389999999</v>
      </c>
      <c r="M9" s="4">
        <f>'תקציב אגף שאיפה  2020 '!M9</f>
        <v>154310.61000000127</v>
      </c>
      <c r="N9" s="4">
        <f>'תקציב אגף שאיפה  2020 '!N9</f>
        <v>0</v>
      </c>
      <c r="O9" s="4">
        <f>'תקציב אגף שאיפה  2020 '!O9</f>
        <v>0</v>
      </c>
      <c r="P9" s="4">
        <f>'תקציב אגף שאיפה  2020 '!P9</f>
        <v>154310.61000000127</v>
      </c>
      <c r="Q9" s="4">
        <f>'תקציב אגף שאיפה  2020 '!Q9</f>
        <v>0</v>
      </c>
      <c r="R9" s="4">
        <f>'תקציב אגף שאיפה  2020 '!R9</f>
        <v>0</v>
      </c>
      <c r="S9" s="4">
        <f>'תקציב אגף שאיפה  2020 '!S9</f>
        <v>0</v>
      </c>
      <c r="T9" s="4">
        <f>'תקציב אגף שאיפה  2020 '!T9</f>
        <v>0</v>
      </c>
      <c r="U9" s="4">
        <f>'תקציב אגף שאיפה  2020 '!U9</f>
        <v>0</v>
      </c>
      <c r="V9" s="4">
        <f>'תקציב אגף שאיפה  2020 '!V9</f>
        <v>0</v>
      </c>
      <c r="W9" s="4">
        <f>'תקציב אגף שאיפה  2020 '!W9</f>
        <v>0</v>
      </c>
      <c r="X9" s="4">
        <f>'תקציב אגף שאיפה  2020 '!X9</f>
        <v>0</v>
      </c>
      <c r="Y9" s="4">
        <f>'תקציב אגף שאיפה  2020 '!Y9</f>
        <v>0</v>
      </c>
      <c r="Z9" s="4">
        <f>'תקציב אגף שאיפה  2020 '!Z9</f>
        <v>0</v>
      </c>
      <c r="AA9" s="87" t="str">
        <f>'תקציב אגף שאיפה  2020 '!AA9</f>
        <v>עבודות בגן גלעד וגן קלישר. לקראת סיום.</v>
      </c>
      <c r="AB9" s="706">
        <f>'תקציב אגף שאיפה  2020 '!AB9</f>
        <v>746000</v>
      </c>
      <c r="AC9" s="210"/>
      <c r="AD9" s="392"/>
      <c r="AE9" s="392"/>
      <c r="AF9" s="330"/>
      <c r="AG9" s="333"/>
      <c r="AH9" s="28"/>
      <c r="AI9" s="191"/>
      <c r="AJ9" s="28"/>
      <c r="AK9" s="28"/>
      <c r="AL9" s="28"/>
      <c r="AM9" s="28"/>
    </row>
    <row r="10" spans="1:39" s="5" customFormat="1" ht="25.05" customHeight="1">
      <c r="A10" s="3">
        <f t="shared" si="0"/>
        <v>4</v>
      </c>
      <c r="B10" s="706">
        <f>'תקציב אגף שאיפה  2020 '!B10</f>
        <v>1166</v>
      </c>
      <c r="C10" s="87" t="str">
        <f>'תקציב אגף שאיפה  2020 '!C10</f>
        <v>שדרוג מערכת השקייה ממוחשבות (חדשים)</v>
      </c>
      <c r="D10" s="4">
        <f>'תקציב אגף שאיפה  2020 '!D10</f>
        <v>9115000</v>
      </c>
      <c r="E10" s="4">
        <f>'תקציב אגף שאיפה  2020 '!E10</f>
        <v>9115000</v>
      </c>
      <c r="F10" s="4">
        <f>'תקציב אגף שאיפה  2020 '!F10</f>
        <v>0</v>
      </c>
      <c r="G10" s="4">
        <f>'תקציב אגף שאיפה  2020 '!G10</f>
        <v>9115000</v>
      </c>
      <c r="H10" s="4">
        <f>'תקציב אגף שאיפה  2020 '!H10</f>
        <v>9068337.2400000002</v>
      </c>
      <c r="I10" s="4">
        <f>'תקציב אגף שאיפה  2020 '!I10</f>
        <v>0</v>
      </c>
      <c r="J10" s="4">
        <f>'תקציב אגף שאיפה  2020 '!J10</f>
        <v>46623.28</v>
      </c>
      <c r="K10" s="4">
        <f>'תקציב אגף שאיפה  2020 '!K10</f>
        <v>46623.28</v>
      </c>
      <c r="L10" s="4">
        <f>'תקציב אגף שאיפה  2020 '!L10</f>
        <v>9114960.5199999996</v>
      </c>
      <c r="M10" s="4">
        <f>'תקציב אגף שאיפה  2020 '!M10</f>
        <v>39.480000000447035</v>
      </c>
      <c r="N10" s="4">
        <f>'תקציב אגף שאיפה  2020 '!N10</f>
        <v>0</v>
      </c>
      <c r="O10" s="4">
        <f>'תקציב אגף שאיפה  2020 '!O10</f>
        <v>0</v>
      </c>
      <c r="P10" s="4">
        <f>'תקציב אגף שאיפה  2020 '!P10</f>
        <v>39.480000000447035</v>
      </c>
      <c r="Q10" s="4">
        <f>'תקציב אגף שאיפה  2020 '!Q10</f>
        <v>0</v>
      </c>
      <c r="R10" s="4">
        <f>'תקציב אגף שאיפה  2020 '!R10</f>
        <v>0</v>
      </c>
      <c r="S10" s="4">
        <f>'תקציב אגף שאיפה  2020 '!S10</f>
        <v>0</v>
      </c>
      <c r="T10" s="4">
        <f>'תקציב אגף שאיפה  2020 '!T10</f>
        <v>0</v>
      </c>
      <c r="U10" s="4">
        <f>'תקציב אגף שאיפה  2020 '!U10</f>
        <v>0</v>
      </c>
      <c r="V10" s="4">
        <f>'תקציב אגף שאיפה  2020 '!V10</f>
        <v>0</v>
      </c>
      <c r="W10" s="4">
        <f>'תקציב אגף שאיפה  2020 '!W10</f>
        <v>0</v>
      </c>
      <c r="X10" s="4">
        <f>'תקציב אגף שאיפה  2020 '!X10</f>
        <v>0</v>
      </c>
      <c r="Y10" s="4">
        <f>'תקציב אגף שאיפה  2020 '!Y10</f>
        <v>0</v>
      </c>
      <c r="Z10" s="4">
        <f>'תקציב אגף שאיפה  2020 '!Z10</f>
        <v>0</v>
      </c>
      <c r="AA10" s="87" t="str">
        <f>'תקציב אגף שאיפה  2020 '!AA10</f>
        <v>לקראת סיום.</v>
      </c>
      <c r="AB10" s="706">
        <f>'תקציב אגף שאיפה  2020 '!AB10</f>
        <v>746000</v>
      </c>
      <c r="AC10" s="210"/>
      <c r="AD10" s="392"/>
      <c r="AE10" s="392"/>
      <c r="AF10" s="330"/>
      <c r="AG10" s="333"/>
      <c r="AH10" s="28"/>
      <c r="AI10" s="191"/>
      <c r="AJ10" s="28"/>
      <c r="AK10" s="28"/>
      <c r="AL10" s="28"/>
      <c r="AM10" s="28"/>
    </row>
    <row r="11" spans="1:39" s="5" customFormat="1" ht="41.4">
      <c r="A11" s="3">
        <f t="shared" si="0"/>
        <v>5</v>
      </c>
      <c r="B11" s="706">
        <f>'תקציב אגף שאיפה  2020 '!B11</f>
        <v>1210</v>
      </c>
      <c r="C11" s="87" t="str">
        <f>'תקציב אגף שאיפה  2020 '!C11</f>
        <v>חזיתות בתים שיפוץ</v>
      </c>
      <c r="D11" s="4">
        <f>'תקציב אגף שאיפה  2020 '!D11</f>
        <v>89650000</v>
      </c>
      <c r="E11" s="4">
        <f>'תקציב אגף שאיפה  2020 '!E11</f>
        <v>88000000</v>
      </c>
      <c r="F11" s="4">
        <f>'תקציב אגף שאיפה  2020 '!F11</f>
        <v>1650000</v>
      </c>
      <c r="G11" s="4">
        <f>'תקציב אגף שאיפה  2020 '!G11</f>
        <v>71450000</v>
      </c>
      <c r="H11" s="4">
        <f>'תקציב אגף שאיפה  2020 '!H11</f>
        <v>69535503</v>
      </c>
      <c r="I11" s="4">
        <f>'תקציב אגף שאיפה  2020 '!I11</f>
        <v>0</v>
      </c>
      <c r="J11" s="4">
        <f>'תקציב אגף שאיפה  2020 '!J11</f>
        <v>185655</v>
      </c>
      <c r="K11" s="4">
        <f>'תקציב אגף שאיפה  2020 '!K11</f>
        <v>185655</v>
      </c>
      <c r="L11" s="4">
        <f>'תקציב אגף שאיפה  2020 '!L11</f>
        <v>69721158</v>
      </c>
      <c r="M11" s="4">
        <f>'תקציב אגף שאיפה  2020 '!M11</f>
        <v>2428842</v>
      </c>
      <c r="N11" s="4">
        <f>'תקציב אגף שאיפה  2020 '!N11</f>
        <v>17500000</v>
      </c>
      <c r="O11" s="4">
        <f>'תקציב אגף שאיפה  2020 '!O11</f>
        <v>0</v>
      </c>
      <c r="P11" s="4">
        <f>'תקציב אגף שאיפה  2020 '!P11</f>
        <v>1728842</v>
      </c>
      <c r="Q11" s="4">
        <f>'תקציב אגף שאיפה  2020 '!Q11</f>
        <v>700000</v>
      </c>
      <c r="R11" s="4">
        <f>'תקציב אגף שאיפה  2020 '!R11</f>
        <v>0</v>
      </c>
      <c r="S11" s="4">
        <f>'תקציב אגף שאיפה  2020 '!S11</f>
        <v>700000</v>
      </c>
      <c r="T11" s="4">
        <f>'תקציב אגף שאיפה  2020 '!T11</f>
        <v>0</v>
      </c>
      <c r="U11" s="4">
        <f>'תקציב אגף שאיפה  2020 '!U11</f>
        <v>17500000</v>
      </c>
      <c r="V11" s="4">
        <f>'תקציב אגף שאיפה  2020 '!V11</f>
        <v>0</v>
      </c>
      <c r="W11" s="4">
        <f>'תקציב אגף שאיפה  2020 '!W11</f>
        <v>0</v>
      </c>
      <c r="X11" s="4">
        <f>'תקציב אגף שאיפה  2020 '!X11</f>
        <v>0</v>
      </c>
      <c r="Y11" s="4">
        <f>'תקציב אגף שאיפה  2020 '!Y11</f>
        <v>0</v>
      </c>
      <c r="Z11" s="4">
        <f>'תקציב אגף שאיפה  2020 '!Z11</f>
        <v>17500000</v>
      </c>
      <c r="AA11" s="87" t="str">
        <f>'תקציב אגף שאיפה  2020 '!AA11</f>
        <v>שיפוץ חזיתות בתים כולל: פיתוח חצרות, חדרי מדרגות, מעלית (רכוש משותף). בשיתוף האגודה לתרבות הדיור.</v>
      </c>
      <c r="AB11" s="706">
        <f>'תקציב אגף שאיפה  2020 '!AB11</f>
        <v>764000</v>
      </c>
      <c r="AC11" s="210"/>
      <c r="AD11" s="392"/>
      <c r="AE11" s="392"/>
      <c r="AF11" s="330"/>
      <c r="AG11" s="333"/>
      <c r="AH11" s="14"/>
      <c r="AI11" s="191"/>
    </row>
    <row r="12" spans="1:39" s="5" customFormat="1" ht="69">
      <c r="A12" s="3">
        <f t="shared" si="0"/>
        <v>6</v>
      </c>
      <c r="B12" s="706">
        <f>'תקציב אגף שאיפה  2020 '!B12</f>
        <v>1254</v>
      </c>
      <c r="C12" s="87" t="str">
        <f>'תקציב אגף שאיפה  2020 '!C12</f>
        <v xml:space="preserve">שיקום שדרוג,הקמה ונגישות גינות ציבוריות </v>
      </c>
      <c r="D12" s="4">
        <f>'תקציב אגף שאיפה  2020 '!D12</f>
        <v>45990000</v>
      </c>
      <c r="E12" s="4">
        <f>'תקציב אגף שאיפה  2020 '!E12</f>
        <v>37990000</v>
      </c>
      <c r="F12" s="4">
        <f>'תקציב אגף שאיפה  2020 '!F12</f>
        <v>8000000</v>
      </c>
      <c r="G12" s="4">
        <f>'תקציב אגף שאיפה  2020 '!G12</f>
        <v>37990000</v>
      </c>
      <c r="H12" s="4">
        <f>'תקציב אגף שאיפה  2020 '!H12</f>
        <v>34036953.539999999</v>
      </c>
      <c r="I12" s="4">
        <f>'תקציב אגף שאיפה  2020 '!I12</f>
        <v>0</v>
      </c>
      <c r="J12" s="4">
        <f>'תקציב אגף שאיפה  2020 '!J12</f>
        <v>3524759.54</v>
      </c>
      <c r="K12" s="4">
        <f>'תקציב אגף שאיפה  2020 '!K12</f>
        <v>3524759.54</v>
      </c>
      <c r="L12" s="4">
        <f>'תקציב אגף שאיפה  2020 '!L12</f>
        <v>37561713.079999998</v>
      </c>
      <c r="M12" s="4">
        <f>'תקציב אגף שאיפה  2020 '!M12</f>
        <v>428286.92000000179</v>
      </c>
      <c r="N12" s="4">
        <f>'תקציב אגף שאיפה  2020 '!N12</f>
        <v>6500000</v>
      </c>
      <c r="O12" s="4">
        <f>'תקציב אגף שאיפה  2020 '!O12</f>
        <v>1500000</v>
      </c>
      <c r="P12" s="4">
        <f>'תקציב אגף שאיפה  2020 '!P12</f>
        <v>428286.92000000179</v>
      </c>
      <c r="Q12" s="4">
        <f>'תקציב אגף שאיפה  2020 '!Q12</f>
        <v>0</v>
      </c>
      <c r="R12" s="4">
        <f>'תקציב אגף שאיפה  2020 '!R12</f>
        <v>0</v>
      </c>
      <c r="S12" s="4">
        <f>'תקציב אגף שאיפה  2020 '!S12</f>
        <v>0</v>
      </c>
      <c r="T12" s="4">
        <f>'תקציב אגף שאיפה  2020 '!T12</f>
        <v>0</v>
      </c>
      <c r="U12" s="4">
        <f>'תקציב אגף שאיפה  2020 '!U12</f>
        <v>6500000</v>
      </c>
      <c r="V12" s="4">
        <f>'תקציב אגף שאיפה  2020 '!V12</f>
        <v>1000000</v>
      </c>
      <c r="W12" s="4">
        <f>'תקציב אגף שאיפה  2020 '!W12</f>
        <v>5500000</v>
      </c>
      <c r="X12" s="4">
        <f>'תקציב אגף שאיפה  2020 '!X12</f>
        <v>0</v>
      </c>
      <c r="Y12" s="4">
        <f>'תקציב אגף שאיפה  2020 '!Y12</f>
        <v>0</v>
      </c>
      <c r="Z12" s="4">
        <f>'תקציב אגף שאיפה  2020 '!Z12</f>
        <v>0</v>
      </c>
      <c r="AA12" s="87" t="str">
        <f>'תקציב אגף שאיפה  2020 '!AA12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B12" s="706">
        <f>'תקציב אגף שאיפה  2020 '!AB12</f>
        <v>746000</v>
      </c>
      <c r="AC12" s="210"/>
      <c r="AD12" s="392"/>
      <c r="AE12" s="392"/>
      <c r="AF12" s="330"/>
      <c r="AG12" s="333"/>
      <c r="AH12" s="28"/>
      <c r="AI12" s="191"/>
      <c r="AJ12" s="28"/>
      <c r="AK12" s="28"/>
      <c r="AL12" s="28"/>
      <c r="AM12" s="28"/>
    </row>
    <row r="13" spans="1:39" s="5" customFormat="1" ht="27.6">
      <c r="A13" s="3">
        <f t="shared" si="0"/>
        <v>7</v>
      </c>
      <c r="B13" s="706">
        <f>'תקציב אגף שאיפה  2020 '!B13</f>
        <v>1342</v>
      </c>
      <c r="C13" s="87" t="str">
        <f>'תקציב אגף שאיפה  2020 '!C13</f>
        <v>הקמת גינות לכלבים</v>
      </c>
      <c r="D13" s="4">
        <f>'תקציב אגף שאיפה  2020 '!D13</f>
        <v>4000000</v>
      </c>
      <c r="E13" s="4">
        <f>'תקציב אגף שאיפה  2020 '!E13</f>
        <v>4000000</v>
      </c>
      <c r="F13" s="4">
        <f>'תקציב אגף שאיפה  2020 '!F13</f>
        <v>0</v>
      </c>
      <c r="G13" s="4">
        <f>'תקציב אגף שאיפה  2020 '!G13</f>
        <v>2950000</v>
      </c>
      <c r="H13" s="4">
        <f>'תקציב אגף שאיפה  2020 '!H13</f>
        <v>2269553.59</v>
      </c>
      <c r="I13" s="4">
        <f>'תקציב אגף שאיפה  2020 '!I13</f>
        <v>0</v>
      </c>
      <c r="J13" s="4">
        <f>'תקציב אגף שאיפה  2020 '!J13</f>
        <v>38087.25</v>
      </c>
      <c r="K13" s="4">
        <f>'תקציב אגף שאיפה  2020 '!K13</f>
        <v>38087.25</v>
      </c>
      <c r="L13" s="4">
        <f>'תקציב אגף שאיפה  2020 '!L13</f>
        <v>2307640.84</v>
      </c>
      <c r="M13" s="4">
        <f>'תקציב אגף שאיפה  2020 '!M13</f>
        <v>642359.16000000015</v>
      </c>
      <c r="N13" s="4">
        <f>'תקציב אגף שאיפה  2020 '!N13</f>
        <v>500000</v>
      </c>
      <c r="O13" s="4">
        <f>'תקציב אגף שאיפה  2020 '!O13</f>
        <v>550000</v>
      </c>
      <c r="P13" s="4">
        <f>'תקציב אגף שאיפה  2020 '!P13</f>
        <v>642359.16000000015</v>
      </c>
      <c r="Q13" s="4">
        <f>'תקציב אגף שאיפה  2020 '!Q13</f>
        <v>500000</v>
      </c>
      <c r="R13" s="4">
        <f>'תקציב אגף שאיפה  2020 '!R13</f>
        <v>0</v>
      </c>
      <c r="S13" s="4">
        <f>'תקציב אגף שאיפה  2020 '!S13</f>
        <v>500000</v>
      </c>
      <c r="T13" s="4">
        <f>'תקציב אגף שאיפה  2020 '!T13</f>
        <v>500000</v>
      </c>
      <c r="U13" s="4">
        <f>'תקציב אגף שאיפה  2020 '!U13</f>
        <v>0</v>
      </c>
      <c r="V13" s="4">
        <f>'תקציב אגף שאיפה  2020 '!V13</f>
        <v>0</v>
      </c>
      <c r="W13" s="4">
        <f>'תקציב אגף שאיפה  2020 '!W13</f>
        <v>0</v>
      </c>
      <c r="X13" s="4">
        <f>'תקציב אגף שאיפה  2020 '!X13</f>
        <v>0</v>
      </c>
      <c r="Y13" s="4">
        <f>'תקציב אגף שאיפה  2020 '!Y13</f>
        <v>0</v>
      </c>
      <c r="Z13" s="4">
        <f>'תקציב אגף שאיפה  2020 '!Z13</f>
        <v>0</v>
      </c>
      <c r="AA13" s="87" t="str">
        <f>'תקציב אגף שאיפה  2020 '!AA13</f>
        <v xml:space="preserve">הקמת גינות כלבים כולל: פיתוח שבילים, גידור, תאורה, ברזיות, ריהוט גן תואם,גינון והשקייה. </v>
      </c>
      <c r="AB13" s="706">
        <f>'תקציב אגף שאיפה  2020 '!AB13</f>
        <v>746000</v>
      </c>
      <c r="AC13" s="210"/>
      <c r="AD13" s="392"/>
      <c r="AE13" s="392"/>
      <c r="AF13" s="330"/>
      <c r="AG13" s="333"/>
      <c r="AH13" s="28"/>
      <c r="AI13" s="191"/>
      <c r="AJ13" s="28"/>
      <c r="AK13" s="28"/>
      <c r="AL13" s="28"/>
      <c r="AM13" s="28"/>
    </row>
    <row r="14" spans="1:39" s="5" customFormat="1" ht="41.4">
      <c r="A14" s="3">
        <f t="shared" si="0"/>
        <v>8</v>
      </c>
      <c r="B14" s="706">
        <f>'תקציב אגף שאיפה  2020 '!B14</f>
        <v>1343</v>
      </c>
      <c r="C14" s="87" t="str">
        <f>'תקציב אגף שאיפה  2020 '!C14</f>
        <v>סככות הצללה לגני משחקים</v>
      </c>
      <c r="D14" s="4">
        <f>'תקציב אגף שאיפה  2020 '!D14</f>
        <v>8320000</v>
      </c>
      <c r="E14" s="4">
        <f>'תקציב אגף שאיפה  2020 '!E14</f>
        <v>8320000</v>
      </c>
      <c r="F14" s="4">
        <f>'תקציב אגף שאיפה  2020 '!F14</f>
        <v>0</v>
      </c>
      <c r="G14" s="4">
        <f>'תקציב אגף שאיפה  2020 '!G14</f>
        <v>6520000</v>
      </c>
      <c r="H14" s="4">
        <f>'תקציב אגף שאיפה  2020 '!H14</f>
        <v>5532043.8499999996</v>
      </c>
      <c r="I14" s="4">
        <f>'תקציב אגף שאיפה  2020 '!I14</f>
        <v>0</v>
      </c>
      <c r="J14" s="4">
        <f>'תקציב אגף שאיפה  2020 '!J14</f>
        <v>937492.49</v>
      </c>
      <c r="K14" s="4">
        <f>'תקציב אגף שאיפה  2020 '!K14</f>
        <v>937492.49</v>
      </c>
      <c r="L14" s="4">
        <f>'תקציב אגף שאיפה  2020 '!L14</f>
        <v>6469536.3399999999</v>
      </c>
      <c r="M14" s="4">
        <f>'תקציב אגף שאיפה  2020 '!M14</f>
        <v>550463.66000000015</v>
      </c>
      <c r="N14" s="4">
        <f>'תקציב אגף שאיפה  2020 '!N14</f>
        <v>400000</v>
      </c>
      <c r="O14" s="4">
        <f>'תקציב אגף שאיפה  2020 '!O14</f>
        <v>900000</v>
      </c>
      <c r="P14" s="4">
        <f>'תקציב אגף שאיפה  2020 '!P14</f>
        <v>50463.660000000149</v>
      </c>
      <c r="Q14" s="4">
        <f>'תקציב אגף שאיפה  2020 '!Q14</f>
        <v>500000</v>
      </c>
      <c r="R14" s="4">
        <f>'תקציב אגף שאיפה  2020 '!R14</f>
        <v>0</v>
      </c>
      <c r="S14" s="4">
        <f>'תקציב אגף שאיפה  2020 '!S14</f>
        <v>500000</v>
      </c>
      <c r="T14" s="4">
        <f>'תקציב אגף שאיפה  2020 '!T14</f>
        <v>0</v>
      </c>
      <c r="U14" s="4">
        <f>'תקציב אגף שאיפה  2020 '!U14</f>
        <v>400000</v>
      </c>
      <c r="V14" s="4">
        <f>'תקציב אגף שאיפה  2020 '!V14</f>
        <v>0</v>
      </c>
      <c r="W14" s="4">
        <f>'תקציב אגף שאיפה  2020 '!W14</f>
        <v>400000</v>
      </c>
      <c r="X14" s="4">
        <f>'תקציב אגף שאיפה  2020 '!X14</f>
        <v>0</v>
      </c>
      <c r="Y14" s="4">
        <f>'תקציב אגף שאיפה  2020 '!Y14</f>
        <v>0</v>
      </c>
      <c r="Z14" s="4">
        <f>'תקציב אגף שאיפה  2020 '!Z14</f>
        <v>0</v>
      </c>
      <c r="AA14" s="87" t="str">
        <f>'תקציב אגף שאיפה  2020 '!AA14</f>
        <v>הצללת אזורים של מתקני משחקים לנוחות הציבור. נחקק חוק חדש שאושר בוועדת הפנים המחייב את הרשויות להקים הצללות בגני משחקים.</v>
      </c>
      <c r="AB14" s="706">
        <f>'תקציב אגף שאיפה  2020 '!AB14</f>
        <v>746000</v>
      </c>
      <c r="AC14" s="210"/>
      <c r="AD14" s="392"/>
      <c r="AE14" s="392"/>
      <c r="AF14" s="330"/>
      <c r="AG14" s="333"/>
      <c r="AH14" s="28"/>
      <c r="AI14" s="191"/>
      <c r="AJ14" s="28"/>
      <c r="AK14" s="28"/>
      <c r="AL14" s="28"/>
      <c r="AM14" s="28"/>
    </row>
    <row r="15" spans="1:39" s="5" customFormat="1" ht="27.6">
      <c r="A15" s="3">
        <f t="shared" si="0"/>
        <v>9</v>
      </c>
      <c r="B15" s="706">
        <f>'תקציב אגף שאיפה  2020 '!B15</f>
        <v>1345</v>
      </c>
      <c r="C15" s="87" t="str">
        <f>'תקציב אגף שאיפה  2020 '!C15</f>
        <v>תוכנית  אב להפחתת זיהום אויר</v>
      </c>
      <c r="D15" s="4">
        <f>'תקציב אגף שאיפה  2020 '!D15</f>
        <v>1739000</v>
      </c>
      <c r="E15" s="4">
        <f>'תקציב אגף שאיפה  2020 '!E15</f>
        <v>1739000</v>
      </c>
      <c r="F15" s="4">
        <f>'תקציב אגף שאיפה  2020 '!F15</f>
        <v>0</v>
      </c>
      <c r="G15" s="4">
        <f>'תקציב אגף שאיפה  2020 '!G15</f>
        <v>915000</v>
      </c>
      <c r="H15" s="4">
        <f>'תקציב אגף שאיפה  2020 '!H15</f>
        <v>808403.94</v>
      </c>
      <c r="I15" s="4">
        <f>'תקציב אגף שאיפה  2020 '!I15</f>
        <v>0</v>
      </c>
      <c r="J15" s="4">
        <f>'תקציב אגף שאיפה  2020 '!J15</f>
        <v>39678.550000000003</v>
      </c>
      <c r="K15" s="4">
        <f>'תקציב אגף שאיפה  2020 '!K15</f>
        <v>39678.550000000003</v>
      </c>
      <c r="L15" s="4">
        <f>'תקציב אגף שאיפה  2020 '!L15</f>
        <v>848082.49</v>
      </c>
      <c r="M15" s="4">
        <f>'תקציב אגף שאיפה  2020 '!M15</f>
        <v>66917.510000000009</v>
      </c>
      <c r="N15" s="4">
        <f>'תקציב אגף שאיפה  2020 '!N15</f>
        <v>80000</v>
      </c>
      <c r="O15" s="4">
        <f>'תקציב אגף שאיפה  2020 '!O15</f>
        <v>744000</v>
      </c>
      <c r="P15" s="4">
        <f>'תקציב אגף שאיפה  2020 '!P15</f>
        <v>66917.510000000009</v>
      </c>
      <c r="Q15" s="4">
        <f>'תקציב אגף שאיפה  2020 '!Q15</f>
        <v>0</v>
      </c>
      <c r="R15" s="4">
        <f>'תקציב אגף שאיפה  2020 '!R15</f>
        <v>0</v>
      </c>
      <c r="S15" s="4">
        <f>'תקציב אגף שאיפה  2020 '!S15</f>
        <v>0</v>
      </c>
      <c r="T15" s="4">
        <f>'תקציב אגף שאיפה  2020 '!T15</f>
        <v>0</v>
      </c>
      <c r="U15" s="4">
        <f>'תקציב אגף שאיפה  2020 '!U15</f>
        <v>80000</v>
      </c>
      <c r="V15" s="4">
        <f>'תקציב אגף שאיפה  2020 '!V15</f>
        <v>0</v>
      </c>
      <c r="W15" s="4">
        <f>'תקציב אגף שאיפה  2020 '!W15</f>
        <v>80000</v>
      </c>
      <c r="X15" s="4">
        <f>'תקציב אגף שאיפה  2020 '!X15</f>
        <v>0</v>
      </c>
      <c r="Y15" s="4">
        <f>'תקציב אגף שאיפה  2020 '!Y15</f>
        <v>0</v>
      </c>
      <c r="Z15" s="4">
        <f>'תקציב אגף שאיפה  2020 '!Z15</f>
        <v>0</v>
      </c>
      <c r="AA15" s="87" t="str">
        <f>'תקציב אגף שאיפה  2020 '!AA15</f>
        <v>קידום אמנת ברית ערים כתוכנית המשך לתוכנית להפחתת פליטות של פורום ה-15.</v>
      </c>
      <c r="AB15" s="706">
        <f>'תקציב אגף שאיפה  2020 '!AB15</f>
        <v>870000</v>
      </c>
      <c r="AC15" s="210"/>
      <c r="AD15" s="392"/>
      <c r="AE15" s="392"/>
      <c r="AF15" s="330"/>
      <c r="AG15" s="19"/>
      <c r="AH15" s="19"/>
      <c r="AI15" s="28"/>
      <c r="AJ15" s="29"/>
      <c r="AK15" s="29"/>
      <c r="AL15" s="29"/>
      <c r="AM15" s="29"/>
    </row>
    <row r="16" spans="1:39" s="5" customFormat="1" ht="41.4">
      <c r="A16" s="3">
        <f t="shared" si="0"/>
        <v>10</v>
      </c>
      <c r="B16" s="706">
        <f>'תקציב אגף שאיפה  2020 '!B16</f>
        <v>1435</v>
      </c>
      <c r="C16" s="87" t="str">
        <f>'תקציב אגף שאיפה  2020 '!C16</f>
        <v>שדרוג וטיפול המרחב הציבורי</v>
      </c>
      <c r="D16" s="4">
        <f>'תקציב אגף שאיפה  2020 '!D16</f>
        <v>31274320</v>
      </c>
      <c r="E16" s="4">
        <f>'תקציב אגף שאיפה  2020 '!E16</f>
        <v>27300000</v>
      </c>
      <c r="F16" s="4">
        <f>'תקציב אגף שאיפה  2020 '!F16</f>
        <v>3974320</v>
      </c>
      <c r="G16" s="4">
        <f>'תקציב אגף שאיפה  2020 '!G16</f>
        <v>25774320</v>
      </c>
      <c r="H16" s="4">
        <f>'תקציב אגף שאיפה  2020 '!H16</f>
        <v>22936668.030000001</v>
      </c>
      <c r="I16" s="4">
        <f>'תקציב אגף שאיפה  2020 '!I16</f>
        <v>0</v>
      </c>
      <c r="J16" s="4">
        <f>'תקציב אגף שאיפה  2020 '!J16</f>
        <v>2365688.2400000002</v>
      </c>
      <c r="K16" s="4">
        <f>'תקציב אגף שאיפה  2020 '!K16</f>
        <v>2365688.2400000002</v>
      </c>
      <c r="L16" s="4">
        <f>'תקציב אגף שאיפה  2020 '!L16</f>
        <v>25302356.270000003</v>
      </c>
      <c r="M16" s="4">
        <f>'תקציב אגף שאיפה  2020 '!M16</f>
        <v>971963.72999999672</v>
      </c>
      <c r="N16" s="4">
        <f>'תקציב אגף שאיפה  2020 '!N16</f>
        <v>2800000</v>
      </c>
      <c r="O16" s="4">
        <f>'תקציב אגף שאיפה  2020 '!O16</f>
        <v>2200000</v>
      </c>
      <c r="P16" s="4">
        <f>'תקציב אגף שאיפה  2020 '!P16</f>
        <v>471963.72999999672</v>
      </c>
      <c r="Q16" s="4">
        <f>'תקציב אגף שאיפה  2020 '!Q16</f>
        <v>500000</v>
      </c>
      <c r="R16" s="4">
        <f>'תקציב אגף שאיפה  2020 '!R16</f>
        <v>0</v>
      </c>
      <c r="S16" s="4">
        <f>'תקציב אגף שאיפה  2020 '!S16</f>
        <v>500000</v>
      </c>
      <c r="T16" s="4">
        <f>'תקציב אגף שאיפה  2020 '!T16</f>
        <v>0</v>
      </c>
      <c r="U16" s="4">
        <f>'תקציב אגף שאיפה  2020 '!U16</f>
        <v>2800000</v>
      </c>
      <c r="V16" s="4">
        <f>'תקציב אגף שאיפה  2020 '!V16</f>
        <v>0</v>
      </c>
      <c r="W16" s="4">
        <f>'תקציב אגף שאיפה  2020 '!W16</f>
        <v>2800000</v>
      </c>
      <c r="X16" s="4">
        <f>'תקציב אגף שאיפה  2020 '!X16</f>
        <v>0</v>
      </c>
      <c r="Y16" s="4">
        <f>'תקציב אגף שאיפה  2020 '!Y16</f>
        <v>0</v>
      </c>
      <c r="Z16" s="4">
        <f>'תקציב אגף שאיפה  2020 '!Z16</f>
        <v>0</v>
      </c>
      <c r="AA16" s="87" t="str">
        <f>'תקציב אגף שאיפה  2020 '!AA16</f>
        <v xml:space="preserve">עבודות במרחב הציבורי בשכונות השונות ברחבי העיר כולל ריהוט רחוב עפ"י תוכנית עבודה שתאושר ע"י הנהלת העיר. </v>
      </c>
      <c r="AB16" s="706">
        <f>'תקציב אגף שאיפה  2020 '!AB16</f>
        <v>848500</v>
      </c>
      <c r="AC16" s="210"/>
      <c r="AD16" s="392"/>
      <c r="AE16" s="392"/>
      <c r="AF16" s="330"/>
      <c r="AG16" s="333"/>
      <c r="AH16" s="28"/>
      <c r="AI16" s="191"/>
      <c r="AJ16" s="28"/>
      <c r="AK16" s="28"/>
      <c r="AL16" s="28"/>
      <c r="AM16" s="28"/>
    </row>
    <row r="17" spans="1:39" s="5" customFormat="1" ht="27.6">
      <c r="A17" s="3">
        <f t="shared" si="0"/>
        <v>11</v>
      </c>
      <c r="B17" s="706">
        <f>'תקציב אגף שאיפה  2020 '!B17</f>
        <v>1491</v>
      </c>
      <c r="C17" s="87" t="str">
        <f>'תקציב אגף שאיפה  2020 '!C17</f>
        <v>שדרוג תשתיות משטחי גומי גינות</v>
      </c>
      <c r="D17" s="4">
        <f>'תקציב אגף שאיפה  2020 '!D17</f>
        <v>6870000</v>
      </c>
      <c r="E17" s="4">
        <f>'תקציב אגף שאיפה  2020 '!E17</f>
        <v>6870000</v>
      </c>
      <c r="F17" s="4">
        <f>'תקציב אגף שאיפה  2020 '!F17</f>
        <v>0</v>
      </c>
      <c r="G17" s="4">
        <f>'תקציב אגף שאיפה  2020 '!G17</f>
        <v>6870000</v>
      </c>
      <c r="H17" s="4">
        <f>'תקציב אגף שאיפה  2020 '!H17</f>
        <v>6396807.6100000003</v>
      </c>
      <c r="I17" s="4">
        <f>'תקציב אגף שאיפה  2020 '!I17</f>
        <v>0</v>
      </c>
      <c r="J17" s="4">
        <f>'תקציב אגף שאיפה  2020 '!J17</f>
        <v>438194.45</v>
      </c>
      <c r="K17" s="4">
        <f>'תקציב אגף שאיפה  2020 '!K17</f>
        <v>438194.45</v>
      </c>
      <c r="L17" s="4">
        <f>'תקציב אגף שאיפה  2020 '!L17</f>
        <v>6835002.0600000005</v>
      </c>
      <c r="M17" s="4">
        <f>'תקציב אגף שאיפה  2020 '!M17</f>
        <v>34997.939999999478</v>
      </c>
      <c r="N17" s="4">
        <f>'תקציב אגף שאיפה  2020 '!N17</f>
        <v>0</v>
      </c>
      <c r="O17" s="4">
        <f>'תקציב אגף שאיפה  2020 '!O17</f>
        <v>0</v>
      </c>
      <c r="P17" s="4">
        <f>'תקציב אגף שאיפה  2020 '!P17</f>
        <v>34997.939999999478</v>
      </c>
      <c r="Q17" s="4">
        <f>'תקציב אגף שאיפה  2020 '!Q17</f>
        <v>0</v>
      </c>
      <c r="R17" s="4">
        <f>'תקציב אגף שאיפה  2020 '!R17</f>
        <v>0</v>
      </c>
      <c r="S17" s="4">
        <f>'תקציב אגף שאיפה  2020 '!S17</f>
        <v>0</v>
      </c>
      <c r="T17" s="4">
        <f>'תקציב אגף שאיפה  2020 '!T17</f>
        <v>0</v>
      </c>
      <c r="U17" s="4">
        <f>'תקציב אגף שאיפה  2020 '!U17</f>
        <v>0</v>
      </c>
      <c r="V17" s="4">
        <f>'תקציב אגף שאיפה  2020 '!V17</f>
        <v>0</v>
      </c>
      <c r="W17" s="4">
        <f>'תקציב אגף שאיפה  2020 '!W17</f>
        <v>0</v>
      </c>
      <c r="X17" s="4">
        <f>'תקציב אגף שאיפה  2020 '!X17</f>
        <v>0</v>
      </c>
      <c r="Y17" s="4">
        <f>'תקציב אגף שאיפה  2020 '!Y17</f>
        <v>0</v>
      </c>
      <c r="Z17" s="4">
        <f>'תקציב אגף שאיפה  2020 '!Z17</f>
        <v>0</v>
      </c>
      <c r="AA17" s="87" t="str">
        <f>'תקציב אגף שאיפה  2020 '!AA17</f>
        <v>ביצוע של החלפת משטחי גומי ישנים מאוד בגינות קיימות. לקראת סיום.</v>
      </c>
      <c r="AB17" s="706">
        <f>'תקציב אגף שאיפה  2020 '!AB17</f>
        <v>746000</v>
      </c>
      <c r="AC17" s="210"/>
      <c r="AD17" s="392"/>
      <c r="AE17" s="392"/>
      <c r="AF17" s="330"/>
      <c r="AG17" s="333"/>
      <c r="AH17" s="28"/>
      <c r="AI17" s="191"/>
      <c r="AJ17" s="28"/>
      <c r="AK17" s="28"/>
      <c r="AL17" s="28"/>
      <c r="AM17" s="28"/>
    </row>
    <row r="18" spans="1:39" s="5" customFormat="1" ht="69">
      <c r="A18" s="3">
        <f t="shared" si="0"/>
        <v>12</v>
      </c>
      <c r="B18" s="706">
        <f>'תקציב אגף שאיפה  2020 '!B18</f>
        <v>1504</v>
      </c>
      <c r="C18" s="87" t="str">
        <f>'תקציב אגף שאיפה  2020 '!C18</f>
        <v>נטיעת עצים ברחבי העיר</v>
      </c>
      <c r="D18" s="4">
        <f>'תקציב אגף שאיפה  2020 '!D18</f>
        <v>2000000</v>
      </c>
      <c r="E18" s="4">
        <f>'תקציב אגף שאיפה  2020 '!E18</f>
        <v>1700000</v>
      </c>
      <c r="F18" s="4">
        <f>'תקציב אגף שאיפה  2020 '!F18</f>
        <v>300000</v>
      </c>
      <c r="G18" s="4">
        <f>'תקציב אגף שאיפה  2020 '!G18</f>
        <v>1500000</v>
      </c>
      <c r="H18" s="4">
        <f>'תקציב אגף שאיפה  2020 '!H18</f>
        <v>1424566.83</v>
      </c>
      <c r="I18" s="4">
        <f>'תקציב אגף שאיפה  2020 '!I18</f>
        <v>0</v>
      </c>
      <c r="J18" s="4">
        <f>'תקציב אגף שאיפה  2020 '!J18</f>
        <v>6500.72</v>
      </c>
      <c r="K18" s="4">
        <f>'תקציב אגף שאיפה  2020 '!K18</f>
        <v>6500.72</v>
      </c>
      <c r="L18" s="4">
        <f>'תקציב אגף שאיפה  2020 '!L18</f>
        <v>1431067.55</v>
      </c>
      <c r="M18" s="4">
        <f>'תקציב אגף שאיפה  2020 '!M18</f>
        <v>68932.449999999953</v>
      </c>
      <c r="N18" s="4">
        <f>'תקציב אגף שאיפה  2020 '!N18</f>
        <v>400000</v>
      </c>
      <c r="O18" s="4">
        <f>'תקציב אגף שאיפה  2020 '!O18</f>
        <v>100000</v>
      </c>
      <c r="P18" s="4">
        <f>'תקציב אגף שאיפה  2020 '!P18</f>
        <v>68932.449999999953</v>
      </c>
      <c r="Q18" s="4">
        <f>'תקציב אגף שאיפה  2020 '!Q18</f>
        <v>0</v>
      </c>
      <c r="R18" s="4">
        <f>'תקציב אגף שאיפה  2020 '!R18</f>
        <v>0</v>
      </c>
      <c r="S18" s="4">
        <f>'תקציב אגף שאיפה  2020 '!S18</f>
        <v>0</v>
      </c>
      <c r="T18" s="4">
        <f>'תקציב אגף שאיפה  2020 '!T18</f>
        <v>0</v>
      </c>
      <c r="U18" s="4">
        <f>'תקציב אגף שאיפה  2020 '!U18</f>
        <v>400000</v>
      </c>
      <c r="V18" s="4">
        <f>'תקציב אגף שאיפה  2020 '!V18</f>
        <v>400000</v>
      </c>
      <c r="W18" s="4">
        <f>'תקציב אגף שאיפה  2020 '!W18</f>
        <v>0</v>
      </c>
      <c r="X18" s="4">
        <f>'תקציב אגף שאיפה  2020 '!X18</f>
        <v>0</v>
      </c>
      <c r="Y18" s="4">
        <f>'תקציב אגף שאיפה  2020 '!Y18</f>
        <v>0</v>
      </c>
      <c r="Z18" s="4">
        <f>'תקציב אגף שאיפה  2020 '!Z18</f>
        <v>0</v>
      </c>
      <c r="AA18" s="87" t="str">
        <f>'תקציב אגף שאיפה  2020 '!AA18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B18" s="706">
        <f>'תקציב אגף שאיפה  2020 '!AB18</f>
        <v>746000</v>
      </c>
      <c r="AC18" s="210"/>
      <c r="AD18" s="392"/>
      <c r="AE18" s="392"/>
      <c r="AF18" s="330"/>
      <c r="AG18" s="333"/>
      <c r="AH18" s="28"/>
      <c r="AI18" s="191"/>
      <c r="AJ18" s="28"/>
      <c r="AK18" s="28"/>
      <c r="AL18" s="28"/>
      <c r="AM18" s="28"/>
    </row>
    <row r="19" spans="1:39" s="5" customFormat="1" ht="35.1" customHeight="1">
      <c r="A19" s="3">
        <f t="shared" si="0"/>
        <v>13</v>
      </c>
      <c r="B19" s="706">
        <f>'תקציב אגף שאיפה  2020 '!B19</f>
        <v>1579</v>
      </c>
      <c r="C19" s="87" t="str">
        <f>'תקציב אגף שאיפה  2020 '!C19</f>
        <v>הכנת תוכנית אב לקיימות בעיריית הרצליה</v>
      </c>
      <c r="D19" s="4">
        <f>'תקציב אגף שאיפה  2020 '!D19</f>
        <v>170000</v>
      </c>
      <c r="E19" s="4">
        <f>'תקציב אגף שאיפה  2020 '!E19</f>
        <v>170000</v>
      </c>
      <c r="F19" s="4">
        <f>'תקציב אגף שאיפה  2020 '!F19</f>
        <v>0</v>
      </c>
      <c r="G19" s="4">
        <f>'תקציב אגף שאיפה  2020 '!G19</f>
        <v>170000</v>
      </c>
      <c r="H19" s="4">
        <f>'תקציב אגף שאיפה  2020 '!H19</f>
        <v>146641.28</v>
      </c>
      <c r="I19" s="4">
        <f>'תקציב אגף שאיפה  2020 '!I19</f>
        <v>0</v>
      </c>
      <c r="J19" s="4">
        <f>'תקציב אגף שאיפה  2020 '!J19</f>
        <v>14237.18</v>
      </c>
      <c r="K19" s="4">
        <f>'תקציב אגף שאיפה  2020 '!K19</f>
        <v>14237.18</v>
      </c>
      <c r="L19" s="4">
        <f>'תקציב אגף שאיפה  2020 '!L19</f>
        <v>160878.46</v>
      </c>
      <c r="M19" s="4">
        <f>'תקציב אגף שאיפה  2020 '!M19</f>
        <v>9121.5400000000081</v>
      </c>
      <c r="N19" s="4">
        <f>'תקציב אגף שאיפה  2020 '!N19</f>
        <v>0</v>
      </c>
      <c r="O19" s="4">
        <f>'תקציב אגף שאיפה  2020 '!O19</f>
        <v>0</v>
      </c>
      <c r="P19" s="4">
        <f>'תקציב אגף שאיפה  2020 '!P19</f>
        <v>9121.5400000000081</v>
      </c>
      <c r="Q19" s="4">
        <f>'תקציב אגף שאיפה  2020 '!Q19</f>
        <v>0</v>
      </c>
      <c r="R19" s="4">
        <f>'תקציב אגף שאיפה  2020 '!R19</f>
        <v>0</v>
      </c>
      <c r="S19" s="4">
        <f>'תקציב אגף שאיפה  2020 '!S19</f>
        <v>0</v>
      </c>
      <c r="T19" s="4">
        <f>'תקציב אגף שאיפה  2020 '!T19</f>
        <v>0</v>
      </c>
      <c r="U19" s="4">
        <f>'תקציב אגף שאיפה  2020 '!U19</f>
        <v>0</v>
      </c>
      <c r="V19" s="4">
        <f>'תקציב אגף שאיפה  2020 '!V19</f>
        <v>0</v>
      </c>
      <c r="W19" s="4">
        <f>'תקציב אגף שאיפה  2020 '!W19</f>
        <v>0</v>
      </c>
      <c r="X19" s="4">
        <f>'תקציב אגף שאיפה  2020 '!X19</f>
        <v>0</v>
      </c>
      <c r="Y19" s="4">
        <f>'תקציב אגף שאיפה  2020 '!Y19</f>
        <v>0</v>
      </c>
      <c r="Z19" s="4">
        <f>'תקציב אגף שאיפה  2020 '!Z19</f>
        <v>0</v>
      </c>
      <c r="AA19" s="87">
        <f>'תקציב אגף שאיפה  2020 '!AA19</f>
        <v>0</v>
      </c>
      <c r="AB19" s="706">
        <f>'תקציב אגף שאיפה  2020 '!AB19</f>
        <v>870000</v>
      </c>
      <c r="AC19" s="210"/>
      <c r="AD19" s="392"/>
      <c r="AE19" s="392"/>
      <c r="AF19" s="330"/>
      <c r="AG19" s="19"/>
      <c r="AH19" s="19"/>
      <c r="AI19" s="28"/>
      <c r="AJ19" s="29"/>
      <c r="AK19" s="29"/>
      <c r="AL19" s="29"/>
      <c r="AM19" s="29"/>
    </row>
    <row r="20" spans="1:39" s="5" customFormat="1" ht="27.6">
      <c r="A20" s="3">
        <f t="shared" si="0"/>
        <v>14</v>
      </c>
      <c r="B20" s="706">
        <f>'תקציב אגף שאיפה  2020 '!B20</f>
        <v>1598</v>
      </c>
      <c r="C20" s="87" t="str">
        <f>'תקציב אגף שאיפה  2020 '!C20</f>
        <v>הטמעת עקרונות הקיימות בחינוך</v>
      </c>
      <c r="D20" s="4">
        <f>'תקציב אגף שאיפה  2020 '!D20</f>
        <v>724500</v>
      </c>
      <c r="E20" s="4">
        <f>'תקציב אגף שאיפה  2020 '!E20</f>
        <v>589500</v>
      </c>
      <c r="F20" s="4">
        <f>'תקציב אגף שאיפה  2020 '!F20</f>
        <v>135000</v>
      </c>
      <c r="G20" s="4">
        <f>'תקציב אגף שאיפה  2020 '!G20</f>
        <v>449500</v>
      </c>
      <c r="H20" s="4">
        <f>'תקציב אגף שאיפה  2020 '!H20</f>
        <v>327398.75</v>
      </c>
      <c r="I20" s="4">
        <f>'תקציב אגף שאיפה  2020 '!I20</f>
        <v>0</v>
      </c>
      <c r="J20" s="4">
        <f>'תקציב אגף שאיפה  2020 '!J20</f>
        <v>269.57</v>
      </c>
      <c r="K20" s="4">
        <f>'תקציב אגף שאיפה  2020 '!K20</f>
        <v>269.57</v>
      </c>
      <c r="L20" s="4">
        <f>'תקציב אגף שאיפה  2020 '!L20</f>
        <v>327668.32</v>
      </c>
      <c r="M20" s="4">
        <f>'תקציב אגף שאיפה  2020 '!M20</f>
        <v>261831.67999999999</v>
      </c>
      <c r="N20" s="4">
        <f>'תקציב אגף שאיפה  2020 '!N20</f>
        <v>135000</v>
      </c>
      <c r="O20" s="4">
        <f>'תקציב אגף שאיפה  2020 '!O20</f>
        <v>0</v>
      </c>
      <c r="P20" s="4">
        <f>'תקציב אגף שאיפה  2020 '!P20</f>
        <v>121831.67999999999</v>
      </c>
      <c r="Q20" s="4">
        <f>'תקציב אגף שאיפה  2020 '!Q20</f>
        <v>140000</v>
      </c>
      <c r="R20" s="4">
        <f>'תקציב אגף שאיפה  2020 '!R20</f>
        <v>0</v>
      </c>
      <c r="S20" s="4">
        <f>'תקציב אגף שאיפה  2020 '!S20</f>
        <v>140000</v>
      </c>
      <c r="T20" s="4">
        <f>'תקציב אגף שאיפה  2020 '!T20</f>
        <v>0</v>
      </c>
      <c r="U20" s="4">
        <f>'תקציב אגף שאיפה  2020 '!U20</f>
        <v>135000</v>
      </c>
      <c r="V20" s="4">
        <f>'תקציב אגף שאיפה  2020 '!V20</f>
        <v>0</v>
      </c>
      <c r="W20" s="4">
        <f>'תקציב אגף שאיפה  2020 '!W20</f>
        <v>27000</v>
      </c>
      <c r="X20" s="4">
        <f>'תקציב אגף שאיפה  2020 '!X20</f>
        <v>0</v>
      </c>
      <c r="Y20" s="4">
        <f>'תקציב אגף שאיפה  2020 '!Y20</f>
        <v>0</v>
      </c>
      <c r="Z20" s="4">
        <f>'תקציב אגף שאיפה  2020 '!Z20</f>
        <v>108000</v>
      </c>
      <c r="AA20" s="87" t="str">
        <f>'תקציב אגף שאיפה  2020 '!AA20</f>
        <v>חינוך לקיימות. קול קורא לשנים 2018-2020. מימון מ. להגנת הסביבה.</v>
      </c>
      <c r="AB20" s="706">
        <f>'תקציב אגף שאיפה  2020 '!AB20</f>
        <v>870000</v>
      </c>
      <c r="AC20" s="210"/>
      <c r="AD20" s="392"/>
      <c r="AE20" s="392"/>
      <c r="AF20" s="330"/>
      <c r="AG20" s="19"/>
      <c r="AH20" s="19"/>
      <c r="AI20" s="28"/>
      <c r="AJ20" s="29"/>
      <c r="AK20" s="29"/>
      <c r="AL20" s="29"/>
      <c r="AM20" s="29"/>
    </row>
    <row r="21" spans="1:39" s="5" customFormat="1">
      <c r="A21" s="3">
        <f t="shared" si="0"/>
        <v>15</v>
      </c>
      <c r="B21" s="706">
        <f>'תקציב אגף שאיפה  2020 '!B21</f>
        <v>1629</v>
      </c>
      <c r="C21" s="87" t="str">
        <f>'תקציב אגף שאיפה  2020 '!C21</f>
        <v>ריהוט רחוב</v>
      </c>
      <c r="D21" s="4">
        <f>'תקציב אגף שאיפה  2020 '!D21</f>
        <v>450000</v>
      </c>
      <c r="E21" s="4">
        <f>'תקציב אגף שאיפה  2020 '!E21</f>
        <v>450000</v>
      </c>
      <c r="F21" s="4">
        <f>'תקציב אגף שאיפה  2020 '!F21</f>
        <v>0</v>
      </c>
      <c r="G21" s="4">
        <f>'תקציב אגף שאיפה  2020 '!G21</f>
        <v>450000</v>
      </c>
      <c r="H21" s="4">
        <f>'תקציב אגף שאיפה  2020 '!H21</f>
        <v>349830.63</v>
      </c>
      <c r="I21" s="4">
        <f>'תקציב אגף שאיפה  2020 '!I21</f>
        <v>0</v>
      </c>
      <c r="J21" s="4">
        <f>'תקציב אגף שאיפה  2020 '!J21</f>
        <v>100168.97</v>
      </c>
      <c r="K21" s="4">
        <f>'תקציב אגף שאיפה  2020 '!K21</f>
        <v>100168.97</v>
      </c>
      <c r="L21" s="4">
        <f>'תקציב אגף שאיפה  2020 '!L21</f>
        <v>449999.6</v>
      </c>
      <c r="M21" s="4">
        <f>'תקציב אגף שאיפה  2020 '!M21</f>
        <v>0.40000000002328306</v>
      </c>
      <c r="N21" s="4">
        <f>'תקציב אגף שאיפה  2020 '!N21</f>
        <v>0</v>
      </c>
      <c r="O21" s="4">
        <f>'תקציב אגף שאיפה  2020 '!O21</f>
        <v>0</v>
      </c>
      <c r="P21" s="4">
        <f>'תקציב אגף שאיפה  2020 '!P21</f>
        <v>0.40000000002328306</v>
      </c>
      <c r="Q21" s="4">
        <f>'תקציב אגף שאיפה  2020 '!Q21</f>
        <v>0</v>
      </c>
      <c r="R21" s="4">
        <f>'תקציב אגף שאיפה  2020 '!R21</f>
        <v>0</v>
      </c>
      <c r="S21" s="4">
        <f>'תקציב אגף שאיפה  2020 '!S21</f>
        <v>0</v>
      </c>
      <c r="T21" s="4">
        <f>'תקציב אגף שאיפה  2020 '!T21</f>
        <v>0</v>
      </c>
      <c r="U21" s="4">
        <f>'תקציב אגף שאיפה  2020 '!U21</f>
        <v>0</v>
      </c>
      <c r="V21" s="4">
        <f>'תקציב אגף שאיפה  2020 '!V21</f>
        <v>0</v>
      </c>
      <c r="W21" s="4">
        <f>'תקציב אגף שאיפה  2020 '!W21</f>
        <v>0</v>
      </c>
      <c r="X21" s="4">
        <f>'תקציב אגף שאיפה  2020 '!X21</f>
        <v>0</v>
      </c>
      <c r="Y21" s="4">
        <f>'תקציב אגף שאיפה  2020 '!Y21</f>
        <v>0</v>
      </c>
      <c r="Z21" s="4">
        <f>'תקציב אגף שאיפה  2020 '!Z21</f>
        <v>0</v>
      </c>
      <c r="AA21" s="87">
        <f>'תקציב אגף שאיפה  2020 '!AA21</f>
        <v>0</v>
      </c>
      <c r="AB21" s="706">
        <f>'תקציב אגף שאיפה  2020 '!AB21</f>
        <v>746000</v>
      </c>
      <c r="AC21" s="210"/>
      <c r="AD21" s="392"/>
      <c r="AE21" s="392"/>
      <c r="AF21" s="330"/>
      <c r="AG21" s="333"/>
      <c r="AH21" s="28"/>
      <c r="AI21" s="191"/>
      <c r="AJ21" s="28"/>
      <c r="AK21" s="29"/>
      <c r="AL21" s="29"/>
      <c r="AM21" s="29"/>
    </row>
    <row r="22" spans="1:39" s="5" customFormat="1" ht="27.6">
      <c r="A22" s="3">
        <f t="shared" si="0"/>
        <v>16</v>
      </c>
      <c r="B22" s="706">
        <f>'תקציב אגף שאיפה  2020 '!B22</f>
        <v>1680</v>
      </c>
      <c r="C22" s="87" t="str">
        <f>'תקציב אגף שאיפה  2020 '!C22</f>
        <v>סקר עצים מסוכנים ברחבי העיר</v>
      </c>
      <c r="D22" s="4">
        <f>'תקציב אגף שאיפה  2020 '!D22</f>
        <v>950000</v>
      </c>
      <c r="E22" s="4">
        <f>'תקציב אגף שאיפה  2020 '!E22</f>
        <v>950000</v>
      </c>
      <c r="F22" s="4">
        <f>'תקציב אגף שאיפה  2020 '!F22</f>
        <v>0</v>
      </c>
      <c r="G22" s="4">
        <f>'תקציב אגף שאיפה  2020 '!G22</f>
        <v>500000</v>
      </c>
      <c r="H22" s="4">
        <f>'תקציב אגף שאיפה  2020 '!H22</f>
        <v>208809.82</v>
      </c>
      <c r="I22" s="4">
        <f>'תקציב אגף שאיפה  2020 '!I22</f>
        <v>0</v>
      </c>
      <c r="J22" s="4">
        <f>'תקציב אגף שאיפה  2020 '!J22</f>
        <v>258336</v>
      </c>
      <c r="K22" s="4">
        <f>'תקציב אגף שאיפה  2020 '!K22</f>
        <v>258336</v>
      </c>
      <c r="L22" s="4">
        <f>'תקציב אגף שאיפה  2020 '!L22</f>
        <v>467145.82</v>
      </c>
      <c r="M22" s="4">
        <f>'תקציב אגף שאיפה  2020 '!M22</f>
        <v>32854.179999999993</v>
      </c>
      <c r="N22" s="4">
        <f>'תקציב אגף שאיפה  2020 '!N22</f>
        <v>450000</v>
      </c>
      <c r="O22" s="4">
        <f>'תקציב אגף שאיפה  2020 '!O22</f>
        <v>0</v>
      </c>
      <c r="P22" s="4">
        <f>'תקציב אגף שאיפה  2020 '!P22</f>
        <v>32854.179999999993</v>
      </c>
      <c r="Q22" s="4">
        <f>'תקציב אגף שאיפה  2020 '!Q22</f>
        <v>0</v>
      </c>
      <c r="R22" s="4">
        <f>'תקציב אגף שאיפה  2020 '!R22</f>
        <v>0</v>
      </c>
      <c r="S22" s="4">
        <f>'תקציב אגף שאיפה  2020 '!S22</f>
        <v>0</v>
      </c>
      <c r="T22" s="4">
        <f>'תקציב אגף שאיפה  2020 '!T22</f>
        <v>0</v>
      </c>
      <c r="U22" s="4">
        <f>'תקציב אגף שאיפה  2020 '!U22</f>
        <v>450000</v>
      </c>
      <c r="V22" s="4">
        <f>'תקציב אגף שאיפה  2020 '!V22</f>
        <v>0</v>
      </c>
      <c r="W22" s="4">
        <f>'תקציב אגף שאיפה  2020 '!W22</f>
        <v>450000</v>
      </c>
      <c r="X22" s="4">
        <f>'תקציב אגף שאיפה  2020 '!X22</f>
        <v>0</v>
      </c>
      <c r="Y22" s="4">
        <f>'תקציב אגף שאיפה  2020 '!Y22</f>
        <v>0</v>
      </c>
      <c r="Z22" s="4">
        <f>'תקציב אגף שאיפה  2020 '!Z22</f>
        <v>0</v>
      </c>
      <c r="AA22" s="87" t="str">
        <f>'תקציב אגף שאיפה  2020 '!AA22</f>
        <v>סקירת עצים מסוכנים בפארקים, שצ"פים, רחובות וחורשות אקליפטוסים.</v>
      </c>
      <c r="AB22" s="706">
        <f>'תקציב אגף שאיפה  2020 '!AB22</f>
        <v>746000</v>
      </c>
      <c r="AC22" s="210"/>
      <c r="AD22" s="392"/>
      <c r="AE22" s="392"/>
      <c r="AF22" s="330"/>
      <c r="AG22" s="333"/>
      <c r="AH22" s="28"/>
      <c r="AI22" s="191"/>
      <c r="AJ22" s="28"/>
      <c r="AK22" s="29"/>
      <c r="AL22" s="29"/>
      <c r="AM22" s="29"/>
    </row>
    <row r="23" spans="1:39" s="5" customFormat="1" ht="35.1" customHeight="1">
      <c r="A23" s="3">
        <f t="shared" si="0"/>
        <v>17</v>
      </c>
      <c r="B23" s="706">
        <f>'תקציב אגף שאיפה  2020 '!B23</f>
        <v>1817</v>
      </c>
      <c r="C23" s="87" t="str">
        <f>'תקציב אגף שאיפה  2020 '!C23</f>
        <v>הקמת גינות בי"ס קהילתיות</v>
      </c>
      <c r="D23" s="4">
        <f>'תקציב אגף שאיפה  2020 '!D23</f>
        <v>872000</v>
      </c>
      <c r="E23" s="4">
        <f>'תקציב אגף שאיפה  2020 '!E23</f>
        <v>872000</v>
      </c>
      <c r="F23" s="4">
        <f>'תקציב אגף שאיפה  2020 '!F23</f>
        <v>0</v>
      </c>
      <c r="G23" s="4">
        <f>'תקציב אגף שאיפה  2020 '!G23</f>
        <v>740000</v>
      </c>
      <c r="H23" s="4">
        <f>'תקציב אגף שאיפה  2020 '!H23</f>
        <v>600131.54</v>
      </c>
      <c r="I23" s="4">
        <f>'תקציב אגף שאיפה  2020 '!I23</f>
        <v>0</v>
      </c>
      <c r="J23" s="4">
        <f>'תקציב אגף שאיפה  2020 '!J23</f>
        <v>38789.65</v>
      </c>
      <c r="K23" s="4">
        <f>'תקציב אגף שאיפה  2020 '!K23</f>
        <v>38789.65</v>
      </c>
      <c r="L23" s="4">
        <f>'תקציב אגף שאיפה  2020 '!L23</f>
        <v>638921.19000000006</v>
      </c>
      <c r="M23" s="4">
        <f>'תקציב אגף שאיפה  2020 '!M23</f>
        <v>101078.80999999994</v>
      </c>
      <c r="N23" s="4">
        <f>'תקציב אגף שאיפה  2020 '!N23</f>
        <v>132000</v>
      </c>
      <c r="O23" s="4">
        <f>'תקציב אגף שאיפה  2020 '!O23</f>
        <v>0</v>
      </c>
      <c r="P23" s="4">
        <f>'תקציב אגף שאיפה  2020 '!P23</f>
        <v>101078.80999999994</v>
      </c>
      <c r="Q23" s="4">
        <f>'תקציב אגף שאיפה  2020 '!Q23</f>
        <v>0</v>
      </c>
      <c r="R23" s="4">
        <f>'תקציב אגף שאיפה  2020 '!R23</f>
        <v>0</v>
      </c>
      <c r="S23" s="4">
        <f>'תקציב אגף שאיפה  2020 '!S23</f>
        <v>0</v>
      </c>
      <c r="T23" s="4">
        <f>'תקציב אגף שאיפה  2020 '!T23</f>
        <v>0</v>
      </c>
      <c r="U23" s="4">
        <f>'תקציב אגף שאיפה  2020 '!U23</f>
        <v>132000</v>
      </c>
      <c r="V23" s="4">
        <f>'תקציב אגף שאיפה  2020 '!V23</f>
        <v>0</v>
      </c>
      <c r="W23" s="4">
        <f>'תקציב אגף שאיפה  2020 '!W23</f>
        <v>0</v>
      </c>
      <c r="X23" s="4">
        <f>'תקציב אגף שאיפה  2020 '!X23</f>
        <v>0</v>
      </c>
      <c r="Y23" s="4">
        <f>'תקציב אגף שאיפה  2020 '!Y23</f>
        <v>0</v>
      </c>
      <c r="Z23" s="4">
        <f>'תקציב אגף שאיפה  2020 '!Z23</f>
        <v>132000</v>
      </c>
      <c r="AA23" s="87" t="str">
        <f>'תקציב אגף שאיפה  2020 '!AA23</f>
        <v>הקמת גינות קהילתיות בית ספריות במימון קרן הועדה החקלאית.</v>
      </c>
      <c r="AB23" s="706">
        <f>'תקציב אגף שאיפה  2020 '!AB23</f>
        <v>810000</v>
      </c>
      <c r="AC23" s="210"/>
      <c r="AD23" s="392"/>
      <c r="AE23" s="392"/>
      <c r="AF23" s="330"/>
      <c r="AG23" s="19"/>
      <c r="AH23" s="19"/>
      <c r="AI23" s="28"/>
      <c r="AJ23" s="29"/>
      <c r="AK23" s="29"/>
      <c r="AL23" s="29"/>
      <c r="AM23" s="29"/>
    </row>
    <row r="24" spans="1:39" s="5" customFormat="1" ht="35.1" customHeight="1">
      <c r="A24" s="3">
        <f t="shared" si="0"/>
        <v>18</v>
      </c>
      <c r="B24" s="706">
        <f>'תקציב אגף שאיפה  2020 '!B24</f>
        <v>1831</v>
      </c>
      <c r="C24" s="87" t="str">
        <f>'תקציב אגף שאיפה  2020 '!C24</f>
        <v>פרויקטים סביבתיים</v>
      </c>
      <c r="D24" s="4">
        <f>'תקציב אגף שאיפה  2020 '!D24</f>
        <v>146059</v>
      </c>
      <c r="E24" s="4">
        <f>'תקציב אגף שאיפה  2020 '!E24</f>
        <v>146059</v>
      </c>
      <c r="F24" s="4">
        <f>'תקציב אגף שאיפה  2020 '!F24</f>
        <v>0</v>
      </c>
      <c r="G24" s="4">
        <f>'תקציב אגף שאיפה  2020 '!G24</f>
        <v>146059</v>
      </c>
      <c r="H24" s="4">
        <f>'תקציב אגף שאיפה  2020 '!H24</f>
        <v>38025</v>
      </c>
      <c r="I24" s="4">
        <f>'תקציב אגף שאיפה  2020 '!I24</f>
        <v>0</v>
      </c>
      <c r="J24" s="4">
        <f>'תקציב אגף שאיפה  2020 '!J24</f>
        <v>0</v>
      </c>
      <c r="K24" s="4">
        <f>'תקציב אגף שאיפה  2020 '!K24</f>
        <v>0</v>
      </c>
      <c r="L24" s="4">
        <f>'תקציב אגף שאיפה  2020 '!L24</f>
        <v>38025</v>
      </c>
      <c r="M24" s="4">
        <f>'תקציב אגף שאיפה  2020 '!M24</f>
        <v>8034</v>
      </c>
      <c r="N24" s="4">
        <f>'תקציב אגף שאיפה  2020 '!N24</f>
        <v>100000</v>
      </c>
      <c r="O24" s="4">
        <f>'תקציב אגף שאיפה  2020 '!O24</f>
        <v>0</v>
      </c>
      <c r="P24" s="4">
        <f>'תקציב אגף שאיפה  2020 '!P24</f>
        <v>108034</v>
      </c>
      <c r="Q24" s="4">
        <f>'תקציב אגף שאיפה  2020 '!Q24</f>
        <v>0</v>
      </c>
      <c r="R24" s="4">
        <f>'תקציב אגף שאיפה  2020 '!R24</f>
        <v>0</v>
      </c>
      <c r="S24" s="4">
        <f>'תקציב אגף שאיפה  2020 '!S24</f>
        <v>0</v>
      </c>
      <c r="T24" s="4">
        <f>'תקציב אגף שאיפה  2020 '!T24</f>
        <v>100000</v>
      </c>
      <c r="U24" s="4">
        <f>'תקציב אגף שאיפה  2020 '!U24</f>
        <v>0</v>
      </c>
      <c r="V24" s="4">
        <f>'תקציב אגף שאיפה  2020 '!V24</f>
        <v>0</v>
      </c>
      <c r="W24" s="4">
        <f>'תקציב אגף שאיפה  2020 '!W24</f>
        <v>0</v>
      </c>
      <c r="X24" s="4">
        <f>'תקציב אגף שאיפה  2020 '!X24</f>
        <v>0</v>
      </c>
      <c r="Y24" s="4">
        <f>'תקציב אגף שאיפה  2020 '!Y24</f>
        <v>0</v>
      </c>
      <c r="Z24" s="4">
        <f>'תקציב אגף שאיפה  2020 '!Z24</f>
        <v>0</v>
      </c>
      <c r="AA24" s="87" t="str">
        <f>'תקציב אגף שאיפה  2020 '!AA24</f>
        <v>פרויקטים סביבתתים לשיפור איכות הסביבה. ממומן ע"י מ. להגנת הסביבה.</v>
      </c>
      <c r="AB24" s="706">
        <f>'תקציב אגף שאיפה  2020 '!AB24</f>
        <v>870000</v>
      </c>
      <c r="AC24" s="210"/>
      <c r="AD24" s="392"/>
      <c r="AE24" s="392"/>
      <c r="AF24" s="330"/>
      <c r="AG24" s="19"/>
      <c r="AH24" s="19"/>
      <c r="AI24" s="28"/>
      <c r="AJ24" s="29"/>
      <c r="AK24" s="29"/>
      <c r="AL24" s="29"/>
      <c r="AM24" s="29"/>
    </row>
    <row r="25" spans="1:39" s="5" customFormat="1" ht="39" customHeight="1">
      <c r="A25" s="3">
        <f t="shared" si="0"/>
        <v>19</v>
      </c>
      <c r="B25" s="706">
        <f>'תקציב אגף שאיפה  2020 '!B25</f>
        <v>1866</v>
      </c>
      <c r="C25" s="87" t="str">
        <f>'תקציב אגף שאיפה  2020 '!C25</f>
        <v>פרויקט "הרצליה נקיה מאסבסט"</v>
      </c>
      <c r="D25" s="4">
        <f>'תקציב אגף שאיפה  2020 '!D25</f>
        <v>300000</v>
      </c>
      <c r="E25" s="4">
        <f>'תקציב אגף שאיפה  2020 '!E25</f>
        <v>300000</v>
      </c>
      <c r="F25" s="4">
        <f>'תקציב אגף שאיפה  2020 '!F25</f>
        <v>0</v>
      </c>
      <c r="G25" s="4">
        <f>'תקציב אגף שאיפה  2020 '!G25</f>
        <v>225000</v>
      </c>
      <c r="H25" s="4">
        <f>'תקציב אגף שאיפה  2020 '!H25</f>
        <v>168263.54</v>
      </c>
      <c r="I25" s="4">
        <f>'תקציב אגף שאיפה  2020 '!I25</f>
        <v>0</v>
      </c>
      <c r="J25" s="4">
        <f>'תקציב אגף שאיפה  2020 '!J25</f>
        <v>30296.45</v>
      </c>
      <c r="K25" s="4">
        <f>'תקציב אגף שאיפה  2020 '!K25</f>
        <v>30296.45</v>
      </c>
      <c r="L25" s="4">
        <f>'תקציב אגף שאיפה  2020 '!L25</f>
        <v>198559.99000000002</v>
      </c>
      <c r="M25" s="4">
        <f>'תקציב אגף שאיפה  2020 '!M25</f>
        <v>26440.00999999998</v>
      </c>
      <c r="N25" s="4">
        <f>'תקציב אגף שאיפה  2020 '!N25</f>
        <v>75000</v>
      </c>
      <c r="O25" s="4">
        <f>'תקציב אגף שאיפה  2020 '!O25</f>
        <v>0</v>
      </c>
      <c r="P25" s="4">
        <f>'תקציב אגף שאיפה  2020 '!P25</f>
        <v>26440.00999999998</v>
      </c>
      <c r="Q25" s="4">
        <f>'תקציב אגף שאיפה  2020 '!Q25</f>
        <v>0</v>
      </c>
      <c r="R25" s="4">
        <f>'תקציב אגף שאיפה  2020 '!R25</f>
        <v>0</v>
      </c>
      <c r="S25" s="4">
        <f>'תקציב אגף שאיפה  2020 '!S25</f>
        <v>0</v>
      </c>
      <c r="T25" s="4">
        <f>'תקציב אגף שאיפה  2020 '!T25</f>
        <v>0</v>
      </c>
      <c r="U25" s="4">
        <f>'תקציב אגף שאיפה  2020 '!U25</f>
        <v>75000</v>
      </c>
      <c r="V25" s="4">
        <f>'תקציב אגף שאיפה  2020 '!V25</f>
        <v>0</v>
      </c>
      <c r="W25" s="4">
        <f>'תקציב אגף שאיפה  2020 '!W25</f>
        <v>75000</v>
      </c>
      <c r="X25" s="4">
        <f>'תקציב אגף שאיפה  2020 '!X25</f>
        <v>0</v>
      </c>
      <c r="Y25" s="4">
        <f>'תקציב אגף שאיפה  2020 '!Y25</f>
        <v>0</v>
      </c>
      <c r="Z25" s="4">
        <f>'תקציב אגף שאיפה  2020 '!Z25</f>
        <v>0</v>
      </c>
      <c r="AA25" s="87" t="str">
        <f>'תקציב אגף שאיפה  2020 '!AA25</f>
        <v>הסרת גגות אסבסט ממבנים בעיר וסיוע לתושבים לאיסוף אסבסט בהיקפים קטנים.</v>
      </c>
      <c r="AB25" s="706">
        <f>'תקציב אגף שאיפה  2020 '!AB25</f>
        <v>870000</v>
      </c>
      <c r="AC25" s="210"/>
      <c r="AD25" s="392"/>
      <c r="AE25" s="392"/>
      <c r="AF25" s="330"/>
      <c r="AG25" s="19"/>
      <c r="AH25" s="19"/>
      <c r="AI25" s="28"/>
      <c r="AJ25" s="29"/>
      <c r="AK25" s="29"/>
      <c r="AL25" s="29"/>
      <c r="AM25" s="29"/>
    </row>
    <row r="26" spans="1:39" s="5" customFormat="1" ht="35.1" customHeight="1">
      <c r="A26" s="3">
        <f t="shared" si="0"/>
        <v>20</v>
      </c>
      <c r="B26" s="706">
        <f>'תקציב אגף שאיפה  2020 '!B26</f>
        <v>1899</v>
      </c>
      <c r="C26" s="87" t="str">
        <f>'תקציב אגף שאיפה  2020 '!C26</f>
        <v>רכישת מיכלי אצירה לפסולת ומיחזור</v>
      </c>
      <c r="D26" s="4">
        <f>'תקציב אגף שאיפה  2020 '!D26</f>
        <v>770000</v>
      </c>
      <c r="E26" s="4">
        <f>'תקציב אגף שאיפה  2020 '!E26</f>
        <v>500000</v>
      </c>
      <c r="F26" s="4">
        <f>'תקציב אגף שאיפה  2020 '!F26</f>
        <v>270000</v>
      </c>
      <c r="G26" s="4">
        <f>'תקציב אגף שאיפה  2020 '!G26</f>
        <v>470000</v>
      </c>
      <c r="H26" s="4">
        <f>'תקציב אגף שאיפה  2020 '!H26</f>
        <v>192236.45</v>
      </c>
      <c r="I26" s="4">
        <f>'תקציב אגף שאיפה  2020 '!I26</f>
        <v>0</v>
      </c>
      <c r="J26" s="4">
        <f>'תקציב אגף שאיפה  2020 '!J26</f>
        <v>0</v>
      </c>
      <c r="K26" s="4">
        <f>'תקציב אגף שאיפה  2020 '!K26</f>
        <v>0</v>
      </c>
      <c r="L26" s="4">
        <f>'תקציב אגף שאיפה  2020 '!L26</f>
        <v>192236.45</v>
      </c>
      <c r="M26" s="4">
        <f>'תקציב אגף שאיפה  2020 '!M26</f>
        <v>277763.55</v>
      </c>
      <c r="N26" s="4">
        <f>'תקציב אגף שאיפה  2020 '!N26</f>
        <v>200000</v>
      </c>
      <c r="O26" s="4">
        <f>'תקציב אגף שאיפה  2020 '!O26</f>
        <v>100000.00000000006</v>
      </c>
      <c r="P26" s="4">
        <f>'תקציב אגף שאיפה  2020 '!P26</f>
        <v>277763.55</v>
      </c>
      <c r="Q26" s="4">
        <f>'תקציב אגף שאיפה  2020 '!Q26</f>
        <v>0</v>
      </c>
      <c r="R26" s="4">
        <f>'תקציב אגף שאיפה  2020 '!R26</f>
        <v>0</v>
      </c>
      <c r="S26" s="4">
        <f>'תקציב אגף שאיפה  2020 '!S26</f>
        <v>0</v>
      </c>
      <c r="T26" s="4">
        <f>'תקציב אגף שאיפה  2020 '!T26</f>
        <v>0</v>
      </c>
      <c r="U26" s="4">
        <f>'תקציב אגף שאיפה  2020 '!U26</f>
        <v>200000</v>
      </c>
      <c r="V26" s="4">
        <f>'תקציב אגף שאיפה  2020 '!V26</f>
        <v>0</v>
      </c>
      <c r="W26" s="4">
        <f>'תקציב אגף שאיפה  2020 '!W26</f>
        <v>200000</v>
      </c>
      <c r="X26" s="4">
        <f>'תקציב אגף שאיפה  2020 '!X26</f>
        <v>0</v>
      </c>
      <c r="Y26" s="4">
        <f>'תקציב אגף שאיפה  2020 '!Y26</f>
        <v>0</v>
      </c>
      <c r="Z26" s="4">
        <f>'תקציב אגף שאיפה  2020 '!Z26</f>
        <v>0</v>
      </c>
      <c r="AA26" s="87" t="str">
        <f>'תקציב אגף שאיפה  2020 '!AA26</f>
        <v>רכישת מיכלי אצירה מפלסטיק ומתכת לפסולת ומיחזור.</v>
      </c>
      <c r="AB26" s="706">
        <f>'תקציב אגף שאיפה  2020 '!AB26</f>
        <v>870000</v>
      </c>
      <c r="AC26" s="210"/>
      <c r="AD26" s="392"/>
      <c r="AE26" s="392"/>
      <c r="AF26" s="330"/>
      <c r="AG26" s="333"/>
      <c r="AH26" s="28"/>
      <c r="AI26" s="191"/>
      <c r="AJ26" s="28"/>
      <c r="AK26" s="29"/>
      <c r="AL26" s="29"/>
      <c r="AM26" s="29"/>
    </row>
    <row r="27" spans="1:39" s="5" customFormat="1" ht="25.05" customHeight="1">
      <c r="A27" s="3">
        <f t="shared" si="0"/>
        <v>21</v>
      </c>
      <c r="B27" s="706">
        <f>'תקציב אגף שאיפה  2020 '!B27</f>
        <v>1922</v>
      </c>
      <c r="C27" s="87" t="str">
        <f>'תקציב אגף שאיפה  2020 '!C27</f>
        <v>תוכנית שיווק והפרדת פסולת</v>
      </c>
      <c r="D27" s="4">
        <f>'תקציב אגף שאיפה  2020 '!D27</f>
        <v>330000</v>
      </c>
      <c r="E27" s="4">
        <f>'תקציב אגף שאיפה  2020 '!E27</f>
        <v>330000</v>
      </c>
      <c r="F27" s="4">
        <f>'תקציב אגף שאיפה  2020 '!F27</f>
        <v>0</v>
      </c>
      <c r="G27" s="4">
        <f>'תקציב אגף שאיפה  2020 '!G27</f>
        <v>200000</v>
      </c>
      <c r="H27" s="4">
        <f>'תקציב אגף שאיפה  2020 '!H27</f>
        <v>52334.19</v>
      </c>
      <c r="I27" s="4">
        <f>'תקציב אגף שאיפה  2020 '!I27</f>
        <v>0</v>
      </c>
      <c r="J27" s="4">
        <f>'תקציב אגף שאיפה  2020 '!J27</f>
        <v>30210.799999999999</v>
      </c>
      <c r="K27" s="4">
        <f>'תקציב אגף שאיפה  2020 '!K27</f>
        <v>30210.799999999999</v>
      </c>
      <c r="L27" s="4">
        <f>'תקציב אגף שאיפה  2020 '!L27</f>
        <v>82544.990000000005</v>
      </c>
      <c r="M27" s="4">
        <f>'תקציב אגף שאיפה  2020 '!M27</f>
        <v>117455.01</v>
      </c>
      <c r="N27" s="4">
        <f>'תקציב אגף שאיפה  2020 '!N27</f>
        <v>0</v>
      </c>
      <c r="O27" s="4">
        <f>'תקציב אגף שאיפה  2020 '!O27</f>
        <v>130000.00000000001</v>
      </c>
      <c r="P27" s="4">
        <f>'תקציב אגף שאיפה  2020 '!P27</f>
        <v>117455.01</v>
      </c>
      <c r="Q27" s="4">
        <f>'תקציב אגף שאיפה  2020 '!Q27</f>
        <v>0</v>
      </c>
      <c r="R27" s="4">
        <f>'תקציב אגף שאיפה  2020 '!R27</f>
        <v>0</v>
      </c>
      <c r="S27" s="4">
        <f>'תקציב אגף שאיפה  2020 '!S27</f>
        <v>0</v>
      </c>
      <c r="T27" s="4">
        <f>'תקציב אגף שאיפה  2020 '!T27</f>
        <v>0</v>
      </c>
      <c r="U27" s="4">
        <f>'תקציב אגף שאיפה  2020 '!U27</f>
        <v>0</v>
      </c>
      <c r="V27" s="4">
        <f>'תקציב אגף שאיפה  2020 '!V27</f>
        <v>0</v>
      </c>
      <c r="W27" s="4">
        <f>'תקציב אגף שאיפה  2020 '!W27</f>
        <v>0</v>
      </c>
      <c r="X27" s="4">
        <f>'תקציב אגף שאיפה  2020 '!X27</f>
        <v>0</v>
      </c>
      <c r="Y27" s="4">
        <f>'תקציב אגף שאיפה  2020 '!Y27</f>
        <v>0</v>
      </c>
      <c r="Z27" s="4">
        <f>'תקציב אגף שאיפה  2020 '!Z27</f>
        <v>0</v>
      </c>
      <c r="AA27" s="87">
        <f>'תקציב אגף שאיפה  2020 '!AA27</f>
        <v>0</v>
      </c>
      <c r="AB27" s="706">
        <f>'תקציב אגף שאיפה  2020 '!AB27</f>
        <v>870000</v>
      </c>
      <c r="AC27" s="210"/>
      <c r="AD27" s="392"/>
      <c r="AE27" s="392"/>
      <c r="AF27" s="330"/>
      <c r="AG27" s="19"/>
      <c r="AH27" s="19"/>
      <c r="AI27" s="28"/>
      <c r="AJ27" s="29"/>
      <c r="AK27" s="29"/>
      <c r="AL27" s="29"/>
      <c r="AM27" s="29"/>
    </row>
    <row r="28" spans="1:39" s="5" customFormat="1" ht="27.6">
      <c r="A28" s="3">
        <f t="shared" si="0"/>
        <v>22</v>
      </c>
      <c r="B28" s="706">
        <f>'תקציב אגף שאיפה  2020 '!B28</f>
        <v>1971</v>
      </c>
      <c r="C28" s="87" t="str">
        <f>'תקציב אגף שאיפה  2020 '!C28</f>
        <v>פיתוח חורשת נוף ים</v>
      </c>
      <c r="D28" s="4">
        <f>'תקציב אגף שאיפה  2020 '!D28</f>
        <v>500000</v>
      </c>
      <c r="E28" s="4">
        <f>'תקציב אגף שאיפה  2020 '!E28</f>
        <v>500000</v>
      </c>
      <c r="F28" s="4">
        <f>'תקציב אגף שאיפה  2020 '!F28</f>
        <v>0</v>
      </c>
      <c r="G28" s="4">
        <f>'תקציב אגף שאיפה  2020 '!G28</f>
        <v>500000</v>
      </c>
      <c r="H28" s="4">
        <f>'תקציב אגף שאיפה  2020 '!H28</f>
        <v>235730.91</v>
      </c>
      <c r="I28" s="4">
        <f>'תקציב אגף שאיפה  2020 '!I28</f>
        <v>0</v>
      </c>
      <c r="J28" s="4">
        <f>'תקציב אגף שאיפה  2020 '!J28</f>
        <v>0</v>
      </c>
      <c r="K28" s="4">
        <f>'תקציב אגף שאיפה  2020 '!K28</f>
        <v>0</v>
      </c>
      <c r="L28" s="4">
        <f>'תקציב אגף שאיפה  2020 '!L28</f>
        <v>235730.91</v>
      </c>
      <c r="M28" s="4">
        <f>'תקציב אגף שאיפה  2020 '!M28</f>
        <v>264269.08999999997</v>
      </c>
      <c r="N28" s="4">
        <f>'תקציב אגף שאיפה  2020 '!N28</f>
        <v>0</v>
      </c>
      <c r="O28" s="4">
        <f>'תקציב אגף שאיפה  2020 '!O28</f>
        <v>0</v>
      </c>
      <c r="P28" s="4">
        <f>'תקציב אגף שאיפה  2020 '!P28</f>
        <v>264269.08999999997</v>
      </c>
      <c r="Q28" s="4">
        <f>'תקציב אגף שאיפה  2020 '!Q28</f>
        <v>0</v>
      </c>
      <c r="R28" s="4">
        <f>'תקציב אגף שאיפה  2020 '!R28</f>
        <v>0</v>
      </c>
      <c r="S28" s="4">
        <f>'תקציב אגף שאיפה  2020 '!S28</f>
        <v>0</v>
      </c>
      <c r="T28" s="4">
        <f>'תקציב אגף שאיפה  2020 '!T28</f>
        <v>0</v>
      </c>
      <c r="U28" s="4">
        <f>'תקציב אגף שאיפה  2020 '!U28</f>
        <v>0</v>
      </c>
      <c r="V28" s="4">
        <f>'תקציב אגף שאיפה  2020 '!V28</f>
        <v>0</v>
      </c>
      <c r="W28" s="4">
        <f>'תקציב אגף שאיפה  2020 '!W28</f>
        <v>0</v>
      </c>
      <c r="X28" s="4">
        <f>'תקציב אגף שאיפה  2020 '!X28</f>
        <v>0</v>
      </c>
      <c r="Y28" s="4">
        <f>'תקציב אגף שאיפה  2020 '!Y28</f>
        <v>0</v>
      </c>
      <c r="Z28" s="4">
        <f>'תקציב אגף שאיפה  2020 '!Z28</f>
        <v>0</v>
      </c>
      <c r="AA28" s="87" t="str">
        <f>'תקציב אגף שאיפה  2020 '!AA28</f>
        <v>עבודות במתחם מתקני הכושר:החלפת חול,דשא סינטטי. החלפת מתקני משחק וגידור.</v>
      </c>
      <c r="AB28" s="706">
        <f>'תקציב אגף שאיפה  2020 '!AB28</f>
        <v>746000</v>
      </c>
      <c r="AC28" s="210"/>
      <c r="AD28" s="392"/>
      <c r="AE28" s="392"/>
      <c r="AF28" s="330"/>
      <c r="AG28" s="333"/>
      <c r="AH28" s="28"/>
      <c r="AI28" s="191"/>
      <c r="AJ28" s="28"/>
      <c r="AK28" s="29"/>
      <c r="AL28" s="29"/>
      <c r="AM28" s="29"/>
    </row>
    <row r="29" spans="1:39" s="5" customFormat="1" ht="55.2">
      <c r="A29" s="3">
        <f t="shared" si="0"/>
        <v>23</v>
      </c>
      <c r="B29" s="706">
        <f>'תקציב אגף שאיפה  2020 '!B29</f>
        <v>1973</v>
      </c>
      <c r="C29" s="87" t="str">
        <f>'תקציב אגף שאיפה  2020 '!C29</f>
        <v>שילוט ברחבי העיר</v>
      </c>
      <c r="D29" s="4">
        <f>'תקציב אגף שאיפה  2020 '!D29</f>
        <v>1800000</v>
      </c>
      <c r="E29" s="4">
        <f>'תקציב אגף שאיפה  2020 '!E29</f>
        <v>1800000</v>
      </c>
      <c r="F29" s="4">
        <f>'תקציב אגף שאיפה  2020 '!F29</f>
        <v>0</v>
      </c>
      <c r="G29" s="4">
        <f>'תקציב אגף שאיפה  2020 '!G29</f>
        <v>900000</v>
      </c>
      <c r="H29" s="4">
        <f>'תקציב אגף שאיפה  2020 '!H29</f>
        <v>445953.15</v>
      </c>
      <c r="I29" s="4">
        <f>'תקציב אגף שאיפה  2020 '!I29</f>
        <v>0</v>
      </c>
      <c r="J29" s="4">
        <f>'תקציב אגף שאיפה  2020 '!J29</f>
        <v>148006.12</v>
      </c>
      <c r="K29" s="4">
        <f>'תקציב אגף שאיפה  2020 '!K29</f>
        <v>148006.12</v>
      </c>
      <c r="L29" s="4">
        <f>'תקציב אגף שאיפה  2020 '!L29</f>
        <v>593959.27</v>
      </c>
      <c r="M29" s="4">
        <f>'תקציב אגף שאיפה  2020 '!M29</f>
        <v>306040.73</v>
      </c>
      <c r="N29" s="4">
        <f>'תקציב אגף שאיפה  2020 '!N29</f>
        <v>100000</v>
      </c>
      <c r="O29" s="4">
        <f>'תקציב אגף שאיפה  2020 '!O29</f>
        <v>800000</v>
      </c>
      <c r="P29" s="4">
        <f>'תקציב אגף שאיפה  2020 '!P29</f>
        <v>306040.73</v>
      </c>
      <c r="Q29" s="4">
        <f>'תקציב אגף שאיפה  2020 '!Q29</f>
        <v>0</v>
      </c>
      <c r="R29" s="4">
        <f>'תקציב אגף שאיפה  2020 '!R29</f>
        <v>0</v>
      </c>
      <c r="S29" s="4">
        <f>'תקציב אגף שאיפה  2020 '!S29</f>
        <v>0</v>
      </c>
      <c r="T29" s="4">
        <f>'תקציב אגף שאיפה  2020 '!T29</f>
        <v>0</v>
      </c>
      <c r="U29" s="4">
        <f>'תקציב אגף שאיפה  2020 '!U29</f>
        <v>100000</v>
      </c>
      <c r="V29" s="4">
        <f>'תקציב אגף שאיפה  2020 '!V29</f>
        <v>0</v>
      </c>
      <c r="W29" s="4">
        <f>'תקציב אגף שאיפה  2020 '!W29</f>
        <v>100000</v>
      </c>
      <c r="X29" s="4">
        <f>'תקציב אגף שאיפה  2020 '!X29</f>
        <v>0</v>
      </c>
      <c r="Y29" s="4">
        <f>'תקציב אגף שאיפה  2020 '!Y29</f>
        <v>0</v>
      </c>
      <c r="Z29" s="4">
        <f>'תקציב אגף שאיפה  2020 '!Z29</f>
        <v>0</v>
      </c>
      <c r="AA29" s="87" t="str">
        <f>'תקציב אגף שאיפה  2020 '!AA29</f>
        <v>רכישה והתקנת שילוט מסוגים שונים ברחבי העיר: שלטי רחוב, מספור על הבתים, שלטי הכוונה למוסדות מקומיים ואזוריים, שלטי כניסה לשכונות וכו'.</v>
      </c>
      <c r="AB29" s="706">
        <f>'תקציב אגף שאיפה  2020 '!AB29</f>
        <v>742000</v>
      </c>
      <c r="AC29" s="210"/>
      <c r="AD29" s="392"/>
      <c r="AE29" s="392"/>
      <c r="AF29" s="330"/>
      <c r="AG29" s="333"/>
      <c r="AH29" s="28"/>
      <c r="AI29" s="191"/>
      <c r="AJ29" s="28"/>
      <c r="AK29" s="29"/>
      <c r="AL29" s="29"/>
      <c r="AM29" s="29"/>
    </row>
    <row r="30" spans="1:39" s="5" customFormat="1" ht="27.6">
      <c r="A30" s="3">
        <f t="shared" si="0"/>
        <v>24</v>
      </c>
      <c r="B30" s="706">
        <f>'תקציב אגף שאיפה  2020 '!B30</f>
        <v>1989</v>
      </c>
      <c r="C30" s="87" t="str">
        <f>'תקציב אגף שאיפה  2020 '!C30</f>
        <v>פיתוח נופי דרך ירושלים כביש 531</v>
      </c>
      <c r="D30" s="4">
        <f>'תקציב אגף שאיפה  2020 '!D30</f>
        <v>860000</v>
      </c>
      <c r="E30" s="4">
        <f>'תקציב אגף שאיפה  2020 '!E30</f>
        <v>860000</v>
      </c>
      <c r="F30" s="4">
        <f>'תקציב אגף שאיפה  2020 '!F30</f>
        <v>0</v>
      </c>
      <c r="G30" s="4">
        <f>'תקציב אגף שאיפה  2020 '!G30</f>
        <v>655000</v>
      </c>
      <c r="H30" s="4">
        <f>'תקציב אגף שאיפה  2020 '!H30</f>
        <v>542461.30000000005</v>
      </c>
      <c r="I30" s="4">
        <f>'תקציב אגף שאיפה  2020 '!I30</f>
        <v>0</v>
      </c>
      <c r="J30" s="4">
        <f>'תקציב אגף שאיפה  2020 '!J30</f>
        <v>0</v>
      </c>
      <c r="K30" s="4">
        <f>'תקציב אגף שאיפה  2020 '!K30</f>
        <v>0</v>
      </c>
      <c r="L30" s="4">
        <f>'תקציב אגף שאיפה  2020 '!L30</f>
        <v>542461.30000000005</v>
      </c>
      <c r="M30" s="4">
        <f>'תקציב אגף שאיפה  2020 '!M30</f>
        <v>112538.69999999995</v>
      </c>
      <c r="N30" s="4">
        <f>'תקציב אגף שאיפה  2020 '!N30</f>
        <v>205000</v>
      </c>
      <c r="O30" s="4">
        <f>'תקציב אגף שאיפה  2020 '!O30</f>
        <v>0</v>
      </c>
      <c r="P30" s="4">
        <f>'תקציב אגף שאיפה  2020 '!P30</f>
        <v>112538.69999999995</v>
      </c>
      <c r="Q30" s="4">
        <f>'תקציב אגף שאיפה  2020 '!Q30</f>
        <v>205000</v>
      </c>
      <c r="R30" s="4">
        <f>'תקציב אגף שאיפה  2020 '!R30</f>
        <v>0</v>
      </c>
      <c r="S30" s="4">
        <f>'תקציב אגף שאיפה  2020 '!S30</f>
        <v>205000</v>
      </c>
      <c r="T30" s="4">
        <f>'תקציב אגף שאיפה  2020 '!T30</f>
        <v>205000</v>
      </c>
      <c r="U30" s="4">
        <f>'תקציב אגף שאיפה  2020 '!U30</f>
        <v>0</v>
      </c>
      <c r="V30" s="4">
        <f>'תקציב אגף שאיפה  2020 '!V30</f>
        <v>0</v>
      </c>
      <c r="W30" s="4">
        <f>'תקציב אגף שאיפה  2020 '!W30</f>
        <v>0</v>
      </c>
      <c r="X30" s="4">
        <f>'תקציב אגף שאיפה  2020 '!X30</f>
        <v>0</v>
      </c>
      <c r="Y30" s="4">
        <f>'תקציב אגף שאיפה  2020 '!Y30</f>
        <v>0</v>
      </c>
      <c r="Z30" s="4">
        <f>'תקציב אגף שאיפה  2020 '!Z30</f>
        <v>0</v>
      </c>
      <c r="AA30" s="87" t="str">
        <f>'תקציב אגף שאיפה  2020 '!AA30</f>
        <v>עבודות פיתוח השטח בין שכונת יד התשעה לקיר האקוסטי של כביש 531, כולל פיתוח השצ"פ.</v>
      </c>
      <c r="AB30" s="706">
        <f>'תקציב אגף שאיפה  2020 '!AB30</f>
        <v>746000</v>
      </c>
      <c r="AC30" s="210"/>
      <c r="AD30" s="392"/>
      <c r="AE30" s="392"/>
      <c r="AF30" s="330"/>
      <c r="AG30" s="333"/>
      <c r="AH30" s="28"/>
      <c r="AI30" s="191"/>
      <c r="AJ30" s="28"/>
      <c r="AK30" s="29"/>
      <c r="AL30" s="29"/>
      <c r="AM30" s="29"/>
    </row>
    <row r="31" spans="1:39" s="5" customFormat="1" ht="25.05" customHeight="1">
      <c r="A31" s="3">
        <f t="shared" si="0"/>
        <v>25</v>
      </c>
      <c r="B31" s="706">
        <f>'תקציב אגף שאיפה  2020 '!B31</f>
        <v>2035</v>
      </c>
      <c r="C31" s="87" t="str">
        <f>'תקציב אגף שאיפה  2020 '!C31</f>
        <v>שדרוג גן שלווה</v>
      </c>
      <c r="D31" s="4">
        <f>'תקציב אגף שאיפה  2020 '!D31</f>
        <v>953000</v>
      </c>
      <c r="E31" s="4">
        <f>'תקציב אגף שאיפה  2020 '!E31</f>
        <v>953000</v>
      </c>
      <c r="F31" s="4">
        <f>'תקציב אגף שאיפה  2020 '!F31</f>
        <v>0</v>
      </c>
      <c r="G31" s="4">
        <f>'תקציב אגף שאיפה  2020 '!G31</f>
        <v>953000</v>
      </c>
      <c r="H31" s="4">
        <f>'תקציב אגף שאיפה  2020 '!H31</f>
        <v>157768.07999999999</v>
      </c>
      <c r="I31" s="4">
        <f>'תקציב אגף שאיפה  2020 '!I31</f>
        <v>0</v>
      </c>
      <c r="J31" s="4">
        <f>'תקציב אגף שאיפה  2020 '!J31</f>
        <v>795216.85</v>
      </c>
      <c r="K31" s="4">
        <f>'תקציב אגף שאיפה  2020 '!K31</f>
        <v>795216.85</v>
      </c>
      <c r="L31" s="4">
        <f>'תקציב אגף שאיפה  2020 '!L31</f>
        <v>952984.92999999993</v>
      </c>
      <c r="M31" s="4">
        <f>'תקציב אגף שאיפה  2020 '!M31</f>
        <v>15.070000000065193</v>
      </c>
      <c r="N31" s="4">
        <f>'תקציב אגף שאיפה  2020 '!N31</f>
        <v>0</v>
      </c>
      <c r="O31" s="4">
        <f>'תקציב אגף שאיפה  2020 '!O31</f>
        <v>0</v>
      </c>
      <c r="P31" s="4">
        <f>'תקציב אגף שאיפה  2020 '!P31</f>
        <v>15.070000000065193</v>
      </c>
      <c r="Q31" s="4">
        <f>'תקציב אגף שאיפה  2020 '!Q31</f>
        <v>0</v>
      </c>
      <c r="R31" s="4">
        <f>'תקציב אגף שאיפה  2020 '!R31</f>
        <v>0</v>
      </c>
      <c r="S31" s="4">
        <f>'תקציב אגף שאיפה  2020 '!S31</f>
        <v>0</v>
      </c>
      <c r="T31" s="4">
        <f>'תקציב אגף שאיפה  2020 '!T31</f>
        <v>0</v>
      </c>
      <c r="U31" s="4">
        <f>'תקציב אגף שאיפה  2020 '!U31</f>
        <v>0</v>
      </c>
      <c r="V31" s="4">
        <f>'תקציב אגף שאיפה  2020 '!V31</f>
        <v>0</v>
      </c>
      <c r="W31" s="4">
        <f>'תקציב אגף שאיפה  2020 '!W31</f>
        <v>0</v>
      </c>
      <c r="X31" s="4">
        <f>'תקציב אגף שאיפה  2020 '!X31</f>
        <v>0</v>
      </c>
      <c r="Y31" s="4">
        <f>'תקציב אגף שאיפה  2020 '!Y31</f>
        <v>0</v>
      </c>
      <c r="Z31" s="4">
        <f>'תקציב אגף שאיפה  2020 '!Z31</f>
        <v>0</v>
      </c>
      <c r="AA31" s="87">
        <f>'תקציב אגף שאיפה  2020 '!AA31</f>
        <v>0</v>
      </c>
      <c r="AB31" s="706">
        <f>'תקציב אגף שאיפה  2020 '!AB31</f>
        <v>746000</v>
      </c>
      <c r="AC31" s="210"/>
      <c r="AD31" s="392"/>
      <c r="AE31" s="392"/>
      <c r="AF31" s="330"/>
      <c r="AG31" s="333"/>
      <c r="AH31" s="28"/>
      <c r="AI31" s="191"/>
      <c r="AJ31" s="28"/>
      <c r="AK31" s="28"/>
      <c r="AL31" s="28"/>
      <c r="AM31" s="28"/>
    </row>
    <row r="32" spans="1:39" s="5" customFormat="1" ht="27.6">
      <c r="A32" s="3">
        <f t="shared" si="0"/>
        <v>26</v>
      </c>
      <c r="B32" s="706">
        <f>'תקציב אגף שאיפה  2020 '!B32</f>
        <v>2036</v>
      </c>
      <c r="C32" s="87" t="str">
        <f>'תקציב אגף שאיפה  2020 '!C32</f>
        <v>בי"ס אלון פיתוח חצר אחורית</v>
      </c>
      <c r="D32" s="4">
        <f>'תקציב אגף שאיפה  2020 '!D32</f>
        <v>1120000</v>
      </c>
      <c r="E32" s="4">
        <f>'תקציב אגף שאיפה  2020 '!E32</f>
        <v>1120000</v>
      </c>
      <c r="F32" s="4">
        <f>'תקציב אגף שאיפה  2020 '!F32</f>
        <v>0</v>
      </c>
      <c r="G32" s="4">
        <f>'תקציב אגף שאיפה  2020 '!G32</f>
        <v>1120000</v>
      </c>
      <c r="H32" s="4">
        <f>'תקציב אגף שאיפה  2020 '!H32</f>
        <v>547371.93999999994</v>
      </c>
      <c r="I32" s="4">
        <f>'תקציב אגף שאיפה  2020 '!I32</f>
        <v>0</v>
      </c>
      <c r="J32" s="4">
        <f>'תקציב אגף שאיפה  2020 '!J32</f>
        <v>572579.85</v>
      </c>
      <c r="K32" s="4">
        <f>'תקציב אגף שאיפה  2020 '!K32</f>
        <v>572579.85</v>
      </c>
      <c r="L32" s="4">
        <f>'תקציב אגף שאיפה  2020 '!L32</f>
        <v>1119951.79</v>
      </c>
      <c r="M32" s="4">
        <f>'תקציב אגף שאיפה  2020 '!M32</f>
        <v>48.209999999962747</v>
      </c>
      <c r="N32" s="4">
        <f>'תקציב אגף שאיפה  2020 '!N32</f>
        <v>0</v>
      </c>
      <c r="O32" s="4">
        <f>'תקציב אגף שאיפה  2020 '!O32</f>
        <v>0</v>
      </c>
      <c r="P32" s="4">
        <f>'תקציב אגף שאיפה  2020 '!P32</f>
        <v>48.209999999962747</v>
      </c>
      <c r="Q32" s="4">
        <f>'תקציב אגף שאיפה  2020 '!Q32</f>
        <v>0</v>
      </c>
      <c r="R32" s="4">
        <f>'תקציב אגף שאיפה  2020 '!R32</f>
        <v>0</v>
      </c>
      <c r="S32" s="4">
        <f>'תקציב אגף שאיפה  2020 '!S32</f>
        <v>0</v>
      </c>
      <c r="T32" s="4">
        <f>'תקציב אגף שאיפה  2020 '!T32</f>
        <v>0</v>
      </c>
      <c r="U32" s="4">
        <f>'תקציב אגף שאיפה  2020 '!U32</f>
        <v>0</v>
      </c>
      <c r="V32" s="4">
        <f>'תקציב אגף שאיפה  2020 '!V32</f>
        <v>0</v>
      </c>
      <c r="W32" s="4">
        <f>'תקציב אגף שאיפה  2020 '!W32</f>
        <v>0</v>
      </c>
      <c r="X32" s="4">
        <f>'תקציב אגף שאיפה  2020 '!X32</f>
        <v>0</v>
      </c>
      <c r="Y32" s="4">
        <f>'תקציב אגף שאיפה  2020 '!Y32</f>
        <v>0</v>
      </c>
      <c r="Z32" s="4">
        <f>'תקציב אגף שאיפה  2020 '!Z32</f>
        <v>0</v>
      </c>
      <c r="AA32" s="87" t="str">
        <f>'תקציב אגף שאיפה  2020 '!AA32</f>
        <v>עבודות פיתוח ושדרוג החצר האחורית במתחם בי"ס אלון כולל הצללה. העבודות הסתיימו.</v>
      </c>
      <c r="AB32" s="706">
        <f>'תקציב אגף שאיפה  2020 '!AB32</f>
        <v>810000</v>
      </c>
      <c r="AC32" s="210"/>
      <c r="AD32" s="392"/>
      <c r="AE32" s="392"/>
      <c r="AF32" s="330"/>
      <c r="AG32" s="333"/>
      <c r="AH32" s="28"/>
      <c r="AI32" s="191"/>
      <c r="AJ32" s="28"/>
      <c r="AK32" s="28"/>
      <c r="AL32" s="28"/>
      <c r="AM32" s="28"/>
    </row>
    <row r="33" spans="1:39" s="5" customFormat="1" ht="41.4">
      <c r="A33" s="3">
        <f t="shared" si="0"/>
        <v>27</v>
      </c>
      <c r="B33" s="706">
        <f>'תקציב אגף שאיפה  2020 '!B33</f>
        <v>2037</v>
      </c>
      <c r="C33" s="87" t="str">
        <f>'תקציב אגף שאיפה  2020 '!C33</f>
        <v xml:space="preserve">הקמת פינות מיחזור וגזם ברחבי העיר </v>
      </c>
      <c r="D33" s="4">
        <f>'תקציב אגף שאיפה  2020 '!D33</f>
        <v>5000000</v>
      </c>
      <c r="E33" s="4">
        <f>'תקציב אגף שאיפה  2020 '!E33</f>
        <v>5000000</v>
      </c>
      <c r="F33" s="4">
        <f>'תקציב אגף שאיפה  2020 '!F33</f>
        <v>0</v>
      </c>
      <c r="G33" s="4">
        <f>'תקציב אגף שאיפה  2020 '!G33</f>
        <v>800000</v>
      </c>
      <c r="H33" s="4">
        <f>'תקציב אגף שאיפה  2020 '!H33</f>
        <v>188343.37</v>
      </c>
      <c r="I33" s="4">
        <f>'תקציב אגף שאיפה  2020 '!I33</f>
        <v>0</v>
      </c>
      <c r="J33" s="4">
        <f>'תקציב אגף שאיפה  2020 '!J33</f>
        <v>389396.11</v>
      </c>
      <c r="K33" s="4">
        <f>'תקציב אגף שאיפה  2020 '!K33</f>
        <v>389396.11</v>
      </c>
      <c r="L33" s="4">
        <f>'תקציב אגף שאיפה  2020 '!L33</f>
        <v>577739.48</v>
      </c>
      <c r="M33" s="4">
        <f>'תקציב אגף שאיפה  2020 '!M33</f>
        <v>222260.52000000002</v>
      </c>
      <c r="N33" s="4">
        <f>'תקציב אגף שאיפה  2020 '!N33</f>
        <v>400000</v>
      </c>
      <c r="O33" s="4">
        <f>'תקציב אגף שאיפה  2020 '!O33</f>
        <v>3800000</v>
      </c>
      <c r="P33" s="4">
        <f>'תקציב אגף שאיפה  2020 '!P33</f>
        <v>222260.52000000002</v>
      </c>
      <c r="Q33" s="4">
        <f>'תקציב אגף שאיפה  2020 '!Q33</f>
        <v>200000</v>
      </c>
      <c r="R33" s="4">
        <f>'תקציב אגף שאיפה  2020 '!R33</f>
        <v>0</v>
      </c>
      <c r="S33" s="4">
        <f>'תקציב אגף שאיפה  2020 '!S33</f>
        <v>200000</v>
      </c>
      <c r="T33" s="4">
        <f>'תקציב אגף שאיפה  2020 '!T33</f>
        <v>200000</v>
      </c>
      <c r="U33" s="4">
        <f>'תקציב אגף שאיפה  2020 '!U33</f>
        <v>200000</v>
      </c>
      <c r="V33" s="4">
        <f>'תקציב אגף שאיפה  2020 '!V33</f>
        <v>200000</v>
      </c>
      <c r="W33" s="4">
        <f>'תקציב אגף שאיפה  2020 '!W33</f>
        <v>0</v>
      </c>
      <c r="X33" s="4">
        <f>'תקציב אגף שאיפה  2020 '!X33</f>
        <v>0</v>
      </c>
      <c r="Y33" s="4">
        <f>'תקציב אגף שאיפה  2020 '!Y33</f>
        <v>0</v>
      </c>
      <c r="Z33" s="4">
        <f>'תקציב אגף שאיפה  2020 '!Z33</f>
        <v>0</v>
      </c>
      <c r="AA33" s="87" t="str">
        <f>'תקציב אגף שאיפה  2020 '!AA33</f>
        <v>הקמת פינות מיחזור ברחבי העיר (פינות המרכזות מיכלי אצירה לסוגים שונים של פסולת כגון: בקבוקים, זכוכית, נייר, אריזות ועוד).</v>
      </c>
      <c r="AB33" s="706">
        <f>'תקציב אגף שאיפה  2020 '!AB33</f>
        <v>870000</v>
      </c>
      <c r="AC33" s="210"/>
      <c r="AD33" s="392"/>
      <c r="AE33" s="392"/>
      <c r="AF33" s="330"/>
      <c r="AG33" s="333"/>
      <c r="AH33" s="28"/>
      <c r="AI33" s="191"/>
      <c r="AJ33" s="28"/>
      <c r="AK33" s="29"/>
      <c r="AL33" s="29"/>
      <c r="AM33" s="29"/>
    </row>
    <row r="34" spans="1:39" s="5" customFormat="1" ht="55.2">
      <c r="A34" s="3">
        <f t="shared" si="0"/>
        <v>28</v>
      </c>
      <c r="B34" s="706">
        <f>'תקציב אגף שאיפה  2020 '!B34</f>
        <v>2038</v>
      </c>
      <c r="C34" s="87" t="str">
        <f>'תקציב אגף שאיפה  2020 '!C34</f>
        <v xml:space="preserve">הסדרת שטחי מוס"ח ברחבי העיר </v>
      </c>
      <c r="D34" s="4">
        <f>'תקציב אגף שאיפה  2020 '!D34</f>
        <v>3750000</v>
      </c>
      <c r="E34" s="4">
        <f>'תקציב אגף שאיפה  2020 '!E34</f>
        <v>2250000</v>
      </c>
      <c r="F34" s="4">
        <f>'תקציב אגף שאיפה  2020 '!F34</f>
        <v>1500000</v>
      </c>
      <c r="G34" s="4">
        <f>'תקציב אגף שאיפה  2020 '!G34</f>
        <v>2250000</v>
      </c>
      <c r="H34" s="4">
        <f>'תקציב אגף שאיפה  2020 '!H34</f>
        <v>1369147.68</v>
      </c>
      <c r="I34" s="4">
        <f>'תקציב אגף שאיפה  2020 '!I34</f>
        <v>0</v>
      </c>
      <c r="J34" s="4">
        <f>'תקציב אגף שאיפה  2020 '!J34</f>
        <v>866076.87</v>
      </c>
      <c r="K34" s="4">
        <f>'תקציב אגף שאיפה  2020 '!K34</f>
        <v>866076.87</v>
      </c>
      <c r="L34" s="4">
        <f>'תקציב אגף שאיפה  2020 '!L34</f>
        <v>2235224.5499999998</v>
      </c>
      <c r="M34" s="4">
        <f>'תקציב אגף שאיפה  2020 '!M34</f>
        <v>14775.450000000186</v>
      </c>
      <c r="N34" s="4">
        <f>'תקציב אגף שאיפה  2020 '!N34</f>
        <v>1200000</v>
      </c>
      <c r="O34" s="4">
        <f>'תקציב אגף שאיפה  2020 '!O34</f>
        <v>300000</v>
      </c>
      <c r="P34" s="4">
        <f>'תקציב אגף שאיפה  2020 '!P34</f>
        <v>14775.450000000186</v>
      </c>
      <c r="Q34" s="4">
        <f>'תקציב אגף שאיפה  2020 '!Q34</f>
        <v>0</v>
      </c>
      <c r="R34" s="4">
        <f>'תקציב אגף שאיפה  2020 '!R34</f>
        <v>0</v>
      </c>
      <c r="S34" s="4">
        <f>'תקציב אגף שאיפה  2020 '!S34</f>
        <v>0</v>
      </c>
      <c r="T34" s="4">
        <f>'תקציב אגף שאיפה  2020 '!T34</f>
        <v>0</v>
      </c>
      <c r="U34" s="4">
        <f>'תקציב אגף שאיפה  2020 '!U34</f>
        <v>1200000</v>
      </c>
      <c r="V34" s="4">
        <f>'תקציב אגף שאיפה  2020 '!V34</f>
        <v>1200000</v>
      </c>
      <c r="W34" s="4">
        <f>'תקציב אגף שאיפה  2020 '!W34</f>
        <v>0</v>
      </c>
      <c r="X34" s="4">
        <f>'תקציב אגף שאיפה  2020 '!X34</f>
        <v>0</v>
      </c>
      <c r="Y34" s="4">
        <f>'תקציב אגף שאיפה  2020 '!Y34</f>
        <v>0</v>
      </c>
      <c r="Z34" s="4">
        <f>'תקציב אגף שאיפה  2020 '!Z34</f>
        <v>0</v>
      </c>
      <c r="AA34" s="87" t="str">
        <f>'תקציב אגף שאיפה  2020 '!AA34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B34" s="706">
        <f>'תקציב אגף שאיפה  2020 '!AB34</f>
        <v>810000</v>
      </c>
      <c r="AC34" s="210"/>
      <c r="AD34" s="392"/>
      <c r="AE34" s="392"/>
      <c r="AF34" s="330"/>
      <c r="AG34" s="333"/>
      <c r="AH34" s="28"/>
      <c r="AI34" s="191"/>
      <c r="AJ34" s="28"/>
      <c r="AK34" s="29"/>
      <c r="AL34" s="29"/>
      <c r="AM34" s="29"/>
    </row>
    <row r="35" spans="1:39" s="5" customFormat="1" ht="35.1" customHeight="1">
      <c r="A35" s="3">
        <f t="shared" si="0"/>
        <v>29</v>
      </c>
      <c r="B35" s="706">
        <f>'תקציב אגף שאיפה  2020 '!B35</f>
        <v>2039</v>
      </c>
      <c r="C35" s="87" t="str">
        <f>'תקציב אגף שאיפה  2020 '!C35</f>
        <v>הצבת קולרים ברחבי העיר</v>
      </c>
      <c r="D35" s="4">
        <f>'תקציב אגף שאיפה  2020 '!D35</f>
        <v>285000</v>
      </c>
      <c r="E35" s="4">
        <f>'תקציב אגף שאיפה  2020 '!E35</f>
        <v>285000</v>
      </c>
      <c r="F35" s="4">
        <f>'תקציב אגף שאיפה  2020 '!F35</f>
        <v>0</v>
      </c>
      <c r="G35" s="4">
        <f>'תקציב אגף שאיפה  2020 '!G35</f>
        <v>285000</v>
      </c>
      <c r="H35" s="4">
        <f>'תקציב אגף שאיפה  2020 '!H35</f>
        <v>25514.34</v>
      </c>
      <c r="I35" s="4">
        <f>'תקציב אגף שאיפה  2020 '!I35</f>
        <v>0</v>
      </c>
      <c r="J35" s="4">
        <f>'תקציב אגף שאיפה  2020 '!J35</f>
        <v>0</v>
      </c>
      <c r="K35" s="4">
        <f>'תקציב אגף שאיפה  2020 '!K35</f>
        <v>0</v>
      </c>
      <c r="L35" s="4">
        <f>'תקציב אגף שאיפה  2020 '!L35</f>
        <v>25514.34</v>
      </c>
      <c r="M35" s="4">
        <f>'תקציב אגף שאיפה  2020 '!M35</f>
        <v>59485.66</v>
      </c>
      <c r="N35" s="4">
        <f>'תקציב אגף שאיפה  2020 '!N35</f>
        <v>200000</v>
      </c>
      <c r="O35" s="4">
        <f>'תקציב אגף שאיפה  2020 '!O35</f>
        <v>0</v>
      </c>
      <c r="P35" s="4">
        <f>'תקציב אגף שאיפה  2020 '!P35</f>
        <v>259485.66</v>
      </c>
      <c r="Q35" s="4">
        <f>'תקציב אגף שאיפה  2020 '!Q35</f>
        <v>0</v>
      </c>
      <c r="R35" s="4">
        <f>'תקציב אגף שאיפה  2020 '!R35</f>
        <v>0</v>
      </c>
      <c r="S35" s="4">
        <f>'תקציב אגף שאיפה  2020 '!S35</f>
        <v>0</v>
      </c>
      <c r="T35" s="4">
        <f>'תקציב אגף שאיפה  2020 '!T35</f>
        <v>200000</v>
      </c>
      <c r="U35" s="4">
        <f>'תקציב אגף שאיפה  2020 '!U35</f>
        <v>0</v>
      </c>
      <c r="V35" s="4">
        <f>'תקציב אגף שאיפה  2020 '!V35</f>
        <v>0</v>
      </c>
      <c r="W35" s="4">
        <f>'תקציב אגף שאיפה  2020 '!W35</f>
        <v>0</v>
      </c>
      <c r="X35" s="4">
        <f>'תקציב אגף שאיפה  2020 '!X35</f>
        <v>0</v>
      </c>
      <c r="Y35" s="4">
        <f>'תקציב אגף שאיפה  2020 '!Y35</f>
        <v>0</v>
      </c>
      <c r="Z35" s="4">
        <f>'תקציב אגף שאיפה  2020 '!Z35</f>
        <v>0</v>
      </c>
      <c r="AA35" s="87" t="str">
        <f>'תקציב אגף שאיפה  2020 '!AA35</f>
        <v>הצבת מתקני שתייה מקוררים ברחבי העיר לרווחת התושבים.</v>
      </c>
      <c r="AB35" s="706">
        <f>'תקציב אגף שאיפה  2020 '!AB35</f>
        <v>760000</v>
      </c>
      <c r="AC35" s="210"/>
      <c r="AD35" s="392"/>
      <c r="AE35" s="392"/>
      <c r="AF35" s="330"/>
      <c r="AG35" s="333"/>
      <c r="AH35" s="28"/>
      <c r="AI35" s="191"/>
      <c r="AJ35" s="28"/>
      <c r="AK35" s="29"/>
      <c r="AL35" s="29"/>
      <c r="AM35" s="29"/>
    </row>
    <row r="36" spans="1:39" s="5" customFormat="1" ht="27.6">
      <c r="A36" s="3">
        <f t="shared" si="0"/>
        <v>30</v>
      </c>
      <c r="B36" s="706">
        <f>'תקציב אגף שאיפה  2020 '!B36</f>
        <v>2040</v>
      </c>
      <c r="C36" s="87" t="str">
        <f>'תקציב אגף שאיפה  2020 '!C36</f>
        <v>ספורטק חידוש מתחם מתקני משחק</v>
      </c>
      <c r="D36" s="4">
        <f>'תקציב אגף שאיפה  2020 '!D36</f>
        <v>1010000</v>
      </c>
      <c r="E36" s="4">
        <f>'תקציב אגף שאיפה  2020 '!E36</f>
        <v>410000</v>
      </c>
      <c r="F36" s="4">
        <f>'תקציב אגף שאיפה  2020 '!F36</f>
        <v>600000</v>
      </c>
      <c r="G36" s="4">
        <f>'תקציב אגף שאיפה  2020 '!G36</f>
        <v>410000</v>
      </c>
      <c r="H36" s="4">
        <f>'תקציב אגף שאיפה  2020 '!H36</f>
        <v>409998.49</v>
      </c>
      <c r="I36" s="4">
        <f>'תקציב אגף שאיפה  2020 '!I36</f>
        <v>0</v>
      </c>
      <c r="J36" s="4">
        <f>'תקציב אגף שאיפה  2020 '!J36</f>
        <v>0</v>
      </c>
      <c r="K36" s="4">
        <f>'תקציב אגף שאיפה  2020 '!K36</f>
        <v>0</v>
      </c>
      <c r="L36" s="4">
        <f>'תקציב אגף שאיפה  2020 '!L36</f>
        <v>409998.49</v>
      </c>
      <c r="M36" s="4">
        <f>'תקציב אגף שאיפה  2020 '!M36</f>
        <v>1.5100000000093132</v>
      </c>
      <c r="N36" s="4">
        <f>'תקציב אגף שאיפה  2020 '!N36</f>
        <v>500000</v>
      </c>
      <c r="O36" s="4">
        <f>'תקציב אגף שאיפה  2020 '!O36</f>
        <v>100000</v>
      </c>
      <c r="P36" s="4">
        <f>'תקציב אגף שאיפה  2020 '!P36</f>
        <v>1.5100000000093132</v>
      </c>
      <c r="Q36" s="4">
        <f>'תקציב אגף שאיפה  2020 '!Q36</f>
        <v>0</v>
      </c>
      <c r="R36" s="4">
        <f>'תקציב אגף שאיפה  2020 '!R36</f>
        <v>0</v>
      </c>
      <c r="S36" s="4">
        <f>'תקציב אגף שאיפה  2020 '!S36</f>
        <v>0</v>
      </c>
      <c r="T36" s="4">
        <f>'תקציב אגף שאיפה  2020 '!T36</f>
        <v>0</v>
      </c>
      <c r="U36" s="4">
        <f>'תקציב אגף שאיפה  2020 '!U36</f>
        <v>500000</v>
      </c>
      <c r="V36" s="4">
        <f>'תקציב אגף שאיפה  2020 '!V36</f>
        <v>0</v>
      </c>
      <c r="W36" s="4">
        <f>'תקציב אגף שאיפה  2020 '!W36</f>
        <v>500000</v>
      </c>
      <c r="X36" s="4">
        <f>'תקציב אגף שאיפה  2020 '!X36</f>
        <v>0</v>
      </c>
      <c r="Y36" s="4">
        <f>'תקציב אגף שאיפה  2020 '!Y36</f>
        <v>0</v>
      </c>
      <c r="Z36" s="4">
        <f>'תקציב אגף שאיפה  2020 '!Z36</f>
        <v>0</v>
      </c>
      <c r="AA36" s="87" t="str">
        <f>'תקציב אגף שאיפה  2020 '!AA36</f>
        <v>החלפת מתחם ישן ורעוע עשוי מלוחות עץ נרקבים שעומד שעומד לפני פסילת מכון התקנים.</v>
      </c>
      <c r="AB36" s="706">
        <f>'תקציב אגף שאיפה  2020 '!AB36</f>
        <v>829000</v>
      </c>
      <c r="AC36" s="210"/>
      <c r="AD36" s="392"/>
      <c r="AE36" s="392"/>
      <c r="AF36" s="330"/>
      <c r="AG36" s="333"/>
      <c r="AH36" s="28"/>
      <c r="AI36" s="191"/>
      <c r="AJ36" s="28"/>
      <c r="AK36" s="29"/>
      <c r="AL36" s="29"/>
      <c r="AM36" s="29"/>
    </row>
    <row r="37" spans="1:39" s="5" customFormat="1">
      <c r="A37" s="3">
        <f t="shared" si="0"/>
        <v>31</v>
      </c>
      <c r="B37" s="706">
        <f>'תקציב אגף שאיפה  2020 '!B37</f>
        <v>2041</v>
      </c>
      <c r="C37" s="87" t="str">
        <f>'תקציב אגף שאיפה  2020 '!C37</f>
        <v>פרויקט מומה בן גוריון,סמדר</v>
      </c>
      <c r="D37" s="4">
        <f>'תקציב אגף שאיפה  2020 '!D37</f>
        <v>650000</v>
      </c>
      <c r="E37" s="4">
        <f>'תקציב אגף שאיפה  2020 '!E37</f>
        <v>650000</v>
      </c>
      <c r="F37" s="4">
        <f>'תקציב אגף שאיפה  2020 '!F37</f>
        <v>0</v>
      </c>
      <c r="G37" s="4">
        <f>'תקציב אגף שאיפה  2020 '!G37</f>
        <v>650000</v>
      </c>
      <c r="H37" s="4">
        <f>'תקציב אגף שאיפה  2020 '!H37</f>
        <v>507921.17</v>
      </c>
      <c r="I37" s="4">
        <f>'תקציב אגף שאיפה  2020 '!I37</f>
        <v>0</v>
      </c>
      <c r="J37" s="4">
        <f>'תקציב אגף שאיפה  2020 '!J37</f>
        <v>98025.24</v>
      </c>
      <c r="K37" s="4">
        <f>'תקציב אגף שאיפה  2020 '!K37</f>
        <v>98025.24</v>
      </c>
      <c r="L37" s="4">
        <f>'תקציב אגף שאיפה  2020 '!L37</f>
        <v>605946.41</v>
      </c>
      <c r="M37" s="4">
        <f>'תקציב אגף שאיפה  2020 '!M37</f>
        <v>44053.589999999967</v>
      </c>
      <c r="N37" s="4">
        <f>'תקציב אגף שאיפה  2020 '!N37</f>
        <v>0</v>
      </c>
      <c r="O37" s="4">
        <f>'תקציב אגף שאיפה  2020 '!O37</f>
        <v>0</v>
      </c>
      <c r="P37" s="4">
        <f>'תקציב אגף שאיפה  2020 '!P37</f>
        <v>44053.589999999967</v>
      </c>
      <c r="Q37" s="4">
        <f>'תקציב אגף שאיפה  2020 '!Q37</f>
        <v>0</v>
      </c>
      <c r="R37" s="4">
        <f>'תקציב אגף שאיפה  2020 '!R37</f>
        <v>0</v>
      </c>
      <c r="S37" s="4">
        <f>'תקציב אגף שאיפה  2020 '!S37</f>
        <v>0</v>
      </c>
      <c r="T37" s="4">
        <f>'תקציב אגף שאיפה  2020 '!T37</f>
        <v>0</v>
      </c>
      <c r="U37" s="4">
        <f>'תקציב אגף שאיפה  2020 '!U37</f>
        <v>0</v>
      </c>
      <c r="V37" s="4">
        <f>'תקציב אגף שאיפה  2020 '!V37</f>
        <v>0</v>
      </c>
      <c r="W37" s="4">
        <f>'תקציב אגף שאיפה  2020 '!W37</f>
        <v>0</v>
      </c>
      <c r="X37" s="4">
        <f>'תקציב אגף שאיפה  2020 '!X37</f>
        <v>0</v>
      </c>
      <c r="Y37" s="4">
        <f>'תקציב אגף שאיפה  2020 '!Y37</f>
        <v>0</v>
      </c>
      <c r="Z37" s="4">
        <f>'תקציב אגף שאיפה  2020 '!Z37</f>
        <v>0</v>
      </c>
      <c r="AA37" s="87" t="str">
        <f>'תקציב אגף שאיפה  2020 '!AA37</f>
        <v xml:space="preserve">לקראת סיום. </v>
      </c>
      <c r="AB37" s="706">
        <f>'תקציב אגף שאיפה  2020 '!AB37</f>
        <v>810000</v>
      </c>
      <c r="AC37" s="210"/>
      <c r="AD37" s="392"/>
      <c r="AE37" s="392"/>
      <c r="AF37" s="330"/>
      <c r="AG37" s="333"/>
      <c r="AH37" s="28"/>
      <c r="AI37" s="191"/>
      <c r="AJ37" s="28"/>
      <c r="AK37" s="29"/>
      <c r="AL37" s="29"/>
      <c r="AM37" s="29"/>
    </row>
    <row r="38" spans="1:39" s="5" customFormat="1" ht="41.4">
      <c r="A38" s="3">
        <f t="shared" si="0"/>
        <v>32</v>
      </c>
      <c r="B38" s="706">
        <f>'תקציב אגף שאיפה  2020 '!B38</f>
        <v>2042</v>
      </c>
      <c r="C38" s="87" t="str">
        <f>'תקציב אגף שאיפה  2020 '!C38</f>
        <v>הרצליה ב' שצ" פ המסילה, מ.מסחרי</v>
      </c>
      <c r="D38" s="4">
        <f>'תקציב אגף שאיפה  2020 '!D38</f>
        <v>740000</v>
      </c>
      <c r="E38" s="4">
        <f>'תקציב אגף שאיפה  2020 '!E38</f>
        <v>740000</v>
      </c>
      <c r="F38" s="4">
        <f>'תקציב אגף שאיפה  2020 '!F38</f>
        <v>0</v>
      </c>
      <c r="G38" s="4">
        <f>'תקציב אגף שאיפה  2020 '!G38</f>
        <v>450000</v>
      </c>
      <c r="H38" s="4">
        <f>'תקציב אגף שאיפה  2020 '!H38</f>
        <v>181745.18</v>
      </c>
      <c r="I38" s="4">
        <f>'תקציב אגף שאיפה  2020 '!I38</f>
        <v>0</v>
      </c>
      <c r="J38" s="4">
        <f>'תקציב אגף שאיפה  2020 '!J38</f>
        <v>45365.82</v>
      </c>
      <c r="K38" s="4">
        <f>'תקציב אגף שאיפה  2020 '!K38</f>
        <v>45365.82</v>
      </c>
      <c r="L38" s="4">
        <f>'תקציב אגף שאיפה  2020 '!L38</f>
        <v>227111</v>
      </c>
      <c r="M38" s="4">
        <f>'תקציב אגף שאיפה  2020 '!M38</f>
        <v>2889</v>
      </c>
      <c r="N38" s="4">
        <f>'תקציב אגף שאיפה  2020 '!N38</f>
        <v>0</v>
      </c>
      <c r="O38" s="4">
        <f>'תקציב אגף שאיפה  2020 '!O38</f>
        <v>510000</v>
      </c>
      <c r="P38" s="4">
        <f>'תקציב אגף שאיפה  2020 '!P38</f>
        <v>222889</v>
      </c>
      <c r="Q38" s="4">
        <f>'תקציב אגף שאיפה  2020 '!Q38</f>
        <v>0</v>
      </c>
      <c r="R38" s="4">
        <f>'תקציב אגף שאיפה  2020 '!R38</f>
        <v>0</v>
      </c>
      <c r="S38" s="4">
        <f>'תקציב אגף שאיפה  2020 '!S38</f>
        <v>0</v>
      </c>
      <c r="T38" s="4">
        <f>'תקציב אגף שאיפה  2020 '!T38</f>
        <v>220000</v>
      </c>
      <c r="U38" s="4">
        <f>'תקציב אגף שאיפה  2020 '!U38</f>
        <v>-220000</v>
      </c>
      <c r="V38" s="4">
        <f>'תקציב אגף שאיפה  2020 '!V38</f>
        <v>-220000</v>
      </c>
      <c r="W38" s="4">
        <f>'תקציב אגף שאיפה  2020 '!W38</f>
        <v>0</v>
      </c>
      <c r="X38" s="4">
        <f>'תקציב אגף שאיפה  2020 '!X38</f>
        <v>0</v>
      </c>
      <c r="Y38" s="4">
        <f>'תקציב אגף שאיפה  2020 '!Y38</f>
        <v>0</v>
      </c>
      <c r="Z38" s="4">
        <f>'תקציב אגף שאיפה  2020 '!Z38</f>
        <v>0</v>
      </c>
      <c r="AA38" s="87" t="str">
        <f>'תקציב אגף שאיפה  2020 '!AA38</f>
        <v>ביצוע שצ"פ רחוב המסילה כולל גידור, הסדרת המרכז המסחרי אל-על נורדאו, עבודות גינון נוספות. העבודות הסתיימו.</v>
      </c>
      <c r="AB38" s="706">
        <f>'תקציב אגף שאיפה  2020 '!AB38</f>
        <v>746000</v>
      </c>
      <c r="AC38" s="210"/>
      <c r="AD38" s="392"/>
      <c r="AE38" s="392"/>
      <c r="AF38" s="330"/>
      <c r="AG38" s="333"/>
      <c r="AH38" s="28"/>
      <c r="AI38" s="191"/>
      <c r="AJ38" s="28"/>
      <c r="AK38" s="29"/>
      <c r="AL38" s="29"/>
      <c r="AM38" s="29"/>
    </row>
    <row r="39" spans="1:39" s="5" customFormat="1" ht="35.1" customHeight="1">
      <c r="A39" s="3">
        <f t="shared" si="0"/>
        <v>33</v>
      </c>
      <c r="B39" s="706">
        <f>'תקציב אגף שאיפה  2020 '!B39</f>
        <v>2066</v>
      </c>
      <c r="C39" s="87" t="str">
        <f>'תקציב אגף שאיפה  2020 '!C39</f>
        <v>סקר טבע עירוני</v>
      </c>
      <c r="D39" s="4">
        <f>'תקציב אגף שאיפה  2020 '!D39</f>
        <v>112500</v>
      </c>
      <c r="E39" s="4">
        <f>'תקציב אגף שאיפה  2020 '!E39</f>
        <v>112500</v>
      </c>
      <c r="F39" s="4">
        <f>'תקציב אגף שאיפה  2020 '!F39</f>
        <v>0</v>
      </c>
      <c r="G39" s="4">
        <f>'תקציב אגף שאיפה  2020 '!G39</f>
        <v>112500</v>
      </c>
      <c r="H39" s="4">
        <f>'תקציב אגף שאיפה  2020 '!H39</f>
        <v>107799</v>
      </c>
      <c r="I39" s="4">
        <f>'תקציב אגף שאיפה  2020 '!I39</f>
        <v>0</v>
      </c>
      <c r="J39" s="4">
        <f>'תקציב אגף שאיפה  2020 '!J39</f>
        <v>4000</v>
      </c>
      <c r="K39" s="4">
        <f>'תקציב אגף שאיפה  2020 '!K39</f>
        <v>4000</v>
      </c>
      <c r="L39" s="4">
        <f>'תקציב אגף שאיפה  2020 '!L39</f>
        <v>111799</v>
      </c>
      <c r="M39" s="4">
        <f>'תקציב אגף שאיפה  2020 '!M39</f>
        <v>701</v>
      </c>
      <c r="N39" s="4">
        <f>'תקציב אגף שאיפה  2020 '!N39</f>
        <v>0</v>
      </c>
      <c r="O39" s="4">
        <f>'תקציב אגף שאיפה  2020 '!O39</f>
        <v>0</v>
      </c>
      <c r="P39" s="4">
        <f>'תקציב אגף שאיפה  2020 '!P39</f>
        <v>701</v>
      </c>
      <c r="Q39" s="4">
        <f>'תקציב אגף שאיפה  2020 '!Q39</f>
        <v>0</v>
      </c>
      <c r="R39" s="4">
        <f>'תקציב אגף שאיפה  2020 '!R39</f>
        <v>0</v>
      </c>
      <c r="S39" s="4">
        <f>'תקציב אגף שאיפה  2020 '!S39</f>
        <v>0</v>
      </c>
      <c r="T39" s="4">
        <f>'תקציב אגף שאיפה  2020 '!T39</f>
        <v>0</v>
      </c>
      <c r="U39" s="4">
        <f>'תקציב אגף שאיפה  2020 '!U39</f>
        <v>0</v>
      </c>
      <c r="V39" s="4">
        <f>'תקציב אגף שאיפה  2020 '!V39</f>
        <v>0</v>
      </c>
      <c r="W39" s="4">
        <f>'תקציב אגף שאיפה  2020 '!W39</f>
        <v>0</v>
      </c>
      <c r="X39" s="4">
        <f>'תקציב אגף שאיפה  2020 '!X39</f>
        <v>0</v>
      </c>
      <c r="Y39" s="4">
        <f>'תקציב אגף שאיפה  2020 '!Y39</f>
        <v>0</v>
      </c>
      <c r="Z39" s="4">
        <f>'תקציב אגף שאיפה  2020 '!Z39</f>
        <v>0</v>
      </c>
      <c r="AA39" s="87">
        <f>'תקציב אגף שאיפה  2020 '!AA39</f>
        <v>0</v>
      </c>
      <c r="AB39" s="706">
        <f>'תקציב אגף שאיפה  2020 '!AB39</f>
        <v>732000</v>
      </c>
      <c r="AC39" s="210"/>
      <c r="AD39" s="392"/>
      <c r="AE39" s="392"/>
      <c r="AF39" s="330"/>
      <c r="AG39" s="332"/>
      <c r="AH39" s="55"/>
      <c r="AI39" s="28"/>
      <c r="AJ39" s="28"/>
      <c r="AK39" s="29"/>
      <c r="AL39" s="29"/>
      <c r="AM39" s="29"/>
    </row>
    <row r="40" spans="1:39" s="5" customFormat="1" ht="27.6">
      <c r="A40" s="3">
        <f t="shared" si="0"/>
        <v>34</v>
      </c>
      <c r="B40" s="706">
        <f>'תקציב אגף שאיפה  2020 '!B40</f>
        <v>2075</v>
      </c>
      <c r="C40" s="87" t="str">
        <f>'תקציב אגף שאיפה  2020 '!C40</f>
        <v>הקמה שדרוג סככות המתנה אוטובוס</v>
      </c>
      <c r="D40" s="4">
        <f>'תקציב אגף שאיפה  2020 '!D40</f>
        <v>800000</v>
      </c>
      <c r="E40" s="4">
        <f>'תקציב אגף שאיפה  2020 '!E40</f>
        <v>800000</v>
      </c>
      <c r="F40" s="4">
        <f>'תקציב אגף שאיפה  2020 '!F40</f>
        <v>0</v>
      </c>
      <c r="G40" s="4">
        <f>'תקציב אגף שאיפה  2020 '!G40</f>
        <v>772200</v>
      </c>
      <c r="H40" s="4">
        <f>'תקציב אגף שאיפה  2020 '!H40</f>
        <v>292859</v>
      </c>
      <c r="I40" s="4">
        <f>'תקציב אגף שאיפה  2020 '!I40</f>
        <v>0</v>
      </c>
      <c r="J40" s="4">
        <f>'תקציב אגף שאיפה  2020 '!J40</f>
        <v>4866.01</v>
      </c>
      <c r="K40" s="4">
        <f>'תקציב אגף שאיפה  2020 '!K40</f>
        <v>4866.01</v>
      </c>
      <c r="L40" s="4">
        <f>'תקציב אגף שאיפה  2020 '!L40</f>
        <v>297725.01</v>
      </c>
      <c r="M40" s="4">
        <f>'תקציב אגף שאיפה  2020 '!M40</f>
        <v>474474.99</v>
      </c>
      <c r="N40" s="4">
        <f>'תקציב אגף שאיפה  2020 '!N40</f>
        <v>0</v>
      </c>
      <c r="O40" s="4">
        <f>'תקציב אגף שאיפה  2020 '!O40</f>
        <v>27800</v>
      </c>
      <c r="P40" s="4">
        <f>'תקציב אגף שאיפה  2020 '!P40</f>
        <v>474474.99</v>
      </c>
      <c r="Q40" s="4">
        <f>'תקציב אגף שאיפה  2020 '!Q40</f>
        <v>0</v>
      </c>
      <c r="R40" s="4">
        <f>'תקציב אגף שאיפה  2020 '!R40</f>
        <v>0</v>
      </c>
      <c r="S40" s="4">
        <f>'תקציב אגף שאיפה  2020 '!S40</f>
        <v>0</v>
      </c>
      <c r="T40" s="4">
        <f>'תקציב אגף שאיפה  2020 '!T40</f>
        <v>0</v>
      </c>
      <c r="U40" s="4">
        <f>'תקציב אגף שאיפה  2020 '!U40</f>
        <v>0</v>
      </c>
      <c r="V40" s="4">
        <f>'תקציב אגף שאיפה  2020 '!V40</f>
        <v>0</v>
      </c>
      <c r="W40" s="4">
        <f>'תקציב אגף שאיפה  2020 '!W40</f>
        <v>0</v>
      </c>
      <c r="X40" s="4">
        <f>'תקציב אגף שאיפה  2020 '!X40</f>
        <v>0</v>
      </c>
      <c r="Y40" s="4">
        <f>'תקציב אגף שאיפה  2020 '!Y40</f>
        <v>0</v>
      </c>
      <c r="Z40" s="4">
        <f>'תקציב אגף שאיפה  2020 '!Z40</f>
        <v>0</v>
      </c>
      <c r="AA40" s="87" t="str">
        <f>'תקציב אגף שאיפה  2020 '!AA40</f>
        <v xml:space="preserve">הקמה ושדרוג סככות המתנה לאוטובוס. מימון מ. התחבורה. </v>
      </c>
      <c r="AB40" s="706">
        <f>'תקציב אגף שאיפה  2020 '!AB40</f>
        <v>742000</v>
      </c>
      <c r="AC40" s="210"/>
      <c r="AD40" s="392"/>
      <c r="AE40" s="392"/>
      <c r="AF40" s="330"/>
      <c r="AG40" s="333"/>
      <c r="AH40" s="28"/>
      <c r="AI40" s="191"/>
      <c r="AJ40" s="28"/>
      <c r="AK40" s="29"/>
      <c r="AL40" s="29"/>
      <c r="AM40" s="29"/>
    </row>
    <row r="41" spans="1:39" s="5" customFormat="1" ht="55.2">
      <c r="A41" s="3">
        <f t="shared" si="0"/>
        <v>35</v>
      </c>
      <c r="B41" s="706">
        <f>'תקציב אגף שאיפה  2020 '!B41</f>
        <v>2087</v>
      </c>
      <c r="C41" s="87" t="str">
        <f>'תקציב אגף שאיפה  2020 '!C41</f>
        <v xml:space="preserve">ארלוזרוב - דרך ירושלים </v>
      </c>
      <c r="D41" s="4">
        <f>'תקציב אגף שאיפה  2020 '!D41</f>
        <v>1200000</v>
      </c>
      <c r="E41" s="4">
        <f>'תקציב אגף שאיפה  2020 '!E41</f>
        <v>1200000</v>
      </c>
      <c r="F41" s="4">
        <f>'תקציב אגף שאיפה  2020 '!F41</f>
        <v>0</v>
      </c>
      <c r="G41" s="4">
        <f>'תקציב אגף שאיפה  2020 '!G41</f>
        <v>750000</v>
      </c>
      <c r="H41" s="4">
        <f>'תקציב אגף שאיפה  2020 '!H41</f>
        <v>128147.79</v>
      </c>
      <c r="I41" s="4">
        <f>'תקציב אגף שאיפה  2020 '!I41</f>
        <v>0</v>
      </c>
      <c r="J41" s="4">
        <f>'תקציב אגף שאיפה  2020 '!J41</f>
        <v>490942.62</v>
      </c>
      <c r="K41" s="4">
        <f>'תקציב אגף שאיפה  2020 '!K41</f>
        <v>490942.62</v>
      </c>
      <c r="L41" s="4">
        <f>'תקציב אגף שאיפה  2020 '!L41</f>
        <v>619090.41</v>
      </c>
      <c r="M41" s="4">
        <f>'תקציב אגף שאיפה  2020 '!M41</f>
        <v>130909.58999999997</v>
      </c>
      <c r="N41" s="4">
        <f>'תקציב אגף שאיפה  2020 '!N41</f>
        <v>450000</v>
      </c>
      <c r="O41" s="4">
        <f>'תקציב אגף שאיפה  2020 '!O41</f>
        <v>0</v>
      </c>
      <c r="P41" s="4">
        <f>'תקציב אגף שאיפה  2020 '!P41</f>
        <v>130909.58999999997</v>
      </c>
      <c r="Q41" s="4">
        <f>'תקציב אגף שאיפה  2020 '!Q41</f>
        <v>450000</v>
      </c>
      <c r="R41" s="4">
        <f>'תקציב אגף שאיפה  2020 '!R41</f>
        <v>0</v>
      </c>
      <c r="S41" s="4">
        <f>'תקציב אגף שאיפה  2020 '!S41</f>
        <v>450000</v>
      </c>
      <c r="T41" s="4">
        <f>'תקציב אגף שאיפה  2020 '!T41</f>
        <v>450000</v>
      </c>
      <c r="U41" s="4">
        <f>'תקציב אגף שאיפה  2020 '!U41</f>
        <v>0</v>
      </c>
      <c r="V41" s="4">
        <f>'תקציב אגף שאיפה  2020 '!V41</f>
        <v>0</v>
      </c>
      <c r="W41" s="4">
        <f>'תקציב אגף שאיפה  2020 '!W41</f>
        <v>0</v>
      </c>
      <c r="X41" s="4">
        <f>'תקציב אגף שאיפה  2020 '!X41</f>
        <v>0</v>
      </c>
      <c r="Y41" s="4">
        <f>'תקציב אגף שאיפה  2020 '!Y41</f>
        <v>0</v>
      </c>
      <c r="Z41" s="4">
        <f>'תקציב אגף שאיפה  2020 '!Z41</f>
        <v>0</v>
      </c>
      <c r="AA41" s="87" t="str">
        <f>'תקציב אגף שאיפה  2020 '!AA41</f>
        <v>הסדרת השטח לאורך רח' ארלוזרוב קטע: בית"ר-דרך ירושלים. ייצוב פני הקרקע למניעת סחף והסדרת שיפועים וניקוזים, הסדרת המדרכה וגינון והשקייה.</v>
      </c>
      <c r="AB41" s="706">
        <f>'תקציב אגף שאיפה  2020 '!AB41</f>
        <v>746000</v>
      </c>
      <c r="AC41" s="210"/>
      <c r="AD41" s="392"/>
      <c r="AE41" s="330"/>
      <c r="AF41" s="330"/>
      <c r="AG41" s="333"/>
      <c r="AH41" s="28"/>
      <c r="AI41" s="191"/>
      <c r="AJ41" s="28"/>
      <c r="AK41" s="29"/>
      <c r="AL41" s="29"/>
      <c r="AM41" s="29"/>
    </row>
    <row r="42" spans="1:39" s="5" customFormat="1" ht="41.4">
      <c r="A42" s="3">
        <f t="shared" si="0"/>
        <v>36</v>
      </c>
      <c r="B42" s="706">
        <f>'תקציב אגף שאיפה  2020 '!B42</f>
        <v>2088</v>
      </c>
      <c r="C42" s="87" t="str">
        <f>'תקציב אגף שאיפה  2020 '!C42</f>
        <v xml:space="preserve">שדרוג גן דפנה אילת </v>
      </c>
      <c r="D42" s="4">
        <f>'תקציב אגף שאיפה  2020 '!D42</f>
        <v>1600000</v>
      </c>
      <c r="E42" s="4">
        <f>'תקציב אגף שאיפה  2020 '!E42</f>
        <v>1200000</v>
      </c>
      <c r="F42" s="4">
        <f>'תקציב אגף שאיפה  2020 '!F42</f>
        <v>400000</v>
      </c>
      <c r="G42" s="4">
        <f>'תקציב אגף שאיפה  2020 '!G42</f>
        <v>1200000</v>
      </c>
      <c r="H42" s="4">
        <f>'תקציב אגף שאיפה  2020 '!H42</f>
        <v>0</v>
      </c>
      <c r="I42" s="4">
        <f>'תקציב אגף שאיפה  2020 '!I42</f>
        <v>0</v>
      </c>
      <c r="J42" s="4">
        <f>'תקציב אגף שאיפה  2020 '!J42</f>
        <v>1015806.8</v>
      </c>
      <c r="K42" s="4">
        <f>'תקציב אגף שאיפה  2020 '!K42</f>
        <v>1015806.8</v>
      </c>
      <c r="L42" s="4">
        <f>'תקציב אגף שאיפה  2020 '!L42</f>
        <v>1015806.8</v>
      </c>
      <c r="M42" s="4">
        <f>'תקציב אגף שאיפה  2020 '!M42</f>
        <v>184193.19999999995</v>
      </c>
      <c r="N42" s="4">
        <f>'תקציב אגף שאיפה  2020 '!N42</f>
        <v>400000</v>
      </c>
      <c r="O42" s="4">
        <f>'תקציב אגף שאיפה  2020 '!O42</f>
        <v>0</v>
      </c>
      <c r="P42" s="4">
        <f>'תקציב אגף שאיפה  2020 '!P42</f>
        <v>184193.19999999995</v>
      </c>
      <c r="Q42" s="4">
        <f>'תקציב אגף שאיפה  2020 '!Q42</f>
        <v>0</v>
      </c>
      <c r="R42" s="4">
        <f>'תקציב אגף שאיפה  2020 '!R42</f>
        <v>0</v>
      </c>
      <c r="S42" s="4">
        <f>'תקציב אגף שאיפה  2020 '!S42</f>
        <v>0</v>
      </c>
      <c r="T42" s="4">
        <f>'תקציב אגף שאיפה  2020 '!T42</f>
        <v>0</v>
      </c>
      <c r="U42" s="4">
        <f>'תקציב אגף שאיפה  2020 '!U42</f>
        <v>400000</v>
      </c>
      <c r="V42" s="4">
        <f>'תקציב אגף שאיפה  2020 '!V42</f>
        <v>400000</v>
      </c>
      <c r="W42" s="4">
        <f>'תקציב אגף שאיפה  2020 '!W42</f>
        <v>0</v>
      </c>
      <c r="X42" s="4">
        <f>'תקציב אגף שאיפה  2020 '!X42</f>
        <v>0</v>
      </c>
      <c r="Y42" s="4">
        <f>'תקציב אגף שאיפה  2020 '!Y42</f>
        <v>0</v>
      </c>
      <c r="Z42" s="4">
        <f>'תקציב אגף שאיפה  2020 '!Z42</f>
        <v>0</v>
      </c>
      <c r="AA42" s="87" t="str">
        <f>'תקציב אגף שאיפה  2020 '!AA42</f>
        <v>הסדרת הגן המרכזי בשכונת גן רש"ל כולל: מתקני משחק, משטח גומי, עבודות גינון, השקייה, פיתוח והנגשה.</v>
      </c>
      <c r="AB42" s="706">
        <f>'תקציב אגף שאיפה  2020 '!AB42</f>
        <v>746000</v>
      </c>
      <c r="AC42" s="210"/>
      <c r="AD42" s="392"/>
      <c r="AE42" s="330"/>
      <c r="AF42" s="330"/>
      <c r="AG42" s="333"/>
      <c r="AH42" s="28"/>
      <c r="AI42" s="191"/>
      <c r="AJ42" s="28"/>
      <c r="AK42" s="29"/>
      <c r="AL42" s="29"/>
      <c r="AM42" s="29"/>
    </row>
    <row r="43" spans="1:39" s="5" customFormat="1" ht="35.1" customHeight="1">
      <c r="A43" s="3">
        <f>A42+1</f>
        <v>37</v>
      </c>
      <c r="B43" s="706">
        <f>'תקציב אגף שאיפה  2020 '!B43</f>
        <v>2164</v>
      </c>
      <c r="C43" s="87" t="str">
        <f>'תקציב אגף שאיפה  2020 '!C43</f>
        <v>שדרוג מתחם המשקל העירוני</v>
      </c>
      <c r="D43" s="4">
        <f>'תקציב אגף שאיפה  2020 '!D43</f>
        <v>200000</v>
      </c>
      <c r="E43" s="4">
        <f>'תקציב אגף שאיפה  2020 '!E43</f>
        <v>0</v>
      </c>
      <c r="F43" s="4">
        <f>'תקציב אגף שאיפה  2020 '!F43</f>
        <v>200000</v>
      </c>
      <c r="G43" s="4">
        <f>'תקציב אגף שאיפה  2020 '!G43</f>
        <v>0</v>
      </c>
      <c r="H43" s="4">
        <f>'תקציב אגף שאיפה  2020 '!H43</f>
        <v>0</v>
      </c>
      <c r="I43" s="4">
        <f>'תקציב אגף שאיפה  2020 '!I43</f>
        <v>0</v>
      </c>
      <c r="J43" s="4">
        <f>'תקציב אגף שאיפה  2020 '!J43</f>
        <v>0</v>
      </c>
      <c r="K43" s="4">
        <f>'תקציב אגף שאיפה  2020 '!K43</f>
        <v>0</v>
      </c>
      <c r="L43" s="4">
        <f>'תקציב אגף שאיפה  2020 '!L43</f>
        <v>0</v>
      </c>
      <c r="M43" s="4">
        <f>'תקציב אגף שאיפה  2020 '!M43</f>
        <v>0</v>
      </c>
      <c r="N43" s="4">
        <f>'תקציב אגף שאיפה  2020 '!N43</f>
        <v>200000</v>
      </c>
      <c r="O43" s="4">
        <f>'תקציב אגף שאיפה  2020 '!O43</f>
        <v>0</v>
      </c>
      <c r="P43" s="4">
        <f>'תקציב אגף שאיפה  2020 '!P43</f>
        <v>0</v>
      </c>
      <c r="Q43" s="4">
        <f>'תקציב אגף שאיפה  2020 '!Q43</f>
        <v>0</v>
      </c>
      <c r="R43" s="4">
        <f>'תקציב אגף שאיפה  2020 '!R43</f>
        <v>0</v>
      </c>
      <c r="S43" s="4">
        <f>'תקציב אגף שאיפה  2020 '!S43</f>
        <v>0</v>
      </c>
      <c r="T43" s="4">
        <f>'תקציב אגף שאיפה  2020 '!T43</f>
        <v>0</v>
      </c>
      <c r="U43" s="4">
        <f>'תקציב אגף שאיפה  2020 '!U43</f>
        <v>200000</v>
      </c>
      <c r="V43" s="4">
        <f>'תקציב אגף שאיפה  2020 '!V43</f>
        <v>0</v>
      </c>
      <c r="W43" s="4">
        <f>'תקציב אגף שאיפה  2020 '!W43</f>
        <v>200000</v>
      </c>
      <c r="X43" s="4">
        <f>'תקציב אגף שאיפה  2020 '!X43</f>
        <v>0</v>
      </c>
      <c r="Y43" s="4">
        <f>'תקציב אגף שאיפה  2020 '!Y43</f>
        <v>0</v>
      </c>
      <c r="Z43" s="4">
        <f>'תקציב אגף שאיפה  2020 '!Z43</f>
        <v>0</v>
      </c>
      <c r="AA43" s="87" t="str">
        <f>'תקציב אגף שאיפה  2020 '!AA43</f>
        <v>עבודות במתחם המשקל העירוני להסדרת נושא הבטיחות.</v>
      </c>
      <c r="AB43" s="706">
        <f>'תקציב אגף שאיפה  2020 '!AB43</f>
        <v>742000</v>
      </c>
      <c r="AC43" s="210"/>
      <c r="AD43" s="52"/>
      <c r="AE43" s="6"/>
      <c r="AF43" s="6"/>
    </row>
    <row r="44" spans="1:39" s="5" customFormat="1" ht="52.8" customHeight="1">
      <c r="A44" s="3">
        <f>A43+1</f>
        <v>38</v>
      </c>
      <c r="B44" s="706">
        <f>'תקציב אגף שאיפה  2020 '!B44</f>
        <v>2165</v>
      </c>
      <c r="C44" s="87" t="str">
        <f>'תקציב אגף שאיפה  2020 '!C44</f>
        <v>שדרוג רחוב וינגגיט</v>
      </c>
      <c r="D44" s="4">
        <f>'תקציב אגף שאיפה  2020 '!D44</f>
        <v>1040000</v>
      </c>
      <c r="E44" s="4">
        <f>'תקציב אגף שאיפה  2020 '!E44</f>
        <v>0</v>
      </c>
      <c r="F44" s="4">
        <f>'תקציב אגף שאיפה  2020 '!F44</f>
        <v>1040000</v>
      </c>
      <c r="G44" s="4">
        <f>'תקציב אגף שאיפה  2020 '!G44</f>
        <v>0</v>
      </c>
      <c r="H44" s="4">
        <f>'תקציב אגף שאיפה  2020 '!H44</f>
        <v>0</v>
      </c>
      <c r="I44" s="4">
        <f>'תקציב אגף שאיפה  2020 '!I44</f>
        <v>0</v>
      </c>
      <c r="J44" s="4">
        <f>'תקציב אגף שאיפה  2020 '!J44</f>
        <v>0</v>
      </c>
      <c r="K44" s="4">
        <f>'תקציב אגף שאיפה  2020 '!K44</f>
        <v>0</v>
      </c>
      <c r="L44" s="4">
        <f>'תקציב אגף שאיפה  2020 '!L44</f>
        <v>0</v>
      </c>
      <c r="M44" s="4">
        <f>'תקציב אגף שאיפה  2020 '!M44</f>
        <v>0</v>
      </c>
      <c r="N44" s="4">
        <f>'תקציב אגף שאיפה  2020 '!N44</f>
        <v>250000</v>
      </c>
      <c r="O44" s="4">
        <f>'תקציב אגף שאיפה  2020 '!O44</f>
        <v>790000</v>
      </c>
      <c r="P44" s="4">
        <f>'תקציב אגף שאיפה  2020 '!P44</f>
        <v>0</v>
      </c>
      <c r="Q44" s="4">
        <f>'תקציב אגף שאיפה  2020 '!Q44</f>
        <v>0</v>
      </c>
      <c r="R44" s="4">
        <f>'תקציב אגף שאיפה  2020 '!R44</f>
        <v>0</v>
      </c>
      <c r="S44" s="4">
        <f>'תקציב אגף שאיפה  2020 '!S44</f>
        <v>0</v>
      </c>
      <c r="T44" s="4">
        <f>'תקציב אגף שאיפה  2020 '!T44</f>
        <v>0</v>
      </c>
      <c r="U44" s="4">
        <f>'תקציב אגף שאיפה  2020 '!U44</f>
        <v>250000</v>
      </c>
      <c r="V44" s="4">
        <f>'תקציב אגף שאיפה  2020 '!V44</f>
        <v>0</v>
      </c>
      <c r="W44" s="4">
        <f>'תקציב אגף שאיפה  2020 '!W44</f>
        <v>250000</v>
      </c>
      <c r="X44" s="4">
        <f>'תקציב אגף שאיפה  2020 '!X44</f>
        <v>0</v>
      </c>
      <c r="Y44" s="4">
        <f>'תקציב אגף שאיפה  2020 '!Y44</f>
        <v>0</v>
      </c>
      <c r="Z44" s="4">
        <f>'תקציב אגף שאיפה  2020 '!Z44</f>
        <v>0</v>
      </c>
      <c r="AA44" s="87" t="str">
        <f>'תקציב אגף שאיפה  2020 '!AA44</f>
        <v>עבודות שדרוג ושיקום ערוגות הגינון  לצידי הרחוב והכיכרות המרכזיות. מרחוב וינגייט ועד רח' הקונגרס שטח של כ- 2.6 דונם.</v>
      </c>
      <c r="AB44" s="706">
        <f>'תקציב אגף שאיפה  2020 '!AB44</f>
        <v>746000</v>
      </c>
      <c r="AC44" s="210"/>
      <c r="AD44" s="52"/>
      <c r="AE44" s="6"/>
      <c r="AF44" s="6"/>
    </row>
    <row r="45" spans="1:39" s="5" customFormat="1" ht="27.6">
      <c r="A45" s="3">
        <f t="shared" ref="A45:A47" si="1">A44+1</f>
        <v>39</v>
      </c>
      <c r="B45" s="706">
        <f>'תקציב אגף שאיפה  2020 '!B45</f>
        <v>2166</v>
      </c>
      <c r="C45" s="87" t="str">
        <f>'תקציב אגף שאיפה  2020 '!C45</f>
        <v>שדרוג רחוב בן גוריון</v>
      </c>
      <c r="D45" s="4">
        <f>'תקציב אגף שאיפה  2020 '!D45</f>
        <v>500000</v>
      </c>
      <c r="E45" s="4">
        <f>'תקציב אגף שאיפה  2020 '!E45</f>
        <v>0</v>
      </c>
      <c r="F45" s="4">
        <f>'תקציב אגף שאיפה  2020 '!F45</f>
        <v>500000</v>
      </c>
      <c r="G45" s="4">
        <f>'תקציב אגף שאיפה  2020 '!G45</f>
        <v>0</v>
      </c>
      <c r="H45" s="4">
        <f>'תקציב אגף שאיפה  2020 '!H45</f>
        <v>0</v>
      </c>
      <c r="I45" s="4">
        <f>'תקציב אגף שאיפה  2020 '!I45</f>
        <v>0</v>
      </c>
      <c r="J45" s="4">
        <f>'תקציב אגף שאיפה  2020 '!J45</f>
        <v>0</v>
      </c>
      <c r="K45" s="4">
        <f>'תקציב אגף שאיפה  2020 '!K45</f>
        <v>0</v>
      </c>
      <c r="L45" s="4">
        <f>'תקציב אגף שאיפה  2020 '!L45</f>
        <v>0</v>
      </c>
      <c r="M45" s="4">
        <f>'תקציב אגף שאיפה  2020 '!M45</f>
        <v>0</v>
      </c>
      <c r="N45" s="4">
        <f>'תקציב אגף שאיפה  2020 '!N45</f>
        <v>300000</v>
      </c>
      <c r="O45" s="4">
        <f>'תקציב אגף שאיפה  2020 '!O45</f>
        <v>200000</v>
      </c>
      <c r="P45" s="4">
        <f>'תקציב אגף שאיפה  2020 '!P45</f>
        <v>0</v>
      </c>
      <c r="Q45" s="4">
        <f>'תקציב אגף שאיפה  2020 '!Q45</f>
        <v>0</v>
      </c>
      <c r="R45" s="4">
        <f>'תקציב אגף שאיפה  2020 '!R45</f>
        <v>0</v>
      </c>
      <c r="S45" s="4">
        <f>'תקציב אגף שאיפה  2020 '!S45</f>
        <v>0</v>
      </c>
      <c r="T45" s="4">
        <f>'תקציב אגף שאיפה  2020 '!T45</f>
        <v>0</v>
      </c>
      <c r="U45" s="4">
        <f>'תקציב אגף שאיפה  2020 '!U45</f>
        <v>300000</v>
      </c>
      <c r="V45" s="4">
        <f>'תקציב אגף שאיפה  2020 '!V45</f>
        <v>0</v>
      </c>
      <c r="W45" s="4">
        <f>'תקציב אגף שאיפה  2020 '!W45</f>
        <v>300000</v>
      </c>
      <c r="X45" s="4">
        <f>'תקציב אגף שאיפה  2020 '!X45</f>
        <v>0</v>
      </c>
      <c r="Y45" s="4">
        <f>'תקציב אגף שאיפה  2020 '!Y45</f>
        <v>0</v>
      </c>
      <c r="Z45" s="4">
        <f>'תקציב אגף שאיפה  2020 '!Z45</f>
        <v>0</v>
      </c>
      <c r="AA45" s="87" t="str">
        <f>'תקציב אגף שאיפה  2020 '!AA45</f>
        <v>עבודות שדרוג ושיקום שטחי הגינון  לצידי הרחוב במקטעים שטרם שודרגו. שטח של כ- 4.5 דונם.</v>
      </c>
      <c r="AB45" s="706">
        <f>'תקציב אגף שאיפה  2020 '!AB45</f>
        <v>746000</v>
      </c>
      <c r="AC45" s="210"/>
      <c r="AD45" s="52"/>
      <c r="AE45" s="6"/>
      <c r="AF45" s="6"/>
    </row>
    <row r="46" spans="1:39" s="5" customFormat="1" ht="35.1" customHeight="1">
      <c r="A46" s="3">
        <f t="shared" si="1"/>
        <v>40</v>
      </c>
      <c r="B46" s="706">
        <f>'תקציב אגף שאיפה  2020 '!B46</f>
        <v>2167</v>
      </c>
      <c r="C46" s="87" t="str">
        <f>'תקציב אגף שאיפה  2020 '!C46</f>
        <v>הקמת סככות המתנה לאוטובוס כולל תשתיות</v>
      </c>
      <c r="D46" s="4">
        <f>'תקציב אגף שאיפה  2020 '!D46</f>
        <v>1400000</v>
      </c>
      <c r="E46" s="4">
        <f>'תקציב אגף שאיפה  2020 '!E46</f>
        <v>0</v>
      </c>
      <c r="F46" s="4">
        <f>'תקציב אגף שאיפה  2020 '!F46</f>
        <v>1400000</v>
      </c>
      <c r="G46" s="4">
        <f>'תקציב אגף שאיפה  2020 '!G46</f>
        <v>0</v>
      </c>
      <c r="H46" s="4">
        <f>'תקציב אגף שאיפה  2020 '!H46</f>
        <v>0</v>
      </c>
      <c r="I46" s="4">
        <f>'תקציב אגף שאיפה  2020 '!I46</f>
        <v>0</v>
      </c>
      <c r="J46" s="4">
        <f>'תקציב אגף שאיפה  2020 '!J46</f>
        <v>0</v>
      </c>
      <c r="K46" s="4">
        <f>'תקציב אגף שאיפה  2020 '!K46</f>
        <v>0</v>
      </c>
      <c r="L46" s="4">
        <f>'תקציב אגף שאיפה  2020 '!L46</f>
        <v>0</v>
      </c>
      <c r="M46" s="4">
        <f>'תקציב אגף שאיפה  2020 '!M46</f>
        <v>0</v>
      </c>
      <c r="N46" s="4">
        <f>'תקציב אגף שאיפה  2020 '!N46</f>
        <v>1200000</v>
      </c>
      <c r="O46" s="4">
        <f>'תקציב אגף שאיפה  2020 '!O46</f>
        <v>200000</v>
      </c>
      <c r="P46" s="4">
        <f>'תקציב אגף שאיפה  2020 '!P46</f>
        <v>0</v>
      </c>
      <c r="Q46" s="4">
        <f>'תקציב אגף שאיפה  2020 '!Q46</f>
        <v>0</v>
      </c>
      <c r="R46" s="4">
        <f>'תקציב אגף שאיפה  2020 '!R46</f>
        <v>0</v>
      </c>
      <c r="S46" s="4">
        <f>'תקציב אגף שאיפה  2020 '!S46</f>
        <v>0</v>
      </c>
      <c r="T46" s="4">
        <f>'תקציב אגף שאיפה  2020 '!T46</f>
        <v>0</v>
      </c>
      <c r="U46" s="4">
        <f>'תקציב אגף שאיפה  2020 '!U46</f>
        <v>1200000</v>
      </c>
      <c r="V46" s="4">
        <f>'תקציב אגף שאיפה  2020 '!V46</f>
        <v>0</v>
      </c>
      <c r="W46" s="4">
        <f>'תקציב אגף שאיפה  2020 '!W46</f>
        <v>1200000</v>
      </c>
      <c r="X46" s="4">
        <f>'תקציב אגף שאיפה  2020 '!X46</f>
        <v>0</v>
      </c>
      <c r="Y46" s="4">
        <f>'תקציב אגף שאיפה  2020 '!Y46</f>
        <v>0</v>
      </c>
      <c r="Z46" s="4">
        <f>'תקציב אגף שאיפה  2020 '!Z46</f>
        <v>0</v>
      </c>
      <c r="AA46" s="87" t="str">
        <f>'תקציב אגף שאיפה  2020 '!AA46</f>
        <v>הקמת 25 סככות המתנה משודרגות מתוכן 5 ממוזגות.</v>
      </c>
      <c r="AB46" s="706">
        <f>'תקציב אגף שאיפה  2020 '!AB46</f>
        <v>742000</v>
      </c>
      <c r="AC46" s="210"/>
      <c r="AD46" s="52"/>
      <c r="AE46" s="6"/>
      <c r="AF46" s="6"/>
    </row>
    <row r="47" spans="1:39" s="5" customFormat="1" ht="41.4">
      <c r="A47" s="3">
        <f t="shared" si="1"/>
        <v>41</v>
      </c>
      <c r="B47" s="706">
        <f>'תקציב אגף שאיפה  2020 '!B47</f>
        <v>2168</v>
      </c>
      <c r="C47" s="87" t="str">
        <f>'תקציב אגף שאיפה  2020 '!C47</f>
        <v>קידום ושימור הטבע העירוני בעיר</v>
      </c>
      <c r="D47" s="4">
        <f>'תקציב אגף שאיפה  2020 '!D47</f>
        <v>240000</v>
      </c>
      <c r="E47" s="4">
        <f>'תקציב אגף שאיפה  2020 '!E47</f>
        <v>0</v>
      </c>
      <c r="F47" s="4">
        <f>'תקציב אגף שאיפה  2020 '!F47</f>
        <v>240000</v>
      </c>
      <c r="G47" s="4">
        <f>'תקציב אגף שאיפה  2020 '!G47</f>
        <v>0</v>
      </c>
      <c r="H47" s="4">
        <f>'תקציב אגף שאיפה  2020 '!H47</f>
        <v>0</v>
      </c>
      <c r="I47" s="4">
        <f>'תקציב אגף שאיפה  2020 '!I47</f>
        <v>0</v>
      </c>
      <c r="J47" s="4">
        <f>'תקציב אגף שאיפה  2020 '!J47</f>
        <v>0</v>
      </c>
      <c r="K47" s="4">
        <f>'תקציב אגף שאיפה  2020 '!K47</f>
        <v>0</v>
      </c>
      <c r="L47" s="4">
        <f>'תקציב אגף שאיפה  2020 '!L47</f>
        <v>0</v>
      </c>
      <c r="M47" s="4">
        <f>'תקציב אגף שאיפה  2020 '!M47</f>
        <v>0</v>
      </c>
      <c r="N47" s="4">
        <f>'תקציב אגף שאיפה  2020 '!N47</f>
        <v>240000</v>
      </c>
      <c r="O47" s="4">
        <f>'תקציב אגף שאיפה  2020 '!O47</f>
        <v>0</v>
      </c>
      <c r="P47" s="4">
        <f>'תקציב אגף שאיפה  2020 '!P47</f>
        <v>0</v>
      </c>
      <c r="Q47" s="4">
        <f>'תקציב אגף שאיפה  2020 '!Q47</f>
        <v>0</v>
      </c>
      <c r="R47" s="4">
        <f>'תקציב אגף שאיפה  2020 '!R47</f>
        <v>0</v>
      </c>
      <c r="S47" s="4">
        <f>'תקציב אגף שאיפה  2020 '!S47</f>
        <v>0</v>
      </c>
      <c r="T47" s="4">
        <f>'תקציב אגף שאיפה  2020 '!T47</f>
        <v>0</v>
      </c>
      <c r="U47" s="4">
        <f>'תקציב אגף שאיפה  2020 '!U47</f>
        <v>240000</v>
      </c>
      <c r="V47" s="4">
        <f>'תקציב אגף שאיפה  2020 '!V47</f>
        <v>0</v>
      </c>
      <c r="W47" s="4">
        <f>'תקציב אגף שאיפה  2020 '!W47</f>
        <v>240000</v>
      </c>
      <c r="X47" s="4">
        <f>'תקציב אגף שאיפה  2020 '!X47</f>
        <v>0</v>
      </c>
      <c r="Y47" s="4">
        <f>'תקציב אגף שאיפה  2020 '!Y47</f>
        <v>0</v>
      </c>
      <c r="Z47" s="4">
        <f>'תקציב אגף שאיפה  2020 '!Z47</f>
        <v>0</v>
      </c>
      <c r="AA47" s="87" t="str">
        <f>'תקציב אגף שאיפה  2020 '!AA47</f>
        <v>פעילות חד פעמית בעקבות ממצאי סקר טבע עירוני. הפעילות כוללת: סילוק מינים פולשים של צמחייה , סגירת אזורים עם בולדרים,שילוט .</v>
      </c>
      <c r="AB47" s="706">
        <f>'תקציב אגף שאיפה  2020 '!AB47</f>
        <v>746000</v>
      </c>
      <c r="AC47" s="210"/>
      <c r="AD47" s="52"/>
      <c r="AE47" s="6"/>
      <c r="AF47" s="6"/>
    </row>
    <row r="48" spans="1:39" s="84" customFormat="1" ht="35.1" customHeight="1">
      <c r="A48" s="41">
        <f>A47</f>
        <v>41</v>
      </c>
      <c r="B48" s="725"/>
      <c r="C48" s="221" t="s">
        <v>684</v>
      </c>
      <c r="D48" s="88">
        <f>SUM(D7:D47)</f>
        <v>243509379</v>
      </c>
      <c r="E48" s="88">
        <f t="shared" ref="E48:Z48" si="2">SUM(E7:E47)</f>
        <v>223205059</v>
      </c>
      <c r="F48" s="88">
        <f t="shared" si="2"/>
        <v>20304320</v>
      </c>
      <c r="G48" s="88">
        <f t="shared" si="2"/>
        <v>194120579</v>
      </c>
      <c r="H48" s="88">
        <f t="shared" si="2"/>
        <v>174731647.29000002</v>
      </c>
      <c r="I48" s="88">
        <f t="shared" si="2"/>
        <v>0</v>
      </c>
      <c r="J48" s="88">
        <f t="shared" si="2"/>
        <v>12537649.739999998</v>
      </c>
      <c r="K48" s="88">
        <f t="shared" si="2"/>
        <v>12537649.739999998</v>
      </c>
      <c r="L48" s="88">
        <f t="shared" si="2"/>
        <v>187269297.03000006</v>
      </c>
      <c r="M48" s="88">
        <f t="shared" si="2"/>
        <v>8121281.9699999988</v>
      </c>
      <c r="N48" s="88">
        <f t="shared" si="2"/>
        <v>35117000</v>
      </c>
      <c r="O48" s="88">
        <f t="shared" si="2"/>
        <v>13001800</v>
      </c>
      <c r="P48" s="88">
        <f t="shared" si="2"/>
        <v>6851281.9700000007</v>
      </c>
      <c r="Q48" s="88">
        <f t="shared" si="2"/>
        <v>3195000</v>
      </c>
      <c r="R48" s="88">
        <f t="shared" si="2"/>
        <v>0</v>
      </c>
      <c r="S48" s="88">
        <f t="shared" si="2"/>
        <v>3195000</v>
      </c>
      <c r="T48" s="88">
        <f t="shared" si="2"/>
        <v>1925000</v>
      </c>
      <c r="U48" s="88">
        <f t="shared" si="2"/>
        <v>33192000</v>
      </c>
      <c r="V48" s="88">
        <f t="shared" si="2"/>
        <v>2930000</v>
      </c>
      <c r="W48" s="88">
        <f t="shared" si="2"/>
        <v>12522000</v>
      </c>
      <c r="X48" s="88">
        <f t="shared" si="2"/>
        <v>0</v>
      </c>
      <c r="Y48" s="88">
        <f t="shared" si="2"/>
        <v>0</v>
      </c>
      <c r="Z48" s="88">
        <f t="shared" si="2"/>
        <v>17740000</v>
      </c>
      <c r="AA48" s="705"/>
      <c r="AB48" s="725"/>
      <c r="AC48" s="210"/>
      <c r="AD48" s="438"/>
    </row>
    <row r="49" spans="1:39" s="49" customFormat="1" hidden="1">
      <c r="A49" s="54"/>
      <c r="B49" s="759"/>
      <c r="C49" s="788"/>
      <c r="D49" s="33"/>
      <c r="E49" s="33"/>
      <c r="F49" s="33"/>
      <c r="G49" s="33"/>
      <c r="H49" s="33"/>
      <c r="I49" s="33"/>
      <c r="J49" s="33"/>
      <c r="K49" s="33"/>
      <c r="L49" s="25">
        <f>K48+H48</f>
        <v>187269297.03000003</v>
      </c>
      <c r="M49" s="25"/>
      <c r="N49" s="33"/>
      <c r="O49" s="33"/>
      <c r="P49" s="16">
        <f>G48-L49</f>
        <v>6851281.969999969</v>
      </c>
      <c r="Q49" s="33"/>
      <c r="R49" s="33"/>
      <c r="S49" s="33"/>
      <c r="T49" s="16">
        <f>P49+S48-M48</f>
        <v>1924999.9999999702</v>
      </c>
      <c r="U49" s="25">
        <f>N48-T49</f>
        <v>33192000.00000003</v>
      </c>
      <c r="V49" s="33"/>
      <c r="W49" s="33"/>
      <c r="X49" s="33"/>
      <c r="Y49" s="33"/>
      <c r="Z49" s="33"/>
      <c r="AA49" s="409"/>
      <c r="AB49" s="759"/>
      <c r="AC49" s="210"/>
      <c r="AD49" s="330"/>
      <c r="AE49" s="330"/>
      <c r="AF49" s="330"/>
      <c r="AG49" s="333"/>
      <c r="AH49" s="28"/>
      <c r="AI49" s="191"/>
      <c r="AJ49" s="54"/>
      <c r="AK49" s="54"/>
      <c r="AL49" s="54"/>
      <c r="AM49" s="54"/>
    </row>
    <row r="50" spans="1:39" s="42" customFormat="1">
      <c r="A50" s="14"/>
      <c r="B50" s="26"/>
      <c r="C50" s="407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6"/>
      <c r="O50" s="16"/>
      <c r="P50" s="16"/>
      <c r="Q50" s="16"/>
      <c r="R50" s="16"/>
      <c r="S50" s="16"/>
      <c r="T50" s="16"/>
      <c r="U50" s="14"/>
      <c r="V50" s="14"/>
      <c r="W50" s="14"/>
      <c r="X50" s="14"/>
      <c r="Y50" s="14"/>
      <c r="Z50" s="14"/>
      <c r="AA50" s="408"/>
      <c r="AB50" s="26"/>
      <c r="AC50" s="210"/>
      <c r="AD50" s="330"/>
      <c r="AE50" s="330"/>
      <c r="AF50" s="330"/>
      <c r="AG50" s="333"/>
      <c r="AH50" s="19"/>
      <c r="AI50" s="191"/>
      <c r="AJ50" s="19"/>
      <c r="AK50" s="19"/>
      <c r="AL50" s="19"/>
      <c r="AM50" s="19"/>
    </row>
  </sheetData>
  <sheetProtection formatCells="0" formatColumns="0" formatRows="0" insertColumns="0" insertRows="0" insertHyperlinks="0" deleteColumns="0" deleteRows="0" sort="0" autoFilter="0" pivotTables="0"/>
  <conditionalFormatting sqref="AD43:AG46 AD48:AG48">
    <cfRule type="cellIs" dxfId="277" priority="2" operator="equal">
      <formula>0</formula>
    </cfRule>
  </conditionalFormatting>
  <conditionalFormatting sqref="AD47:AG47">
    <cfRule type="cellIs" dxfId="27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0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233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A5" s="273"/>
      <c r="C5" s="273"/>
      <c r="D5" s="273"/>
      <c r="E5" s="273"/>
      <c r="F5" s="273"/>
      <c r="G5" s="273"/>
      <c r="H5" s="273"/>
      <c r="I5" s="273"/>
      <c r="J5" s="273"/>
      <c r="K5" s="273"/>
      <c r="L5" s="273"/>
    </row>
    <row r="6" spans="1:17" ht="16.2" thickBot="1">
      <c r="A6" s="273"/>
      <c r="C6" s="273"/>
      <c r="D6" s="273"/>
      <c r="E6" s="273"/>
      <c r="F6" s="273"/>
      <c r="G6" s="273"/>
      <c r="H6" s="273"/>
      <c r="I6" s="273"/>
      <c r="J6" s="273"/>
      <c r="K6" s="273"/>
      <c r="L6" s="273"/>
    </row>
    <row r="7" spans="1:17" ht="16.2" thickBot="1">
      <c r="A7" s="273"/>
      <c r="B7" s="276" t="s">
        <v>227</v>
      </c>
      <c r="C7" s="273" t="s">
        <v>1346</v>
      </c>
      <c r="D7" s="273"/>
      <c r="E7" s="273"/>
      <c r="F7" s="277">
        <f>'תקציב רשות החופים 2020 '!$U$24</f>
        <v>1934971</v>
      </c>
      <c r="I7" s="273"/>
      <c r="J7" s="273"/>
      <c r="K7" s="273"/>
      <c r="L7" s="273"/>
    </row>
    <row r="8" spans="1:17" ht="21.6" thickBot="1">
      <c r="A8" s="273"/>
      <c r="C8" s="275"/>
      <c r="D8" s="273"/>
      <c r="E8" s="273"/>
      <c r="F8" s="273"/>
      <c r="H8" s="273"/>
      <c r="I8" s="273"/>
      <c r="J8" s="273"/>
      <c r="K8" s="273"/>
      <c r="L8" s="273"/>
    </row>
    <row r="9" spans="1:17" ht="16.2" thickBot="1">
      <c r="B9" s="276" t="s">
        <v>227</v>
      </c>
      <c r="C9" s="273" t="s">
        <v>393</v>
      </c>
      <c r="D9" s="273"/>
      <c r="F9" s="285">
        <f>'רשות החופים 2020 פרקים'!A24</f>
        <v>18</v>
      </c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B10" s="276"/>
      <c r="C10" s="273"/>
      <c r="D10" s="273"/>
      <c r="F10" s="279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B11" s="276"/>
      <c r="C11" s="273"/>
      <c r="D11" s="273"/>
      <c r="F11" s="279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B12" s="276" t="s">
        <v>227</v>
      </c>
      <c r="C12" s="273" t="s">
        <v>365</v>
      </c>
      <c r="D12" s="273"/>
      <c r="E12" s="273"/>
      <c r="F12" s="273"/>
      <c r="G12" s="273"/>
      <c r="H12" s="273"/>
      <c r="I12" s="273"/>
      <c r="J12" s="273"/>
      <c r="K12" s="273"/>
      <c r="L12" s="273"/>
    </row>
    <row r="13" spans="1:17" ht="16.2" thickBot="1"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D14" s="286" t="s">
        <v>366</v>
      </c>
      <c r="E14" s="287" t="s">
        <v>367</v>
      </c>
      <c r="F14" s="288" t="s">
        <v>369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14</v>
      </c>
      <c r="E15" s="289">
        <f>'תקציב רשות החופים 2020 '!$W$24</f>
        <v>1906971</v>
      </c>
      <c r="F15" s="297">
        <f>E15/$E$17</f>
        <v>0.98552949889171471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105</v>
      </c>
      <c r="E16" s="289">
        <f>'תקציב רשות החופים 2020 '!$Z$24</f>
        <v>28000</v>
      </c>
      <c r="F16" s="297">
        <f>E16/$E$17</f>
        <v>1.4470501108285344E-2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6.2" thickBot="1">
      <c r="C17" s="276"/>
      <c r="D17" s="283" t="s">
        <v>120</v>
      </c>
      <c r="E17" s="291">
        <f>SUM(E15:E16)</f>
        <v>1934971</v>
      </c>
      <c r="F17" s="163">
        <f>SUM(F15:F16)</f>
        <v>1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5.6">
      <c r="C18" s="276"/>
      <c r="D18" s="279"/>
      <c r="E18" s="300"/>
      <c r="F18" s="30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C19" s="276"/>
      <c r="D19" s="279"/>
      <c r="E19" s="300"/>
      <c r="F19" s="30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1:17" ht="15.6">
      <c r="C20" s="276"/>
      <c r="D20" s="279"/>
      <c r="E20" s="300"/>
      <c r="F20" s="30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1:17" ht="15.6">
      <c r="B21" s="276" t="s">
        <v>227</v>
      </c>
      <c r="C21" s="273" t="s">
        <v>694</v>
      </c>
      <c r="D21" s="273"/>
      <c r="F21" s="273"/>
      <c r="H21" s="282"/>
      <c r="I21" s="273"/>
      <c r="J21" s="273"/>
      <c r="K21" s="273"/>
      <c r="L21" s="273"/>
      <c r="M21" s="273"/>
      <c r="N21" s="273"/>
      <c r="O21" s="273"/>
      <c r="P21" s="273"/>
      <c r="Q21" s="273"/>
    </row>
    <row r="22" spans="1:17" ht="15.6">
      <c r="B22" s="276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</row>
    <row r="24" spans="1:17" s="418" customFormat="1" ht="15.6">
      <c r="C24" s="420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</row>
    <row r="25" spans="1:17" s="418" customFormat="1" ht="15.6">
      <c r="A25" s="417"/>
      <c r="B25" s="417"/>
      <c r="C25" s="417"/>
      <c r="D25" s="417"/>
      <c r="E25" s="417"/>
      <c r="F25" s="417"/>
      <c r="G25" s="417"/>
      <c r="H25" s="417"/>
      <c r="I25" s="417"/>
      <c r="J25" s="417"/>
      <c r="K25" s="417"/>
      <c r="L25" s="417"/>
      <c r="M25" s="417"/>
      <c r="N25" s="417"/>
      <c r="O25" s="417"/>
      <c r="P25" s="417"/>
      <c r="Q25" s="417"/>
    </row>
    <row r="26" spans="1:17" s="418" customFormat="1" ht="15.6">
      <c r="A26" s="417"/>
      <c r="B26" s="417"/>
      <c r="C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</row>
    <row r="27" spans="1:17" s="418" customFormat="1"/>
    <row r="28" spans="1:17" ht="15.6">
      <c r="C28" s="273"/>
      <c r="D28" s="273"/>
      <c r="E28" s="273"/>
      <c r="F28" s="273"/>
      <c r="H28" s="273"/>
      <c r="I28" s="273"/>
      <c r="J28" s="273"/>
      <c r="K28" s="273"/>
      <c r="L28" s="273"/>
    </row>
    <row r="29" spans="1:17" ht="15.6">
      <c r="B29" s="276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</row>
    <row r="30" spans="1:17" ht="15.6">
      <c r="B30" s="276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"/>
  <sheetViews>
    <sheetView showZeros="0" rightToLeft="1" tabSelected="1" zoomScaleNormal="100" workbookViewId="0">
      <pane xSplit="3" ySplit="4" topLeftCell="D1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33203125" style="37" customWidth="1"/>
    <col min="2" max="2" width="4.77734375" style="14" customWidth="1"/>
    <col min="3" max="3" width="28.33203125" style="14" customWidth="1"/>
    <col min="4" max="4" width="9.44140625" style="16" customWidth="1"/>
    <col min="5" max="6" width="9.109375" style="16" customWidth="1"/>
    <col min="7" max="11" width="9.109375" style="16" hidden="1" customWidth="1"/>
    <col min="12" max="15" width="9.109375" style="16" customWidth="1"/>
    <col min="16" max="19" width="9.109375" style="16" hidden="1" customWidth="1"/>
    <col min="20" max="20" width="9.109375" style="16" customWidth="1"/>
    <col min="21" max="21" width="9.109375" style="14" customWidth="1"/>
    <col min="22" max="22" width="9.109375" style="14" hidden="1" customWidth="1"/>
    <col min="23" max="23" width="9.109375" style="14" customWidth="1"/>
    <col min="24" max="25" width="9.109375" style="14" hidden="1" customWidth="1"/>
    <col min="26" max="26" width="9.109375" style="14" customWidth="1"/>
    <col min="27" max="27" width="28.109375" style="14" customWidth="1"/>
    <col min="28" max="28" width="7.88671875" style="14" hidden="1" customWidth="1"/>
    <col min="29" max="29" width="12.44140625" style="333" customWidth="1"/>
    <col min="30" max="30" width="9.109375" style="210" bestFit="1" customWidth="1"/>
    <col min="31" max="31" width="12.5546875" style="210" customWidth="1"/>
    <col min="32" max="32" width="9.5546875" style="210" customWidth="1"/>
    <col min="33" max="33" width="10.44140625" style="31" customWidth="1"/>
    <col min="34" max="34" width="7.5546875" style="31" bestFit="1" customWidth="1"/>
    <col min="35" max="35" width="12.33203125" style="31" customWidth="1"/>
    <col min="36" max="36" width="13.109375" style="31" customWidth="1"/>
    <col min="37" max="37" width="21.6640625" style="31" customWidth="1"/>
    <col min="38" max="39" width="9.109375" style="19" customWidth="1"/>
    <col min="40" max="40" width="1.5546875" style="19" customWidth="1"/>
    <col min="41" max="42" width="9.109375" style="19" customWidth="1"/>
    <col min="43" max="16384" width="9.109375" style="14"/>
  </cols>
  <sheetData>
    <row r="1" spans="1:42" s="331" customFormat="1" ht="18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0"/>
      <c r="AB1" s="330"/>
      <c r="AC1" s="333"/>
      <c r="AD1" s="210"/>
      <c r="AE1" s="210"/>
      <c r="AF1" s="210"/>
      <c r="AG1" s="31"/>
      <c r="AH1" s="31"/>
      <c r="AI1" s="31"/>
      <c r="AJ1" s="31"/>
      <c r="AK1" s="31"/>
    </row>
    <row r="2" spans="1:42" s="191" customFormat="1" ht="18">
      <c r="A2" s="329" t="s">
        <v>233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3"/>
      <c r="AB2" s="333"/>
      <c r="AC2" s="333"/>
      <c r="AD2" s="210"/>
      <c r="AE2" s="210"/>
      <c r="AF2" s="210"/>
      <c r="AG2" s="31"/>
      <c r="AH2" s="31"/>
      <c r="AI2" s="31"/>
      <c r="AJ2" s="31"/>
      <c r="AK2" s="31"/>
    </row>
    <row r="3" spans="1:42" ht="20.399999999999999" customHeight="1"/>
    <row r="4" spans="1:42" s="31" customFormat="1" ht="86.25" customHeight="1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925</v>
      </c>
      <c r="R4" s="18" t="s">
        <v>926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669" t="s">
        <v>410</v>
      </c>
      <c r="AB4" s="18" t="s">
        <v>16</v>
      </c>
      <c r="AC4" s="333"/>
      <c r="AD4" s="210"/>
      <c r="AE4" s="210"/>
      <c r="AF4" s="210"/>
    </row>
    <row r="5" spans="1:42" s="5" customFormat="1" ht="18.75" customHeight="1">
      <c r="A5" s="3"/>
      <c r="B5" s="3"/>
      <c r="C5" s="4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333"/>
      <c r="AD5" s="210"/>
      <c r="AE5" s="210"/>
      <c r="AF5" s="210"/>
      <c r="AG5" s="31"/>
      <c r="AH5" s="31"/>
      <c r="AI5" s="31"/>
      <c r="AJ5" s="31"/>
      <c r="AK5" s="31"/>
      <c r="AL5" s="28"/>
      <c r="AM5" s="29"/>
      <c r="AN5" s="29"/>
      <c r="AO5" s="29"/>
      <c r="AP5" s="29"/>
    </row>
    <row r="6" spans="1:42" s="5" customFormat="1" ht="35.1" customHeight="1">
      <c r="A6" s="3">
        <f>A5+1</f>
        <v>1</v>
      </c>
      <c r="B6" s="3">
        <v>1700</v>
      </c>
      <c r="C6" s="3" t="s">
        <v>213</v>
      </c>
      <c r="D6" s="4">
        <f>72000-15029</f>
        <v>56971</v>
      </c>
      <c r="E6" s="4">
        <v>72000</v>
      </c>
      <c r="F6" s="4">
        <f t="shared" ref="F6:F22" si="0">D6-E6</f>
        <v>-15029</v>
      </c>
      <c r="G6" s="4">
        <v>72000</v>
      </c>
      <c r="H6" s="4">
        <v>56971</v>
      </c>
      <c r="I6" s="4"/>
      <c r="J6" s="4"/>
      <c r="K6" s="4">
        <f t="shared" ref="K6:K22" si="1">I6+J6</f>
        <v>0</v>
      </c>
      <c r="L6" s="4">
        <f t="shared" ref="L6:L22" si="2">H6+K6</f>
        <v>56971</v>
      </c>
      <c r="M6" s="4">
        <f>P6+S6-15029</f>
        <v>0</v>
      </c>
      <c r="N6" s="4"/>
      <c r="O6" s="4">
        <f t="shared" ref="O6:O22" si="3">D6-L6-M6-N6</f>
        <v>0</v>
      </c>
      <c r="P6" s="4">
        <f t="shared" ref="P6:P22" si="4">G6-L6</f>
        <v>15029</v>
      </c>
      <c r="Q6" s="4"/>
      <c r="R6" s="4"/>
      <c r="S6" s="4">
        <f t="shared" ref="S6:S22" si="5">SUM(Q6:R6)</f>
        <v>0</v>
      </c>
      <c r="T6" s="4">
        <f t="shared" ref="T6:T22" si="6">P6-M6+S6</f>
        <v>15029</v>
      </c>
      <c r="U6" s="4">
        <f t="shared" ref="U6:U22" si="7">N6-T6</f>
        <v>-15029</v>
      </c>
      <c r="V6" s="11"/>
      <c r="W6" s="4">
        <f t="shared" ref="W6:W22" si="8">U6-V6-Y6-Z6</f>
        <v>56971</v>
      </c>
      <c r="X6" s="4"/>
      <c r="Y6" s="4"/>
      <c r="Z6" s="4">
        <v>-72000</v>
      </c>
      <c r="AA6" s="3" t="s">
        <v>1214</v>
      </c>
      <c r="AB6" s="3">
        <v>747000</v>
      </c>
      <c r="AC6" s="333"/>
      <c r="AD6" s="210"/>
      <c r="AE6" s="210"/>
      <c r="AF6" s="210"/>
      <c r="AG6" s="31"/>
      <c r="AH6" s="38"/>
      <c r="AI6" s="31"/>
      <c r="AJ6" s="31"/>
      <c r="AK6" s="31"/>
      <c r="AL6" s="28"/>
      <c r="AM6" s="29"/>
      <c r="AN6" s="29"/>
      <c r="AO6" s="29"/>
      <c r="AP6" s="29"/>
    </row>
    <row r="7" spans="1:42" s="5" customFormat="1" ht="19.95" customHeight="1">
      <c r="A7" s="3">
        <f>A6+1</f>
        <v>2</v>
      </c>
      <c r="B7" s="3">
        <v>1864</v>
      </c>
      <c r="C7" s="3" t="s">
        <v>661</v>
      </c>
      <c r="D7" s="4">
        <v>300000</v>
      </c>
      <c r="E7" s="4">
        <v>300000</v>
      </c>
      <c r="F7" s="4">
        <f t="shared" si="0"/>
        <v>0</v>
      </c>
      <c r="G7" s="4">
        <v>300000</v>
      </c>
      <c r="H7" s="4">
        <v>249999.99</v>
      </c>
      <c r="I7" s="4"/>
      <c r="J7" s="4">
        <v>35100</v>
      </c>
      <c r="K7" s="4">
        <f t="shared" si="1"/>
        <v>35100</v>
      </c>
      <c r="L7" s="4">
        <f t="shared" si="2"/>
        <v>285099.99</v>
      </c>
      <c r="M7" s="4">
        <f t="shared" ref="M7:M22" si="9">P7+S7</f>
        <v>14900.010000000009</v>
      </c>
      <c r="N7" s="4"/>
      <c r="O7" s="4">
        <f t="shared" si="3"/>
        <v>0</v>
      </c>
      <c r="P7" s="4">
        <f t="shared" si="4"/>
        <v>14900.010000000009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0</v>
      </c>
      <c r="V7" s="11"/>
      <c r="W7" s="4">
        <f t="shared" si="8"/>
        <v>0</v>
      </c>
      <c r="X7" s="4"/>
      <c r="Y7" s="4"/>
      <c r="Z7" s="3"/>
      <c r="AA7" s="3" t="s">
        <v>804</v>
      </c>
      <c r="AB7" s="3">
        <v>747000</v>
      </c>
      <c r="AC7" s="333"/>
      <c r="AD7" s="210"/>
      <c r="AE7" s="210"/>
      <c r="AF7" s="210"/>
      <c r="AG7" s="31"/>
      <c r="AH7" s="38"/>
      <c r="AI7" s="31"/>
      <c r="AJ7" s="31"/>
      <c r="AK7" s="31"/>
      <c r="AL7" s="28"/>
      <c r="AM7" s="29"/>
      <c r="AN7" s="29"/>
      <c r="AO7" s="29"/>
      <c r="AP7" s="29"/>
    </row>
    <row r="8" spans="1:42" s="5" customFormat="1" ht="27.6">
      <c r="A8" s="3">
        <f t="shared" ref="A8:A22" si="10">A7+1</f>
        <v>3</v>
      </c>
      <c r="B8" s="3">
        <v>1923</v>
      </c>
      <c r="C8" s="3" t="s">
        <v>180</v>
      </c>
      <c r="D8" s="4">
        <v>152000</v>
      </c>
      <c r="E8" s="4">
        <v>152000</v>
      </c>
      <c r="F8" s="4">
        <f t="shared" si="0"/>
        <v>0</v>
      </c>
      <c r="G8" s="4">
        <v>152000</v>
      </c>
      <c r="H8" s="4">
        <v>138855.6</v>
      </c>
      <c r="I8" s="4">
        <v>13144.39</v>
      </c>
      <c r="J8" s="4"/>
      <c r="K8" s="4">
        <f t="shared" si="1"/>
        <v>13144.39</v>
      </c>
      <c r="L8" s="4">
        <f t="shared" si="2"/>
        <v>151999.99</v>
      </c>
      <c r="M8" s="4">
        <f t="shared" si="9"/>
        <v>1.0000000009313226E-2</v>
      </c>
      <c r="N8" s="4"/>
      <c r="O8" s="4">
        <f t="shared" si="3"/>
        <v>0</v>
      </c>
      <c r="P8" s="4">
        <f t="shared" si="4"/>
        <v>1.0000000009313226E-2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0</v>
      </c>
      <c r="V8" s="11"/>
      <c r="W8" s="4">
        <f t="shared" si="8"/>
        <v>0</v>
      </c>
      <c r="X8" s="4"/>
      <c r="Y8" s="4"/>
      <c r="Z8" s="3"/>
      <c r="AA8" s="3" t="s">
        <v>1215</v>
      </c>
      <c r="AB8" s="3">
        <v>747000</v>
      </c>
      <c r="AC8" s="333"/>
      <c r="AD8" s="210"/>
      <c r="AE8" s="210"/>
      <c r="AF8" s="210"/>
      <c r="AG8" s="31"/>
      <c r="AH8" s="38"/>
      <c r="AI8" s="31"/>
      <c r="AJ8" s="31"/>
      <c r="AK8" s="31"/>
      <c r="AL8" s="28"/>
      <c r="AM8" s="29"/>
      <c r="AN8" s="29"/>
      <c r="AO8" s="29"/>
      <c r="AP8" s="29"/>
    </row>
    <row r="9" spans="1:42" s="5" customFormat="1" ht="19.95" customHeight="1">
      <c r="A9" s="3">
        <f t="shared" si="10"/>
        <v>4</v>
      </c>
      <c r="B9" s="3">
        <v>1996</v>
      </c>
      <c r="C9" s="3" t="s">
        <v>224</v>
      </c>
      <c r="D9" s="4">
        <v>45000</v>
      </c>
      <c r="E9" s="4">
        <v>45000</v>
      </c>
      <c r="F9" s="4">
        <f t="shared" si="0"/>
        <v>0</v>
      </c>
      <c r="G9" s="4">
        <v>45000</v>
      </c>
      <c r="H9" s="4">
        <v>44917.3</v>
      </c>
      <c r="I9" s="4"/>
      <c r="J9" s="4"/>
      <c r="K9" s="4">
        <f t="shared" si="1"/>
        <v>0</v>
      </c>
      <c r="L9" s="4">
        <f t="shared" si="2"/>
        <v>44917.3</v>
      </c>
      <c r="M9" s="4">
        <f t="shared" si="9"/>
        <v>82.69999999999709</v>
      </c>
      <c r="N9" s="4"/>
      <c r="O9" s="4">
        <f t="shared" si="3"/>
        <v>0</v>
      </c>
      <c r="P9" s="4">
        <f t="shared" si="4"/>
        <v>82.69999999999709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1"/>
      <c r="W9" s="4">
        <f t="shared" si="8"/>
        <v>0</v>
      </c>
      <c r="X9" s="4"/>
      <c r="Y9" s="4"/>
      <c r="Z9" s="3"/>
      <c r="AA9" s="630" t="s">
        <v>1503</v>
      </c>
      <c r="AB9" s="3">
        <v>747000</v>
      </c>
      <c r="AC9" s="333"/>
      <c r="AD9" s="210"/>
      <c r="AE9" s="210"/>
      <c r="AF9" s="210"/>
      <c r="AG9" s="31"/>
      <c r="AH9" s="38"/>
      <c r="AI9" s="31"/>
      <c r="AJ9" s="31"/>
      <c r="AK9" s="31"/>
      <c r="AL9" s="28"/>
      <c r="AM9" s="29"/>
      <c r="AN9" s="29"/>
      <c r="AO9" s="29"/>
      <c r="AP9" s="29"/>
    </row>
    <row r="10" spans="1:42" s="5" customFormat="1" ht="27.6">
      <c r="A10" s="3">
        <f t="shared" si="10"/>
        <v>5</v>
      </c>
      <c r="B10" s="3">
        <v>2043</v>
      </c>
      <c r="C10" s="3" t="s">
        <v>1216</v>
      </c>
      <c r="D10" s="4">
        <f>3600000+1600000</f>
        <v>5200000</v>
      </c>
      <c r="E10" s="4">
        <v>3600000</v>
      </c>
      <c r="F10" s="4">
        <f t="shared" si="0"/>
        <v>1600000</v>
      </c>
      <c r="G10" s="4">
        <v>3200000</v>
      </c>
      <c r="H10" s="4">
        <v>2841684.14</v>
      </c>
      <c r="I10" s="4">
        <v>114137.38</v>
      </c>
      <c r="J10" s="4">
        <v>156043.78</v>
      </c>
      <c r="K10" s="4">
        <f t="shared" si="1"/>
        <v>270181.16000000003</v>
      </c>
      <c r="L10" s="4">
        <f t="shared" si="2"/>
        <v>3111865.3000000003</v>
      </c>
      <c r="M10" s="4">
        <f t="shared" si="9"/>
        <v>88134.699999999721</v>
      </c>
      <c r="N10" s="4">
        <f>2000000-150000</f>
        <v>1850000</v>
      </c>
      <c r="O10" s="4">
        <f t="shared" si="3"/>
        <v>150000</v>
      </c>
      <c r="P10" s="4">
        <f t="shared" si="4"/>
        <v>88134.699999999721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1850000</v>
      </c>
      <c r="V10" s="11"/>
      <c r="W10" s="4">
        <f t="shared" si="8"/>
        <v>1850000</v>
      </c>
      <c r="X10" s="4"/>
      <c r="Y10" s="4"/>
      <c r="Z10" s="3"/>
      <c r="AA10" s="3" t="s">
        <v>992</v>
      </c>
      <c r="AB10" s="3">
        <v>747000</v>
      </c>
      <c r="AC10" s="333"/>
      <c r="AD10" s="210"/>
      <c r="AE10" s="210"/>
      <c r="AF10" s="210"/>
      <c r="AG10" s="31"/>
      <c r="AH10" s="38"/>
      <c r="AI10" s="31"/>
      <c r="AJ10" s="31"/>
      <c r="AK10" s="31"/>
      <c r="AL10" s="28"/>
      <c r="AM10" s="29"/>
      <c r="AN10" s="29"/>
      <c r="AO10" s="29"/>
      <c r="AP10" s="29"/>
    </row>
    <row r="11" spans="1:42" s="5" customFormat="1" ht="35.1" customHeight="1">
      <c r="A11" s="3">
        <f t="shared" si="10"/>
        <v>6</v>
      </c>
      <c r="B11" s="3">
        <v>2044</v>
      </c>
      <c r="C11" s="3" t="s">
        <v>234</v>
      </c>
      <c r="D11" s="4">
        <v>105000</v>
      </c>
      <c r="E11" s="4">
        <v>105000</v>
      </c>
      <c r="F11" s="4">
        <f t="shared" si="0"/>
        <v>0</v>
      </c>
      <c r="G11" s="4">
        <v>105000</v>
      </c>
      <c r="H11" s="4">
        <v>56160</v>
      </c>
      <c r="I11" s="4"/>
      <c r="J11" s="4"/>
      <c r="K11" s="4">
        <f t="shared" si="1"/>
        <v>0</v>
      </c>
      <c r="L11" s="4">
        <f t="shared" si="2"/>
        <v>56160</v>
      </c>
      <c r="M11" s="4">
        <f t="shared" si="9"/>
        <v>48840</v>
      </c>
      <c r="N11" s="4"/>
      <c r="O11" s="4">
        <f t="shared" si="3"/>
        <v>0</v>
      </c>
      <c r="P11" s="4">
        <f t="shared" si="4"/>
        <v>48840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11"/>
      <c r="W11" s="4">
        <f t="shared" si="8"/>
        <v>0</v>
      </c>
      <c r="X11" s="4"/>
      <c r="Y11" s="4"/>
      <c r="Z11" s="3"/>
      <c r="AA11" s="3" t="s">
        <v>1217</v>
      </c>
      <c r="AB11" s="3">
        <v>747000</v>
      </c>
      <c r="AC11" s="333"/>
      <c r="AD11" s="210"/>
      <c r="AE11" s="210"/>
      <c r="AF11" s="210"/>
      <c r="AG11" s="31"/>
      <c r="AH11" s="38"/>
      <c r="AI11" s="31"/>
      <c r="AJ11" s="31"/>
      <c r="AK11" s="31"/>
      <c r="AL11" s="28"/>
      <c r="AM11" s="29"/>
      <c r="AN11" s="29"/>
      <c r="AO11" s="29"/>
      <c r="AP11" s="29"/>
    </row>
    <row r="12" spans="1:42" s="5" customFormat="1" ht="27.6">
      <c r="A12" s="3">
        <f t="shared" si="10"/>
        <v>7</v>
      </c>
      <c r="B12" s="3">
        <v>2045</v>
      </c>
      <c r="C12" s="3" t="s">
        <v>557</v>
      </c>
      <c r="D12" s="4">
        <v>205000</v>
      </c>
      <c r="E12" s="4">
        <v>205000</v>
      </c>
      <c r="F12" s="4">
        <f t="shared" si="0"/>
        <v>0</v>
      </c>
      <c r="G12" s="4">
        <v>205000</v>
      </c>
      <c r="H12" s="4">
        <v>0</v>
      </c>
      <c r="I12" s="4">
        <v>184044.03</v>
      </c>
      <c r="J12" s="4"/>
      <c r="K12" s="4">
        <f t="shared" si="1"/>
        <v>184044.03</v>
      </c>
      <c r="L12" s="4">
        <f t="shared" si="2"/>
        <v>184044.03</v>
      </c>
      <c r="M12" s="4">
        <f t="shared" si="9"/>
        <v>20955.97</v>
      </c>
      <c r="N12" s="4"/>
      <c r="O12" s="4">
        <f t="shared" si="3"/>
        <v>0</v>
      </c>
      <c r="P12" s="4">
        <f t="shared" si="4"/>
        <v>20955.97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1"/>
      <c r="W12" s="4">
        <f t="shared" si="8"/>
        <v>0</v>
      </c>
      <c r="X12" s="4"/>
      <c r="Y12" s="4"/>
      <c r="Z12" s="3"/>
      <c r="AA12" s="3" t="s">
        <v>1218</v>
      </c>
      <c r="AB12" s="3">
        <v>747000</v>
      </c>
      <c r="AC12" s="333"/>
      <c r="AD12" s="210"/>
      <c r="AE12" s="210"/>
      <c r="AF12" s="210"/>
      <c r="AG12" s="31"/>
      <c r="AH12" s="38"/>
      <c r="AI12" s="31"/>
      <c r="AJ12" s="31"/>
      <c r="AK12" s="31"/>
      <c r="AL12" s="28"/>
      <c r="AM12" s="29"/>
      <c r="AN12" s="29"/>
      <c r="AO12" s="29"/>
      <c r="AP12" s="29"/>
    </row>
    <row r="13" spans="1:42" s="5" customFormat="1" ht="19.95" customHeight="1">
      <c r="A13" s="3">
        <f t="shared" si="10"/>
        <v>8</v>
      </c>
      <c r="B13" s="3">
        <v>2046</v>
      </c>
      <c r="C13" s="3" t="s">
        <v>235</v>
      </c>
      <c r="D13" s="4">
        <v>30000</v>
      </c>
      <c r="E13" s="4">
        <v>30000</v>
      </c>
      <c r="F13" s="4">
        <f t="shared" si="0"/>
        <v>0</v>
      </c>
      <c r="G13" s="4">
        <v>30000</v>
      </c>
      <c r="H13" s="4">
        <v>29999.83</v>
      </c>
      <c r="I13" s="4"/>
      <c r="J13" s="4"/>
      <c r="K13" s="4">
        <f t="shared" si="1"/>
        <v>0</v>
      </c>
      <c r="L13" s="4">
        <f t="shared" si="2"/>
        <v>29999.83</v>
      </c>
      <c r="M13" s="4">
        <f t="shared" si="9"/>
        <v>0.16999999999825377</v>
      </c>
      <c r="N13" s="4"/>
      <c r="O13" s="4">
        <f t="shared" si="3"/>
        <v>0</v>
      </c>
      <c r="P13" s="4">
        <f t="shared" si="4"/>
        <v>0.16999999999825377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11"/>
      <c r="W13" s="4">
        <f t="shared" si="8"/>
        <v>0</v>
      </c>
      <c r="X13" s="4"/>
      <c r="Y13" s="4"/>
      <c r="Z13" s="3"/>
      <c r="AA13" s="630" t="s">
        <v>1503</v>
      </c>
      <c r="AB13" s="3">
        <v>747000</v>
      </c>
      <c r="AC13" s="333"/>
      <c r="AD13" s="210"/>
      <c r="AE13" s="210"/>
      <c r="AF13" s="210"/>
      <c r="AG13" s="31"/>
      <c r="AH13" s="38"/>
      <c r="AI13" s="31"/>
      <c r="AJ13" s="31"/>
      <c r="AK13" s="31"/>
      <c r="AL13" s="28"/>
      <c r="AM13" s="29"/>
      <c r="AN13" s="29"/>
      <c r="AO13" s="29"/>
      <c r="AP13" s="29"/>
    </row>
    <row r="14" spans="1:42" s="5" customFormat="1" ht="43.2" customHeight="1">
      <c r="A14" s="3">
        <f t="shared" si="10"/>
        <v>9</v>
      </c>
      <c r="B14" s="3">
        <v>2047</v>
      </c>
      <c r="C14" s="3" t="s">
        <v>558</v>
      </c>
      <c r="D14" s="4">
        <v>170000</v>
      </c>
      <c r="E14" s="4">
        <v>170000</v>
      </c>
      <c r="F14" s="4">
        <f t="shared" si="0"/>
        <v>0</v>
      </c>
      <c r="G14" s="4">
        <v>170000</v>
      </c>
      <c r="H14" s="4">
        <v>117000</v>
      </c>
      <c r="I14" s="4">
        <v>52999.99</v>
      </c>
      <c r="J14" s="4"/>
      <c r="K14" s="4">
        <f t="shared" si="1"/>
        <v>52999.99</v>
      </c>
      <c r="L14" s="4">
        <f t="shared" si="2"/>
        <v>169999.99</v>
      </c>
      <c r="M14" s="4">
        <f t="shared" si="9"/>
        <v>1.0000000009313226E-2</v>
      </c>
      <c r="N14" s="4"/>
      <c r="O14" s="4">
        <f t="shared" si="3"/>
        <v>0</v>
      </c>
      <c r="P14" s="4">
        <f t="shared" si="4"/>
        <v>1.0000000009313226E-2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1"/>
      <c r="W14" s="4">
        <f t="shared" si="8"/>
        <v>0</v>
      </c>
      <c r="X14" s="4"/>
      <c r="Y14" s="4"/>
      <c r="Z14" s="3"/>
      <c r="AA14" s="3" t="s">
        <v>1219</v>
      </c>
      <c r="AB14" s="3">
        <v>747000</v>
      </c>
      <c r="AC14" s="333"/>
      <c r="AD14" s="210"/>
      <c r="AE14" s="210"/>
      <c r="AF14" s="210"/>
      <c r="AG14" s="31"/>
      <c r="AH14" s="38"/>
      <c r="AI14" s="31"/>
      <c r="AJ14" s="31"/>
      <c r="AK14" s="31"/>
      <c r="AL14" s="28"/>
      <c r="AM14" s="29"/>
      <c r="AN14" s="29"/>
      <c r="AO14" s="29"/>
      <c r="AP14" s="29"/>
    </row>
    <row r="15" spans="1:42" s="5" customFormat="1" ht="19.95" customHeight="1">
      <c r="A15" s="3">
        <f t="shared" si="10"/>
        <v>10</v>
      </c>
      <c r="B15" s="3">
        <v>2048</v>
      </c>
      <c r="C15" s="3" t="s">
        <v>236</v>
      </c>
      <c r="D15" s="4">
        <v>45000</v>
      </c>
      <c r="E15" s="4">
        <v>45000</v>
      </c>
      <c r="F15" s="4">
        <f t="shared" si="0"/>
        <v>0</v>
      </c>
      <c r="G15" s="4">
        <v>45000</v>
      </c>
      <c r="H15" s="4">
        <v>45000</v>
      </c>
      <c r="I15" s="4"/>
      <c r="J15" s="4"/>
      <c r="K15" s="4">
        <f t="shared" si="1"/>
        <v>0</v>
      </c>
      <c r="L15" s="4">
        <f t="shared" si="2"/>
        <v>45000</v>
      </c>
      <c r="M15" s="4">
        <f t="shared" si="9"/>
        <v>0</v>
      </c>
      <c r="N15" s="4"/>
      <c r="O15" s="4">
        <f t="shared" si="3"/>
        <v>0</v>
      </c>
      <c r="P15" s="4">
        <f t="shared" si="4"/>
        <v>0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1"/>
      <c r="W15" s="4">
        <f t="shared" si="8"/>
        <v>0</v>
      </c>
      <c r="X15" s="4"/>
      <c r="Y15" s="4"/>
      <c r="Z15" s="3"/>
      <c r="AA15" s="630" t="s">
        <v>1503</v>
      </c>
      <c r="AB15" s="3">
        <v>747000</v>
      </c>
      <c r="AC15" s="333"/>
      <c r="AD15" s="210"/>
      <c r="AE15" s="210"/>
      <c r="AF15" s="210"/>
      <c r="AG15" s="31"/>
      <c r="AH15" s="38"/>
      <c r="AI15" s="31"/>
      <c r="AJ15" s="31"/>
      <c r="AK15" s="31"/>
      <c r="AL15" s="28"/>
      <c r="AM15" s="29"/>
      <c r="AN15" s="29"/>
      <c r="AO15" s="29"/>
      <c r="AP15" s="29"/>
    </row>
    <row r="16" spans="1:42" s="5" customFormat="1" ht="19.95" customHeight="1">
      <c r="A16" s="3">
        <f t="shared" si="10"/>
        <v>11</v>
      </c>
      <c r="B16" s="3">
        <v>2049</v>
      </c>
      <c r="C16" s="3" t="s">
        <v>559</v>
      </c>
      <c r="D16" s="4">
        <v>24500</v>
      </c>
      <c r="E16" s="4">
        <v>24500</v>
      </c>
      <c r="F16" s="4">
        <f t="shared" si="0"/>
        <v>0</v>
      </c>
      <c r="G16" s="4">
        <v>24500</v>
      </c>
      <c r="H16" s="4">
        <v>22991.81</v>
      </c>
      <c r="I16" s="4"/>
      <c r="J16" s="4"/>
      <c r="K16" s="4">
        <f t="shared" si="1"/>
        <v>0</v>
      </c>
      <c r="L16" s="4">
        <f t="shared" si="2"/>
        <v>22991.81</v>
      </c>
      <c r="M16" s="4">
        <f t="shared" si="9"/>
        <v>1508.1899999999987</v>
      </c>
      <c r="N16" s="4"/>
      <c r="O16" s="4">
        <f t="shared" si="3"/>
        <v>0</v>
      </c>
      <c r="P16" s="4">
        <f t="shared" si="4"/>
        <v>1508.1899999999987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0</v>
      </c>
      <c r="V16" s="11"/>
      <c r="W16" s="4">
        <f t="shared" si="8"/>
        <v>0</v>
      </c>
      <c r="X16" s="4"/>
      <c r="Y16" s="4"/>
      <c r="Z16" s="3"/>
      <c r="AA16" s="3" t="s">
        <v>659</v>
      </c>
      <c r="AB16" s="3">
        <v>747000</v>
      </c>
      <c r="AC16" s="333"/>
      <c r="AD16" s="210"/>
      <c r="AE16" s="210"/>
      <c r="AF16" s="210"/>
      <c r="AG16" s="31"/>
      <c r="AH16" s="38"/>
      <c r="AI16" s="31"/>
      <c r="AJ16" s="31"/>
      <c r="AK16" s="31"/>
      <c r="AL16" s="28"/>
      <c r="AM16" s="29"/>
      <c r="AN16" s="29"/>
      <c r="AO16" s="29"/>
      <c r="AP16" s="29"/>
    </row>
    <row r="17" spans="1:42" s="5" customFormat="1" ht="19.95" customHeight="1">
      <c r="A17" s="3">
        <f t="shared" si="10"/>
        <v>12</v>
      </c>
      <c r="B17" s="39">
        <v>2084</v>
      </c>
      <c r="C17" s="3" t="s">
        <v>560</v>
      </c>
      <c r="D17" s="4">
        <v>85000</v>
      </c>
      <c r="E17" s="4">
        <v>85000</v>
      </c>
      <c r="F17" s="4">
        <f t="shared" si="0"/>
        <v>0</v>
      </c>
      <c r="G17" s="4">
        <v>85000</v>
      </c>
      <c r="H17" s="4">
        <v>85000</v>
      </c>
      <c r="I17" s="4"/>
      <c r="J17" s="4"/>
      <c r="K17" s="4">
        <f t="shared" si="1"/>
        <v>0</v>
      </c>
      <c r="L17" s="4">
        <f t="shared" si="2"/>
        <v>85000</v>
      </c>
      <c r="M17" s="4">
        <f t="shared" si="9"/>
        <v>0</v>
      </c>
      <c r="N17" s="4"/>
      <c r="O17" s="4">
        <f t="shared" si="3"/>
        <v>0</v>
      </c>
      <c r="P17" s="4">
        <f t="shared" si="4"/>
        <v>0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11"/>
      <c r="W17" s="4">
        <f t="shared" si="8"/>
        <v>0</v>
      </c>
      <c r="X17" s="4"/>
      <c r="Y17" s="4"/>
      <c r="Z17" s="4"/>
      <c r="AA17" s="630" t="s">
        <v>1503</v>
      </c>
      <c r="AB17" s="3">
        <v>747000</v>
      </c>
      <c r="AC17" s="333"/>
      <c r="AD17" s="210"/>
      <c r="AE17" s="210"/>
      <c r="AF17" s="210"/>
      <c r="AG17" s="31"/>
      <c r="AH17" s="31"/>
      <c r="AI17" s="31"/>
      <c r="AJ17" s="31"/>
      <c r="AK17" s="31"/>
      <c r="AL17" s="28"/>
      <c r="AM17" s="28"/>
      <c r="AN17" s="29"/>
      <c r="AO17" s="29"/>
      <c r="AP17" s="29"/>
    </row>
    <row r="18" spans="1:42" s="5" customFormat="1" ht="19.95" customHeight="1">
      <c r="A18" s="3">
        <f t="shared" si="10"/>
        <v>13</v>
      </c>
      <c r="B18" s="39">
        <v>2085</v>
      </c>
      <c r="C18" s="3" t="s">
        <v>561</v>
      </c>
      <c r="D18" s="4">
        <v>85000</v>
      </c>
      <c r="E18" s="4">
        <v>85000</v>
      </c>
      <c r="F18" s="4">
        <f t="shared" si="0"/>
        <v>0</v>
      </c>
      <c r="G18" s="4">
        <v>85000</v>
      </c>
      <c r="H18" s="4">
        <v>73851</v>
      </c>
      <c r="I18" s="4"/>
      <c r="J18" s="4"/>
      <c r="K18" s="4">
        <f>I18+J18</f>
        <v>0</v>
      </c>
      <c r="L18" s="4">
        <f>H18+K18</f>
        <v>73851</v>
      </c>
      <c r="M18" s="4">
        <f>P18+S18</f>
        <v>11149</v>
      </c>
      <c r="N18" s="4"/>
      <c r="O18" s="4">
        <f>D18-L18-M18-N18</f>
        <v>0</v>
      </c>
      <c r="P18" s="4">
        <f>G18-L18</f>
        <v>11149</v>
      </c>
      <c r="Q18" s="4"/>
      <c r="R18" s="4"/>
      <c r="S18" s="4">
        <f>SUM(Q18:R18)</f>
        <v>0</v>
      </c>
      <c r="T18" s="4">
        <f>P18-M18+S18</f>
        <v>0</v>
      </c>
      <c r="U18" s="4">
        <f>N18-T18</f>
        <v>0</v>
      </c>
      <c r="V18" s="11"/>
      <c r="W18" s="4">
        <f t="shared" si="8"/>
        <v>0</v>
      </c>
      <c r="X18" s="4"/>
      <c r="Y18" s="4"/>
      <c r="Z18" s="4"/>
      <c r="AA18" s="3" t="s">
        <v>1479</v>
      </c>
      <c r="AB18" s="3">
        <v>747000</v>
      </c>
      <c r="AC18" s="333"/>
      <c r="AD18" s="210"/>
      <c r="AE18" s="210"/>
      <c r="AF18" s="210"/>
      <c r="AG18" s="31"/>
      <c r="AH18" s="31"/>
      <c r="AI18" s="31"/>
      <c r="AJ18" s="31"/>
      <c r="AK18" s="31"/>
      <c r="AL18" s="28"/>
      <c r="AM18" s="28"/>
      <c r="AN18" s="29"/>
      <c r="AO18" s="29"/>
      <c r="AP18" s="29"/>
    </row>
    <row r="19" spans="1:42" s="5" customFormat="1" ht="35.1" customHeight="1">
      <c r="A19" s="3">
        <f t="shared" si="10"/>
        <v>14</v>
      </c>
      <c r="B19" s="39">
        <v>2125</v>
      </c>
      <c r="C19" s="3" t="s">
        <v>562</v>
      </c>
      <c r="D19" s="4">
        <v>146923</v>
      </c>
      <c r="E19" s="4">
        <v>146923</v>
      </c>
      <c r="F19" s="4">
        <f t="shared" si="0"/>
        <v>0</v>
      </c>
      <c r="G19" s="4">
        <v>146923</v>
      </c>
      <c r="H19" s="4">
        <v>67524.25</v>
      </c>
      <c r="I19" s="4"/>
      <c r="J19" s="4"/>
      <c r="K19" s="4">
        <f>I19+J19</f>
        <v>0</v>
      </c>
      <c r="L19" s="4">
        <f>H19+K19</f>
        <v>67524.25</v>
      </c>
      <c r="M19" s="4">
        <f>P19+S19</f>
        <v>79398.75</v>
      </c>
      <c r="N19" s="4"/>
      <c r="O19" s="4">
        <f>D19-L19-M19-N19</f>
        <v>0</v>
      </c>
      <c r="P19" s="4">
        <f>G19-L19</f>
        <v>79398.75</v>
      </c>
      <c r="Q19" s="4"/>
      <c r="R19" s="4"/>
      <c r="S19" s="4">
        <f>SUM(Q19:R19)</f>
        <v>0</v>
      </c>
      <c r="T19" s="4">
        <f>P19-M19+S19</f>
        <v>0</v>
      </c>
      <c r="U19" s="4">
        <f>N19-T19</f>
        <v>0</v>
      </c>
      <c r="V19" s="11"/>
      <c r="W19" s="4">
        <f t="shared" si="8"/>
        <v>0</v>
      </c>
      <c r="X19" s="4"/>
      <c r="Y19" s="4"/>
      <c r="Z19" s="4"/>
      <c r="AA19" s="3" t="s">
        <v>664</v>
      </c>
      <c r="AB19" s="3">
        <v>747000</v>
      </c>
      <c r="AC19" s="333"/>
      <c r="AD19" s="210"/>
      <c r="AE19" s="210"/>
      <c r="AF19" s="210"/>
      <c r="AG19" s="31"/>
      <c r="AH19" s="31"/>
      <c r="AI19" s="31"/>
      <c r="AJ19" s="31"/>
      <c r="AK19" s="31"/>
      <c r="AL19" s="28"/>
      <c r="AM19" s="28"/>
      <c r="AN19" s="29"/>
      <c r="AO19" s="29"/>
      <c r="AP19" s="29"/>
    </row>
    <row r="20" spans="1:42" s="5" customFormat="1" ht="35.1" customHeight="1">
      <c r="A20" s="3">
        <f t="shared" si="10"/>
        <v>15</v>
      </c>
      <c r="B20" s="39">
        <v>2136</v>
      </c>
      <c r="C20" s="3" t="s">
        <v>1086</v>
      </c>
      <c r="D20" s="4">
        <v>55226</v>
      </c>
      <c r="E20" s="4">
        <v>55226</v>
      </c>
      <c r="F20" s="4">
        <f t="shared" si="0"/>
        <v>0</v>
      </c>
      <c r="G20" s="4"/>
      <c r="H20" s="4">
        <v>0</v>
      </c>
      <c r="I20" s="4"/>
      <c r="J20" s="4"/>
      <c r="K20" s="4">
        <f t="shared" si="1"/>
        <v>0</v>
      </c>
      <c r="L20" s="4">
        <f t="shared" si="2"/>
        <v>0</v>
      </c>
      <c r="M20" s="4">
        <f t="shared" si="9"/>
        <v>55226</v>
      </c>
      <c r="N20" s="4"/>
      <c r="O20" s="4">
        <f t="shared" si="3"/>
        <v>0</v>
      </c>
      <c r="P20" s="4">
        <f t="shared" si="4"/>
        <v>0</v>
      </c>
      <c r="Q20" s="4"/>
      <c r="R20" s="4">
        <v>55226</v>
      </c>
      <c r="S20" s="4">
        <f t="shared" si="5"/>
        <v>55226</v>
      </c>
      <c r="T20" s="4">
        <f t="shared" si="6"/>
        <v>0</v>
      </c>
      <c r="U20" s="4">
        <f t="shared" si="7"/>
        <v>0</v>
      </c>
      <c r="V20" s="11"/>
      <c r="W20" s="4">
        <f t="shared" si="8"/>
        <v>0</v>
      </c>
      <c r="X20" s="4"/>
      <c r="Y20" s="4"/>
      <c r="Z20" s="4"/>
      <c r="AA20" s="3" t="s">
        <v>1303</v>
      </c>
      <c r="AB20" s="3">
        <v>747000</v>
      </c>
      <c r="AC20" s="333"/>
      <c r="AD20" s="210"/>
      <c r="AE20" s="210"/>
      <c r="AF20" s="210"/>
      <c r="AG20" s="31"/>
      <c r="AH20" s="31"/>
      <c r="AI20" s="31"/>
      <c r="AJ20" s="31"/>
      <c r="AK20" s="31"/>
      <c r="AL20" s="28"/>
      <c r="AM20" s="28"/>
      <c r="AN20" s="29"/>
      <c r="AO20" s="29"/>
      <c r="AP20" s="29"/>
    </row>
    <row r="21" spans="1:42" s="5" customFormat="1" ht="35.1" customHeight="1">
      <c r="A21" s="3">
        <f t="shared" si="10"/>
        <v>16</v>
      </c>
      <c r="B21" s="39">
        <v>2137</v>
      </c>
      <c r="C21" s="3" t="s">
        <v>1088</v>
      </c>
      <c r="D21" s="4">
        <v>50000</v>
      </c>
      <c r="E21" s="4">
        <v>50000</v>
      </c>
      <c r="F21" s="4">
        <f t="shared" si="0"/>
        <v>0</v>
      </c>
      <c r="G21" s="4"/>
      <c r="H21" s="4">
        <v>0</v>
      </c>
      <c r="I21" s="4"/>
      <c r="J21" s="4"/>
      <c r="K21" s="4">
        <f t="shared" si="1"/>
        <v>0</v>
      </c>
      <c r="L21" s="4">
        <f t="shared" si="2"/>
        <v>0</v>
      </c>
      <c r="M21" s="4">
        <f t="shared" si="9"/>
        <v>50000</v>
      </c>
      <c r="N21" s="4"/>
      <c r="O21" s="4">
        <f t="shared" si="3"/>
        <v>0</v>
      </c>
      <c r="P21" s="4">
        <f t="shared" si="4"/>
        <v>0</v>
      </c>
      <c r="Q21" s="4"/>
      <c r="R21" s="4">
        <v>50000</v>
      </c>
      <c r="S21" s="4">
        <f t="shared" si="5"/>
        <v>50000</v>
      </c>
      <c r="T21" s="4">
        <f t="shared" si="6"/>
        <v>0</v>
      </c>
      <c r="U21" s="4">
        <f t="shared" si="7"/>
        <v>0</v>
      </c>
      <c r="V21" s="11"/>
      <c r="W21" s="4">
        <f t="shared" si="8"/>
        <v>0</v>
      </c>
      <c r="X21" s="4"/>
      <c r="Y21" s="4"/>
      <c r="Z21" s="4"/>
      <c r="AA21" s="3" t="s">
        <v>1304</v>
      </c>
      <c r="AB21" s="3">
        <v>747000</v>
      </c>
      <c r="AC21" s="333"/>
      <c r="AD21" s="210"/>
      <c r="AE21" s="210"/>
      <c r="AF21" s="210"/>
      <c r="AG21" s="31"/>
      <c r="AH21" s="31"/>
      <c r="AI21" s="31"/>
      <c r="AJ21" s="31"/>
      <c r="AK21" s="31"/>
      <c r="AL21" s="28"/>
      <c r="AM21" s="28"/>
      <c r="AN21" s="29"/>
      <c r="AO21" s="29"/>
      <c r="AP21" s="29"/>
    </row>
    <row r="22" spans="1:42" s="5" customFormat="1" ht="35.1" customHeight="1">
      <c r="A22" s="3">
        <f t="shared" si="10"/>
        <v>17</v>
      </c>
      <c r="B22" s="39">
        <v>2138</v>
      </c>
      <c r="C22" s="3" t="s">
        <v>1089</v>
      </c>
      <c r="D22" s="4">
        <v>80000</v>
      </c>
      <c r="E22" s="4">
        <v>80000</v>
      </c>
      <c r="F22" s="4">
        <f t="shared" si="0"/>
        <v>0</v>
      </c>
      <c r="G22" s="4"/>
      <c r="H22" s="4">
        <v>0</v>
      </c>
      <c r="I22" s="4"/>
      <c r="J22" s="4"/>
      <c r="K22" s="4">
        <f t="shared" si="1"/>
        <v>0</v>
      </c>
      <c r="L22" s="4">
        <f t="shared" si="2"/>
        <v>0</v>
      </c>
      <c r="M22" s="4">
        <f t="shared" si="9"/>
        <v>80000</v>
      </c>
      <c r="N22" s="4"/>
      <c r="O22" s="4">
        <f t="shared" si="3"/>
        <v>0</v>
      </c>
      <c r="P22" s="4">
        <f t="shared" si="4"/>
        <v>0</v>
      </c>
      <c r="Q22" s="4"/>
      <c r="R22" s="4">
        <v>80000</v>
      </c>
      <c r="S22" s="4">
        <f t="shared" si="5"/>
        <v>80000</v>
      </c>
      <c r="T22" s="4">
        <f t="shared" si="6"/>
        <v>0</v>
      </c>
      <c r="U22" s="4">
        <f t="shared" si="7"/>
        <v>0</v>
      </c>
      <c r="V22" s="11"/>
      <c r="W22" s="4">
        <f t="shared" si="8"/>
        <v>0</v>
      </c>
      <c r="X22" s="4"/>
      <c r="Y22" s="4"/>
      <c r="Z22" s="4"/>
      <c r="AA22" s="3" t="s">
        <v>1304</v>
      </c>
      <c r="AB22" s="3">
        <v>747000</v>
      </c>
      <c r="AC22" s="333"/>
      <c r="AD22" s="210"/>
      <c r="AE22" s="210"/>
      <c r="AF22" s="210"/>
      <c r="AG22" s="31"/>
      <c r="AH22" s="31"/>
      <c r="AI22" s="31"/>
      <c r="AJ22" s="31"/>
      <c r="AK22" s="31"/>
      <c r="AL22" s="28"/>
      <c r="AM22" s="28"/>
      <c r="AN22" s="29"/>
      <c r="AO22" s="29"/>
      <c r="AP22" s="29"/>
    </row>
    <row r="23" spans="1:42" s="5" customFormat="1" ht="55.2">
      <c r="A23" s="3">
        <f>A22+1</f>
        <v>18</v>
      </c>
      <c r="B23" s="39">
        <v>2169</v>
      </c>
      <c r="C23" s="3" t="s">
        <v>1220</v>
      </c>
      <c r="D23" s="4">
        <v>100000</v>
      </c>
      <c r="E23" s="4"/>
      <c r="F23" s="4">
        <f>D23-E23</f>
        <v>100000</v>
      </c>
      <c r="G23" s="4">
        <v>0</v>
      </c>
      <c r="H23" s="4">
        <v>0</v>
      </c>
      <c r="I23" s="4"/>
      <c r="J23" s="4"/>
      <c r="K23" s="4">
        <f>SUM(I23:J23)</f>
        <v>0</v>
      </c>
      <c r="L23" s="4">
        <f>H23+K23</f>
        <v>0</v>
      </c>
      <c r="M23" s="4">
        <f>P23+S23</f>
        <v>0</v>
      </c>
      <c r="N23" s="4">
        <v>100000</v>
      </c>
      <c r="O23" s="4">
        <f>D23-L23-M23-N23</f>
        <v>0</v>
      </c>
      <c r="P23" s="4">
        <f>G23-L23</f>
        <v>0</v>
      </c>
      <c r="Q23" s="4"/>
      <c r="R23" s="4"/>
      <c r="S23" s="4">
        <f>SUM(Q23:R23)</f>
        <v>0</v>
      </c>
      <c r="T23" s="4">
        <f>P23-M23+S23</f>
        <v>0</v>
      </c>
      <c r="U23" s="4">
        <f>N23-T23</f>
        <v>100000</v>
      </c>
      <c r="V23" s="4">
        <f>U23-Z23-W23-Y23</f>
        <v>0</v>
      </c>
      <c r="W23" s="4"/>
      <c r="X23" s="4"/>
      <c r="Y23" s="4"/>
      <c r="Z23" s="4">
        <v>100000</v>
      </c>
      <c r="AA23" s="3" t="s">
        <v>1358</v>
      </c>
      <c r="AB23" s="3">
        <v>747000</v>
      </c>
      <c r="AC23" s="20"/>
      <c r="AD23" s="52"/>
      <c r="AE23" s="6"/>
      <c r="AF23" s="6"/>
    </row>
    <row r="24" spans="1:42" s="84" customFormat="1" ht="19.95" customHeight="1">
      <c r="A24" s="41">
        <f>A23</f>
        <v>18</v>
      </c>
      <c r="B24" s="41"/>
      <c r="C24" s="204" t="s">
        <v>610</v>
      </c>
      <c r="D24" s="88">
        <f>SUM(D6:D23)</f>
        <v>6935620</v>
      </c>
      <c r="E24" s="88">
        <f t="shared" ref="E24:Z24" si="11">SUM(E6:E23)</f>
        <v>5250649</v>
      </c>
      <c r="F24" s="88">
        <f t="shared" si="11"/>
        <v>1684971</v>
      </c>
      <c r="G24" s="88">
        <f t="shared" si="11"/>
        <v>4665423</v>
      </c>
      <c r="H24" s="88">
        <f t="shared" si="11"/>
        <v>3829954.9200000004</v>
      </c>
      <c r="I24" s="88">
        <f t="shared" si="11"/>
        <v>364325.79</v>
      </c>
      <c r="J24" s="88">
        <f t="shared" si="11"/>
        <v>191143.78</v>
      </c>
      <c r="K24" s="88">
        <f t="shared" si="11"/>
        <v>555469.57000000007</v>
      </c>
      <c r="L24" s="88">
        <f t="shared" si="11"/>
        <v>4385424.49</v>
      </c>
      <c r="M24" s="88">
        <f t="shared" si="11"/>
        <v>450195.50999999978</v>
      </c>
      <c r="N24" s="88">
        <f t="shared" si="11"/>
        <v>1950000</v>
      </c>
      <c r="O24" s="88">
        <f t="shared" si="11"/>
        <v>150000</v>
      </c>
      <c r="P24" s="88">
        <f t="shared" si="11"/>
        <v>279998.50999999978</v>
      </c>
      <c r="Q24" s="88">
        <f t="shared" si="11"/>
        <v>0</v>
      </c>
      <c r="R24" s="88">
        <f t="shared" si="11"/>
        <v>185226</v>
      </c>
      <c r="S24" s="88">
        <f t="shared" si="11"/>
        <v>185226</v>
      </c>
      <c r="T24" s="88">
        <f t="shared" si="11"/>
        <v>15029</v>
      </c>
      <c r="U24" s="88">
        <f t="shared" si="11"/>
        <v>1934971</v>
      </c>
      <c r="V24" s="88">
        <f t="shared" si="11"/>
        <v>0</v>
      </c>
      <c r="W24" s="88">
        <f t="shared" si="11"/>
        <v>1906971</v>
      </c>
      <c r="X24" s="88">
        <f t="shared" si="11"/>
        <v>0</v>
      </c>
      <c r="Y24" s="88">
        <f t="shared" si="11"/>
        <v>0</v>
      </c>
      <c r="Z24" s="88">
        <f t="shared" si="11"/>
        <v>28000</v>
      </c>
      <c r="AA24" s="431"/>
      <c r="AB24" s="41"/>
      <c r="AC24" s="436"/>
      <c r="AD24" s="438"/>
    </row>
    <row r="25" spans="1:42" hidden="1">
      <c r="A25" s="14"/>
      <c r="D25" s="14"/>
      <c r="E25" s="14"/>
      <c r="F25" s="14"/>
      <c r="G25" s="14"/>
      <c r="H25" s="14"/>
      <c r="I25" s="14"/>
      <c r="J25" s="14"/>
      <c r="K25" s="14"/>
      <c r="L25" s="16">
        <f>H24+K24</f>
        <v>4385424.49</v>
      </c>
      <c r="N25" s="14"/>
      <c r="P25" s="16">
        <f>G24-L25</f>
        <v>279998.50999999978</v>
      </c>
      <c r="T25" s="16">
        <f>P25+S24-M24</f>
        <v>15029</v>
      </c>
      <c r="U25" s="16">
        <f>N24-T24</f>
        <v>1934971</v>
      </c>
      <c r="W25" s="53"/>
      <c r="Z25" s="53"/>
    </row>
    <row r="26" spans="1:42">
      <c r="A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U26" s="21"/>
      <c r="W26" s="53"/>
      <c r="Z26" s="53"/>
    </row>
    <row r="28" spans="1:42">
      <c r="A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42">
      <c r="A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42">
      <c r="A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42">
      <c r="A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S31" s="14"/>
      <c r="T31" s="14"/>
    </row>
  </sheetData>
  <sheetProtection formatCells="0" formatColumns="0" formatRows="0" insertColumns="0" insertRows="0" insertHyperlinks="0" deleteColumns="0" deleteRows="0" sort="0" autoFilter="0" pivotTables="0"/>
  <conditionalFormatting sqref="AA4 AC23:AG24">
    <cfRule type="cellIs" dxfId="27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"/>
  <sheetViews>
    <sheetView showZeros="0" rightToLeft="1" zoomScaleNormal="100" workbookViewId="0">
      <pane xSplit="3" ySplit="4" topLeftCell="D20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D4" sqref="D4"/>
    </sheetView>
  </sheetViews>
  <sheetFormatPr defaultColWidth="9.109375" defaultRowHeight="13.8"/>
  <cols>
    <col min="1" max="1" width="3.5546875" style="37" customWidth="1"/>
    <col min="2" max="2" width="5.44140625" style="26" customWidth="1"/>
    <col min="3" max="3" width="35.6640625" style="407" customWidth="1"/>
    <col min="4" max="4" width="9.44140625" style="16" customWidth="1"/>
    <col min="5" max="5" width="9.109375" style="16" hidden="1" customWidth="1"/>
    <col min="6" max="6" width="10.5546875" style="16" hidden="1" customWidth="1"/>
    <col min="7" max="7" width="11.109375" style="16" hidden="1" customWidth="1"/>
    <col min="8" max="10" width="12.6640625" style="16" hidden="1" customWidth="1"/>
    <col min="11" max="11" width="11.33203125" style="16" hidden="1" customWidth="1"/>
    <col min="12" max="12" width="9.33203125" style="16" customWidth="1"/>
    <col min="13" max="13" width="7.5546875" style="16" customWidth="1"/>
    <col min="14" max="14" width="10.44140625" style="16" customWidth="1"/>
    <col min="15" max="15" width="8.5546875" style="16" customWidth="1"/>
    <col min="16" max="17" width="11.109375" style="16" hidden="1" customWidth="1"/>
    <col min="18" max="19" width="12" style="16" hidden="1" customWidth="1"/>
    <col min="20" max="20" width="7.33203125" style="16" customWidth="1"/>
    <col min="21" max="21" width="10" style="14" customWidth="1"/>
    <col min="22" max="22" width="10.33203125" style="14" customWidth="1"/>
    <col min="23" max="23" width="9.109375" style="14" customWidth="1"/>
    <col min="24" max="25" width="5.33203125" style="14" hidden="1" customWidth="1"/>
    <col min="26" max="26" width="7.88671875" style="14" customWidth="1"/>
    <col min="27" max="27" width="28.109375" style="407" customWidth="1"/>
    <col min="28" max="28" width="7.88671875" style="14" customWidth="1"/>
    <col min="29" max="29" width="12.44140625" style="333" customWidth="1"/>
    <col min="30" max="30" width="9.109375" style="210" bestFit="1" customWidth="1"/>
    <col min="31" max="31" width="12.5546875" style="210" customWidth="1"/>
    <col min="32" max="32" width="9.5546875" style="210" customWidth="1"/>
    <col min="33" max="33" width="10.44140625" style="31" customWidth="1"/>
    <col min="34" max="34" width="7.5546875" style="31" bestFit="1" customWidth="1"/>
    <col min="35" max="35" width="12.33203125" style="31" customWidth="1"/>
    <col min="36" max="36" width="13.109375" style="31" customWidth="1"/>
    <col min="37" max="37" width="21.6640625" style="31" customWidth="1"/>
    <col min="38" max="39" width="9.109375" style="19" customWidth="1"/>
    <col min="40" max="40" width="1.5546875" style="19" customWidth="1"/>
    <col min="41" max="42" width="9.109375" style="19" customWidth="1"/>
    <col min="43" max="16384" width="9.109375" style="14"/>
  </cols>
  <sheetData>
    <row r="1" spans="1:42" s="331" customFormat="1" ht="18">
      <c r="A1" s="329"/>
      <c r="B1" s="766"/>
      <c r="C1" s="764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406"/>
      <c r="AB1" s="330"/>
      <c r="AC1" s="333"/>
      <c r="AD1" s="210"/>
      <c r="AE1" s="210"/>
      <c r="AF1" s="210"/>
      <c r="AG1" s="31"/>
      <c r="AH1" s="31"/>
      <c r="AI1" s="31"/>
      <c r="AJ1" s="31"/>
      <c r="AK1" s="31"/>
    </row>
    <row r="2" spans="1:42" s="191" customFormat="1" ht="18">
      <c r="A2" s="329" t="s">
        <v>233</v>
      </c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5"/>
      <c r="AB2" s="333"/>
      <c r="AC2" s="333"/>
      <c r="AD2" s="210"/>
      <c r="AE2" s="210"/>
      <c r="AF2" s="210"/>
      <c r="AG2" s="31"/>
      <c r="AH2" s="31"/>
      <c r="AI2" s="31"/>
      <c r="AJ2" s="31"/>
      <c r="AK2" s="31"/>
    </row>
    <row r="4" spans="1:42" s="31" customFormat="1" ht="86.25" customHeight="1">
      <c r="A4" s="18" t="s">
        <v>0</v>
      </c>
      <c r="B4" s="756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9</v>
      </c>
      <c r="J4" s="18" t="s">
        <v>215</v>
      </c>
      <c r="K4" s="18" t="s">
        <v>10</v>
      </c>
      <c r="L4" s="18" t="s">
        <v>11</v>
      </c>
      <c r="M4" s="10" t="s">
        <v>918</v>
      </c>
      <c r="N4" s="18" t="s">
        <v>919</v>
      </c>
      <c r="O4" s="18" t="s">
        <v>920</v>
      </c>
      <c r="P4" s="18" t="s">
        <v>12</v>
      </c>
      <c r="Q4" s="18" t="s">
        <v>925</v>
      </c>
      <c r="R4" s="18" t="s">
        <v>926</v>
      </c>
      <c r="S4" s="18" t="s">
        <v>927</v>
      </c>
      <c r="T4" s="18" t="s">
        <v>921</v>
      </c>
      <c r="U4" s="18" t="s">
        <v>922</v>
      </c>
      <c r="V4" s="18" t="s">
        <v>13</v>
      </c>
      <c r="W4" s="18" t="s">
        <v>14</v>
      </c>
      <c r="X4" s="18" t="s">
        <v>15</v>
      </c>
      <c r="Y4" s="18" t="s">
        <v>354</v>
      </c>
      <c r="Z4" s="18" t="s">
        <v>105</v>
      </c>
      <c r="AA4" s="669" t="s">
        <v>410</v>
      </c>
      <c r="AB4" s="18" t="s">
        <v>16</v>
      </c>
      <c r="AC4" s="333"/>
      <c r="AD4" s="210"/>
      <c r="AE4" s="210"/>
      <c r="AF4" s="210"/>
    </row>
    <row r="5" spans="1:42" s="5" customFormat="1" ht="18.75" customHeight="1">
      <c r="A5" s="3"/>
      <c r="B5" s="706"/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25"/>
      <c r="AB5" s="3"/>
      <c r="AC5" s="333"/>
      <c r="AD5" s="210"/>
      <c r="AE5" s="210"/>
      <c r="AF5" s="210"/>
      <c r="AG5" s="31"/>
      <c r="AH5" s="31"/>
      <c r="AI5" s="31"/>
      <c r="AJ5" s="31"/>
      <c r="AK5" s="31"/>
      <c r="AL5" s="28"/>
      <c r="AM5" s="29"/>
      <c r="AN5" s="29"/>
      <c r="AO5" s="29"/>
      <c r="AP5" s="29"/>
    </row>
    <row r="6" spans="1:42" s="5" customFormat="1" ht="27.6">
      <c r="A6" s="3">
        <f>A5+1</f>
        <v>1</v>
      </c>
      <c r="B6" s="706">
        <f>'תקציב רשות החופים 2020 '!B6</f>
        <v>1700</v>
      </c>
      <c r="C6" s="87" t="str">
        <f>'תקציב רשות החופים 2020 '!C6</f>
        <v xml:space="preserve">רכישת ציוד טיפול זיהום חוף ים </v>
      </c>
      <c r="D6" s="4">
        <f>'תקציב רשות החופים 2020 '!D6</f>
        <v>56971</v>
      </c>
      <c r="E6" s="4">
        <f>'תקציב רשות החופים 2020 '!E6</f>
        <v>72000</v>
      </c>
      <c r="F6" s="4">
        <f>'תקציב רשות החופים 2020 '!F6</f>
        <v>-15029</v>
      </c>
      <c r="G6" s="4">
        <f>'תקציב רשות החופים 2020 '!G6</f>
        <v>72000</v>
      </c>
      <c r="H6" s="4">
        <f>'תקציב רשות החופים 2020 '!H6</f>
        <v>56971</v>
      </c>
      <c r="I6" s="4">
        <f>'תקציב רשות החופים 2020 '!I6</f>
        <v>0</v>
      </c>
      <c r="J6" s="4">
        <f>'תקציב רשות החופים 2020 '!J6</f>
        <v>0</v>
      </c>
      <c r="K6" s="4">
        <f>'תקציב רשות החופים 2020 '!K6</f>
        <v>0</v>
      </c>
      <c r="L6" s="4">
        <f>'תקציב רשות החופים 2020 '!L6</f>
        <v>56971</v>
      </c>
      <c r="M6" s="4">
        <f>'תקציב רשות החופים 2020 '!M6</f>
        <v>0</v>
      </c>
      <c r="N6" s="4">
        <f>'תקציב רשות החופים 2020 '!N6</f>
        <v>0</v>
      </c>
      <c r="O6" s="4">
        <f>'תקציב רשות החופים 2020 '!O6</f>
        <v>0</v>
      </c>
      <c r="P6" s="4">
        <f>'תקציב רשות החופים 2020 '!P6</f>
        <v>15029</v>
      </c>
      <c r="Q6" s="4">
        <f>'תקציב רשות החופים 2020 '!Q6</f>
        <v>0</v>
      </c>
      <c r="R6" s="4">
        <f>'תקציב רשות החופים 2020 '!R6</f>
        <v>0</v>
      </c>
      <c r="S6" s="4">
        <f>'תקציב רשות החופים 2020 '!S6</f>
        <v>0</v>
      </c>
      <c r="T6" s="4">
        <f>'תקציב רשות החופים 2020 '!T6</f>
        <v>15029</v>
      </c>
      <c r="U6" s="4">
        <f>'תקציב רשות החופים 2020 '!U6</f>
        <v>-15029</v>
      </c>
      <c r="V6" s="4">
        <f>'תקציב רשות החופים 2020 '!V6</f>
        <v>0</v>
      </c>
      <c r="W6" s="4">
        <f>'תקציב רשות החופים 2020 '!W6</f>
        <v>56971</v>
      </c>
      <c r="X6" s="4">
        <f>'תקציב רשות החופים 2020 '!X6</f>
        <v>0</v>
      </c>
      <c r="Y6" s="4">
        <f>'תקציב רשות החופים 2020 '!Y6</f>
        <v>0</v>
      </c>
      <c r="Z6" s="4">
        <f>'תקציב רשות החופים 2020 '!Z6</f>
        <v>-72000</v>
      </c>
      <c r="AA6" s="87" t="str">
        <f>'תקציב רשות החופים 2020 '!AA6</f>
        <v>הקטנת תקציב , שינוי מימון מימון מ. להגנת הסביבה. סגירת תב"ר.</v>
      </c>
      <c r="AB6" s="706">
        <f>'תקציב רשות החופים 2020 '!AB6</f>
        <v>747000</v>
      </c>
      <c r="AC6" s="333"/>
      <c r="AD6" s="210"/>
      <c r="AE6" s="210"/>
      <c r="AF6" s="210"/>
      <c r="AG6" s="31"/>
      <c r="AH6" s="38"/>
      <c r="AI6" s="31"/>
      <c r="AJ6" s="31"/>
      <c r="AK6" s="31"/>
      <c r="AL6" s="28"/>
      <c r="AM6" s="29"/>
      <c r="AN6" s="29"/>
      <c r="AO6" s="29"/>
      <c r="AP6" s="29"/>
    </row>
    <row r="7" spans="1:42" s="5" customFormat="1">
      <c r="A7" s="3">
        <f>A6+1</f>
        <v>2</v>
      </c>
      <c r="B7" s="706">
        <f>'תקציב רשות החופים 2020 '!B7</f>
        <v>1864</v>
      </c>
      <c r="C7" s="87" t="str">
        <f>'תקציב רשות החופים 2020 '!C7</f>
        <v>עבודות הגנה מצוקים וגידור חופי הים</v>
      </c>
      <c r="D7" s="4">
        <f>'תקציב רשות החופים 2020 '!D7</f>
        <v>300000</v>
      </c>
      <c r="E7" s="4">
        <f>'תקציב רשות החופים 2020 '!E7</f>
        <v>300000</v>
      </c>
      <c r="F7" s="4">
        <f>'תקציב רשות החופים 2020 '!F7</f>
        <v>0</v>
      </c>
      <c r="G7" s="4">
        <f>'תקציב רשות החופים 2020 '!G7</f>
        <v>300000</v>
      </c>
      <c r="H7" s="4">
        <f>'תקציב רשות החופים 2020 '!H7</f>
        <v>249999.99</v>
      </c>
      <c r="I7" s="4">
        <f>'תקציב רשות החופים 2020 '!I7</f>
        <v>0</v>
      </c>
      <c r="J7" s="4">
        <f>'תקציב רשות החופים 2020 '!J7</f>
        <v>35100</v>
      </c>
      <c r="K7" s="4">
        <f>'תקציב רשות החופים 2020 '!K7</f>
        <v>35100</v>
      </c>
      <c r="L7" s="4">
        <f>'תקציב רשות החופים 2020 '!L7</f>
        <v>285099.99</v>
      </c>
      <c r="M7" s="4">
        <f>'תקציב רשות החופים 2020 '!M7</f>
        <v>14900.010000000009</v>
      </c>
      <c r="N7" s="4">
        <f>'תקציב רשות החופים 2020 '!N7</f>
        <v>0</v>
      </c>
      <c r="O7" s="4">
        <f>'תקציב רשות החופים 2020 '!O7</f>
        <v>0</v>
      </c>
      <c r="P7" s="4">
        <f>'תקציב רשות החופים 2020 '!P7</f>
        <v>14900.010000000009</v>
      </c>
      <c r="Q7" s="4">
        <f>'תקציב רשות החופים 2020 '!Q7</f>
        <v>0</v>
      </c>
      <c r="R7" s="4">
        <f>'תקציב רשות החופים 2020 '!R7</f>
        <v>0</v>
      </c>
      <c r="S7" s="4">
        <f>'תקציב רשות החופים 2020 '!S7</f>
        <v>0</v>
      </c>
      <c r="T7" s="4">
        <f>'תקציב רשות החופים 2020 '!T7</f>
        <v>0</v>
      </c>
      <c r="U7" s="4">
        <f>'תקציב רשות החופים 2020 '!U7</f>
        <v>0</v>
      </c>
      <c r="V7" s="4">
        <f>'תקציב רשות החופים 2020 '!V7</f>
        <v>0</v>
      </c>
      <c r="W7" s="4">
        <f>'תקציב רשות החופים 2020 '!W7</f>
        <v>0</v>
      </c>
      <c r="X7" s="4">
        <f>'תקציב רשות החופים 2020 '!X7</f>
        <v>0</v>
      </c>
      <c r="Y7" s="4">
        <f>'תקציב רשות החופים 2020 '!Y7</f>
        <v>0</v>
      </c>
      <c r="Z7" s="4">
        <f>'תקציב רשות החופים 2020 '!Z7</f>
        <v>0</v>
      </c>
      <c r="AA7" s="87" t="str">
        <f>'תקציב רשות החופים 2020 '!AA7</f>
        <v>עבודות גידור בהתאם לנדרש.</v>
      </c>
      <c r="AB7" s="706">
        <f>'תקציב רשות החופים 2020 '!AB7</f>
        <v>747000</v>
      </c>
      <c r="AC7" s="333"/>
      <c r="AD7" s="210"/>
      <c r="AE7" s="210"/>
      <c r="AF7" s="210"/>
      <c r="AG7" s="31"/>
      <c r="AH7" s="38"/>
      <c r="AI7" s="31"/>
      <c r="AJ7" s="31"/>
      <c r="AK7" s="31"/>
      <c r="AL7" s="28"/>
      <c r="AM7" s="29"/>
      <c r="AN7" s="29"/>
      <c r="AO7" s="29"/>
      <c r="AP7" s="29"/>
    </row>
    <row r="8" spans="1:42" s="5" customFormat="1" ht="27.6">
      <c r="A8" s="3">
        <f t="shared" ref="A8:A22" si="0">A7+1</f>
        <v>3</v>
      </c>
      <c r="B8" s="706">
        <f>'תקציב רשות החופים 2020 '!B8</f>
        <v>1923</v>
      </c>
      <c r="C8" s="87" t="str">
        <f>'תקציב רשות החופים 2020 '!C8</f>
        <v>פיתוח חוף רחצה "חוף הכוכבים"</v>
      </c>
      <c r="D8" s="4">
        <f>'תקציב רשות החופים 2020 '!D8</f>
        <v>152000</v>
      </c>
      <c r="E8" s="4">
        <f>'תקציב רשות החופים 2020 '!E8</f>
        <v>152000</v>
      </c>
      <c r="F8" s="4">
        <f>'תקציב רשות החופים 2020 '!F8</f>
        <v>0</v>
      </c>
      <c r="G8" s="4">
        <f>'תקציב רשות החופים 2020 '!G8</f>
        <v>152000</v>
      </c>
      <c r="H8" s="4">
        <f>'תקציב רשות החופים 2020 '!H8</f>
        <v>138855.6</v>
      </c>
      <c r="I8" s="4">
        <f>'תקציב רשות החופים 2020 '!I8</f>
        <v>13144.39</v>
      </c>
      <c r="J8" s="4">
        <f>'תקציב רשות החופים 2020 '!J8</f>
        <v>0</v>
      </c>
      <c r="K8" s="4">
        <f>'תקציב רשות החופים 2020 '!K8</f>
        <v>13144.39</v>
      </c>
      <c r="L8" s="4">
        <f>'תקציב רשות החופים 2020 '!L8</f>
        <v>151999.99</v>
      </c>
      <c r="M8" s="4">
        <f>'תקציב רשות החופים 2020 '!M8</f>
        <v>1.0000000009313226E-2</v>
      </c>
      <c r="N8" s="4">
        <f>'תקציב רשות החופים 2020 '!N8</f>
        <v>0</v>
      </c>
      <c r="O8" s="4">
        <f>'תקציב רשות החופים 2020 '!O8</f>
        <v>0</v>
      </c>
      <c r="P8" s="4">
        <f>'תקציב רשות החופים 2020 '!P8</f>
        <v>1.0000000009313226E-2</v>
      </c>
      <c r="Q8" s="4">
        <f>'תקציב רשות החופים 2020 '!Q8</f>
        <v>0</v>
      </c>
      <c r="R8" s="4">
        <f>'תקציב רשות החופים 2020 '!R8</f>
        <v>0</v>
      </c>
      <c r="S8" s="4">
        <f>'תקציב רשות החופים 2020 '!S8</f>
        <v>0</v>
      </c>
      <c r="T8" s="4">
        <f>'תקציב רשות החופים 2020 '!T8</f>
        <v>0</v>
      </c>
      <c r="U8" s="4">
        <f>'תקציב רשות החופים 2020 '!U8</f>
        <v>0</v>
      </c>
      <c r="V8" s="4">
        <f>'תקציב רשות החופים 2020 '!V8</f>
        <v>0</v>
      </c>
      <c r="W8" s="4">
        <f>'תקציב רשות החופים 2020 '!W8</f>
        <v>0</v>
      </c>
      <c r="X8" s="4">
        <f>'תקציב רשות החופים 2020 '!X8</f>
        <v>0</v>
      </c>
      <c r="Y8" s="4">
        <f>'תקציב רשות החופים 2020 '!Y8</f>
        <v>0</v>
      </c>
      <c r="Z8" s="4">
        <f>'תקציב רשות החופים 2020 '!Z8</f>
        <v>0</v>
      </c>
      <c r="AA8" s="87" t="str">
        <f>'תקציב רשות החופים 2020 '!AA8</f>
        <v>טרם הסתיימה עבודה בתחנת הצלה חוף הכוכבים .</v>
      </c>
      <c r="AB8" s="706">
        <f>'תקציב רשות החופים 2020 '!AB8</f>
        <v>747000</v>
      </c>
      <c r="AC8" s="333"/>
      <c r="AD8" s="210"/>
      <c r="AE8" s="210"/>
      <c r="AF8" s="210"/>
      <c r="AG8" s="31"/>
      <c r="AH8" s="38"/>
      <c r="AI8" s="31"/>
      <c r="AJ8" s="31"/>
      <c r="AK8" s="31"/>
      <c r="AL8" s="28"/>
      <c r="AM8" s="29"/>
      <c r="AN8" s="29"/>
      <c r="AO8" s="29"/>
      <c r="AP8" s="29"/>
    </row>
    <row r="9" spans="1:42" s="5" customFormat="1">
      <c r="A9" s="3">
        <f t="shared" si="0"/>
        <v>4</v>
      </c>
      <c r="B9" s="706">
        <f>'תקציב רשות החופים 2020 '!B9</f>
        <v>1996</v>
      </c>
      <c r="C9" s="87" t="str">
        <f>'תקציב רשות החופים 2020 '!C9</f>
        <v>שילוט 2016</v>
      </c>
      <c r="D9" s="4">
        <f>'תקציב רשות החופים 2020 '!D9</f>
        <v>45000</v>
      </c>
      <c r="E9" s="4">
        <f>'תקציב רשות החופים 2020 '!E9</f>
        <v>45000</v>
      </c>
      <c r="F9" s="4">
        <f>'תקציב רשות החופים 2020 '!F9</f>
        <v>0</v>
      </c>
      <c r="G9" s="4">
        <f>'תקציב רשות החופים 2020 '!G9</f>
        <v>45000</v>
      </c>
      <c r="H9" s="4">
        <f>'תקציב רשות החופים 2020 '!H9</f>
        <v>44917.3</v>
      </c>
      <c r="I9" s="4">
        <f>'תקציב רשות החופים 2020 '!I9</f>
        <v>0</v>
      </c>
      <c r="J9" s="4">
        <f>'תקציב רשות החופים 2020 '!J9</f>
        <v>0</v>
      </c>
      <c r="K9" s="4">
        <f>'תקציב רשות החופים 2020 '!K9</f>
        <v>0</v>
      </c>
      <c r="L9" s="4">
        <f>'תקציב רשות החופים 2020 '!L9</f>
        <v>44917.3</v>
      </c>
      <c r="M9" s="4">
        <f>'תקציב רשות החופים 2020 '!M9</f>
        <v>82.69999999999709</v>
      </c>
      <c r="N9" s="4">
        <f>'תקציב רשות החופים 2020 '!N9</f>
        <v>0</v>
      </c>
      <c r="O9" s="4">
        <f>'תקציב רשות החופים 2020 '!O9</f>
        <v>0</v>
      </c>
      <c r="P9" s="4">
        <f>'תקציב רשות החופים 2020 '!P9</f>
        <v>82.69999999999709</v>
      </c>
      <c r="Q9" s="4">
        <f>'תקציב רשות החופים 2020 '!Q9</f>
        <v>0</v>
      </c>
      <c r="R9" s="4">
        <f>'תקציב רשות החופים 2020 '!R9</f>
        <v>0</v>
      </c>
      <c r="S9" s="4">
        <f>'תקציב רשות החופים 2020 '!S9</f>
        <v>0</v>
      </c>
      <c r="T9" s="4">
        <f>'תקציב רשות החופים 2020 '!T9</f>
        <v>0</v>
      </c>
      <c r="U9" s="4">
        <f>'תקציב רשות החופים 2020 '!U9</f>
        <v>0</v>
      </c>
      <c r="V9" s="4">
        <f>'תקציב רשות החופים 2020 '!V9</f>
        <v>0</v>
      </c>
      <c r="W9" s="4">
        <f>'תקציב רשות החופים 2020 '!W9</f>
        <v>0</v>
      </c>
      <c r="X9" s="4">
        <f>'תקציב רשות החופים 2020 '!X9</f>
        <v>0</v>
      </c>
      <c r="Y9" s="4">
        <f>'תקציב רשות החופים 2020 '!Y9</f>
        <v>0</v>
      </c>
      <c r="Z9" s="4">
        <f>'תקציב רשות החופים 2020 '!Z9</f>
        <v>0</v>
      </c>
      <c r="AA9" s="87" t="str">
        <f>'תקציב רשות החופים 2020 '!AA9</f>
        <v>מימון מ. הפנים. ממתין לתקבול סופי.</v>
      </c>
      <c r="AB9" s="706">
        <f>'תקציב רשות החופים 2020 '!AB9</f>
        <v>747000</v>
      </c>
      <c r="AC9" s="333"/>
      <c r="AD9" s="210"/>
      <c r="AE9" s="210"/>
      <c r="AF9" s="210"/>
      <c r="AG9" s="31"/>
      <c r="AH9" s="38"/>
      <c r="AI9" s="31"/>
      <c r="AJ9" s="31"/>
      <c r="AK9" s="31"/>
      <c r="AL9" s="28"/>
      <c r="AM9" s="29"/>
      <c r="AN9" s="29"/>
      <c r="AO9" s="29"/>
      <c r="AP9" s="29"/>
    </row>
    <row r="10" spans="1:42" s="5" customFormat="1" ht="27.6">
      <c r="A10" s="3">
        <f t="shared" si="0"/>
        <v>5</v>
      </c>
      <c r="B10" s="706">
        <f>'תקציב רשות החופים 2020 '!B10</f>
        <v>2043</v>
      </c>
      <c r="C10" s="87" t="str">
        <f>'תקציב רשות החופים 2020 '!C10</f>
        <v>פיתוח חופי רחצה</v>
      </c>
      <c r="D10" s="4">
        <f>'תקציב רשות החופים 2020 '!D10</f>
        <v>5200000</v>
      </c>
      <c r="E10" s="4">
        <f>'תקציב רשות החופים 2020 '!E10</f>
        <v>3600000</v>
      </c>
      <c r="F10" s="4">
        <f>'תקציב רשות החופים 2020 '!F10</f>
        <v>1600000</v>
      </c>
      <c r="G10" s="4">
        <f>'תקציב רשות החופים 2020 '!G10</f>
        <v>3200000</v>
      </c>
      <c r="H10" s="4">
        <f>'תקציב רשות החופים 2020 '!H10</f>
        <v>2841684.14</v>
      </c>
      <c r="I10" s="4">
        <f>'תקציב רשות החופים 2020 '!I10</f>
        <v>114137.38</v>
      </c>
      <c r="J10" s="4">
        <f>'תקציב רשות החופים 2020 '!J10</f>
        <v>156043.78</v>
      </c>
      <c r="K10" s="4">
        <f>'תקציב רשות החופים 2020 '!K10</f>
        <v>270181.16000000003</v>
      </c>
      <c r="L10" s="4">
        <f>'תקציב רשות החופים 2020 '!L10</f>
        <v>3111865.3000000003</v>
      </c>
      <c r="M10" s="4">
        <f>'תקציב רשות החופים 2020 '!M10</f>
        <v>88134.699999999721</v>
      </c>
      <c r="N10" s="4">
        <f>'תקציב רשות החופים 2020 '!N10</f>
        <v>1850000</v>
      </c>
      <c r="O10" s="4">
        <f>'תקציב רשות החופים 2020 '!O10</f>
        <v>150000</v>
      </c>
      <c r="P10" s="4">
        <f>'תקציב רשות החופים 2020 '!P10</f>
        <v>88134.699999999721</v>
      </c>
      <c r="Q10" s="4">
        <f>'תקציב רשות החופים 2020 '!Q10</f>
        <v>0</v>
      </c>
      <c r="R10" s="4">
        <f>'תקציב רשות החופים 2020 '!R10</f>
        <v>0</v>
      </c>
      <c r="S10" s="4">
        <f>'תקציב רשות החופים 2020 '!S10</f>
        <v>0</v>
      </c>
      <c r="T10" s="4">
        <f>'תקציב רשות החופים 2020 '!T10</f>
        <v>0</v>
      </c>
      <c r="U10" s="4">
        <f>'תקציב רשות החופים 2020 '!U10</f>
        <v>1850000</v>
      </c>
      <c r="V10" s="4">
        <f>'תקציב רשות החופים 2020 '!V10</f>
        <v>0</v>
      </c>
      <c r="W10" s="4">
        <f>'תקציב רשות החופים 2020 '!W10</f>
        <v>1850000</v>
      </c>
      <c r="X10" s="4">
        <f>'תקציב רשות החופים 2020 '!X10</f>
        <v>0</v>
      </c>
      <c r="Y10" s="4">
        <f>'תקציב רשות החופים 2020 '!Y10</f>
        <v>0</v>
      </c>
      <c r="Z10" s="4">
        <f>'תקציב רשות החופים 2020 '!Z10</f>
        <v>0</v>
      </c>
      <c r="AA10" s="87" t="str">
        <f>'תקציב רשות החופים 2020 '!AA10</f>
        <v xml:space="preserve">סל עבודות פיתוח והיערכות לקראת פתיחת עונת הרחצה ובמהלכה. </v>
      </c>
      <c r="AB10" s="706">
        <f>'תקציב רשות החופים 2020 '!AB10</f>
        <v>747000</v>
      </c>
      <c r="AC10" s="333"/>
      <c r="AD10" s="210"/>
      <c r="AE10" s="210"/>
      <c r="AF10" s="210"/>
      <c r="AG10" s="31"/>
      <c r="AH10" s="38"/>
      <c r="AI10" s="31"/>
      <c r="AJ10" s="31"/>
      <c r="AK10" s="31"/>
      <c r="AL10" s="28"/>
      <c r="AM10" s="29"/>
      <c r="AN10" s="29"/>
      <c r="AO10" s="29"/>
      <c r="AP10" s="29"/>
    </row>
    <row r="11" spans="1:42" s="5" customFormat="1" ht="27.6">
      <c r="A11" s="3">
        <f t="shared" si="0"/>
        <v>6</v>
      </c>
      <c r="B11" s="706">
        <f>'תקציב רשות החופים 2020 '!B11</f>
        <v>2044</v>
      </c>
      <c r="C11" s="87" t="str">
        <f>'תקציב רשות החופים 2020 '!C11</f>
        <v>סככות צל חוף הכוכבים 2017</v>
      </c>
      <c r="D11" s="4">
        <f>'תקציב רשות החופים 2020 '!D11</f>
        <v>105000</v>
      </c>
      <c r="E11" s="4">
        <f>'תקציב רשות החופים 2020 '!E11</f>
        <v>105000</v>
      </c>
      <c r="F11" s="4">
        <f>'תקציב רשות החופים 2020 '!F11</f>
        <v>0</v>
      </c>
      <c r="G11" s="4">
        <f>'תקציב רשות החופים 2020 '!G11</f>
        <v>105000</v>
      </c>
      <c r="H11" s="4">
        <f>'תקציב רשות החופים 2020 '!H11</f>
        <v>56160</v>
      </c>
      <c r="I11" s="4">
        <f>'תקציב רשות החופים 2020 '!I11</f>
        <v>0</v>
      </c>
      <c r="J11" s="4">
        <f>'תקציב רשות החופים 2020 '!J11</f>
        <v>0</v>
      </c>
      <c r="K11" s="4">
        <f>'תקציב רשות החופים 2020 '!K11</f>
        <v>0</v>
      </c>
      <c r="L11" s="4">
        <f>'תקציב רשות החופים 2020 '!L11</f>
        <v>56160</v>
      </c>
      <c r="M11" s="4">
        <f>'תקציב רשות החופים 2020 '!M11</f>
        <v>48840</v>
      </c>
      <c r="N11" s="4">
        <f>'תקציב רשות החופים 2020 '!N11</f>
        <v>0</v>
      </c>
      <c r="O11" s="4">
        <f>'תקציב רשות החופים 2020 '!O11</f>
        <v>0</v>
      </c>
      <c r="P11" s="4">
        <f>'תקציב רשות החופים 2020 '!P11</f>
        <v>48840</v>
      </c>
      <c r="Q11" s="4">
        <f>'תקציב רשות החופים 2020 '!Q11</f>
        <v>0</v>
      </c>
      <c r="R11" s="4">
        <f>'תקציב רשות החופים 2020 '!R11</f>
        <v>0</v>
      </c>
      <c r="S11" s="4">
        <f>'תקציב רשות החופים 2020 '!S11</f>
        <v>0</v>
      </c>
      <c r="T11" s="4">
        <f>'תקציב רשות החופים 2020 '!T11</f>
        <v>0</v>
      </c>
      <c r="U11" s="4">
        <f>'תקציב רשות החופים 2020 '!U11</f>
        <v>0</v>
      </c>
      <c r="V11" s="4">
        <f>'תקציב רשות החופים 2020 '!V11</f>
        <v>0</v>
      </c>
      <c r="W11" s="4">
        <f>'תקציב רשות החופים 2020 '!W11</f>
        <v>0</v>
      </c>
      <c r="X11" s="4">
        <f>'תקציב רשות החופים 2020 '!X11</f>
        <v>0</v>
      </c>
      <c r="Y11" s="4">
        <f>'תקציב רשות החופים 2020 '!Y11</f>
        <v>0</v>
      </c>
      <c r="Z11" s="4">
        <f>'תקציב רשות החופים 2020 '!Z11</f>
        <v>0</v>
      </c>
      <c r="AA11" s="87" t="str">
        <f>'תקציב רשות החופים 2020 '!AA11</f>
        <v>מימון משרד הפנים. עבור רכישת 2 סככות נוספות הצללה לחוף הכוכבים.</v>
      </c>
      <c r="AB11" s="706">
        <f>'תקציב רשות החופים 2020 '!AB11</f>
        <v>747000</v>
      </c>
      <c r="AC11" s="333"/>
      <c r="AD11" s="210"/>
      <c r="AE11" s="210"/>
      <c r="AF11" s="210"/>
      <c r="AG11" s="31"/>
      <c r="AH11" s="38"/>
      <c r="AI11" s="31"/>
      <c r="AJ11" s="31"/>
      <c r="AK11" s="31"/>
      <c r="AL11" s="28"/>
      <c r="AM11" s="29"/>
      <c r="AN11" s="29"/>
      <c r="AO11" s="29"/>
      <c r="AP11" s="29"/>
    </row>
    <row r="12" spans="1:42" s="5" customFormat="1" ht="27.6">
      <c r="A12" s="3">
        <f t="shared" si="0"/>
        <v>7</v>
      </c>
      <c r="B12" s="706">
        <f>'תקציב רשות החופים 2020 '!B12</f>
        <v>2045</v>
      </c>
      <c r="C12" s="87" t="str">
        <f>'תקציב רשות החופים 2020 '!C12</f>
        <v>הסדרת החוף הנפרד</v>
      </c>
      <c r="D12" s="4">
        <f>'תקציב רשות החופים 2020 '!D12</f>
        <v>205000</v>
      </c>
      <c r="E12" s="4">
        <f>'תקציב רשות החופים 2020 '!E12</f>
        <v>205000</v>
      </c>
      <c r="F12" s="4">
        <f>'תקציב רשות החופים 2020 '!F12</f>
        <v>0</v>
      </c>
      <c r="G12" s="4">
        <f>'תקציב רשות החופים 2020 '!G12</f>
        <v>205000</v>
      </c>
      <c r="H12" s="4">
        <f>'תקציב רשות החופים 2020 '!H12</f>
        <v>0</v>
      </c>
      <c r="I12" s="4">
        <f>'תקציב רשות החופים 2020 '!I12</f>
        <v>184044.03</v>
      </c>
      <c r="J12" s="4">
        <f>'תקציב רשות החופים 2020 '!J12</f>
        <v>0</v>
      </c>
      <c r="K12" s="4">
        <f>'תקציב רשות החופים 2020 '!K12</f>
        <v>184044.03</v>
      </c>
      <c r="L12" s="4">
        <f>'תקציב רשות החופים 2020 '!L12</f>
        <v>184044.03</v>
      </c>
      <c r="M12" s="4">
        <f>'תקציב רשות החופים 2020 '!M12</f>
        <v>20955.97</v>
      </c>
      <c r="N12" s="4">
        <f>'תקציב רשות החופים 2020 '!N12</f>
        <v>0</v>
      </c>
      <c r="O12" s="4">
        <f>'תקציב רשות החופים 2020 '!O12</f>
        <v>0</v>
      </c>
      <c r="P12" s="4">
        <f>'תקציב רשות החופים 2020 '!P12</f>
        <v>20955.97</v>
      </c>
      <c r="Q12" s="4">
        <f>'תקציב רשות החופים 2020 '!Q12</f>
        <v>0</v>
      </c>
      <c r="R12" s="4">
        <f>'תקציב רשות החופים 2020 '!R12</f>
        <v>0</v>
      </c>
      <c r="S12" s="4">
        <f>'תקציב רשות החופים 2020 '!S12</f>
        <v>0</v>
      </c>
      <c r="T12" s="4">
        <f>'תקציב רשות החופים 2020 '!T12</f>
        <v>0</v>
      </c>
      <c r="U12" s="4">
        <f>'תקציב רשות החופים 2020 '!U12</f>
        <v>0</v>
      </c>
      <c r="V12" s="4">
        <f>'תקציב רשות החופים 2020 '!V12</f>
        <v>0</v>
      </c>
      <c r="W12" s="4">
        <f>'תקציב רשות החופים 2020 '!W12</f>
        <v>0</v>
      </c>
      <c r="X12" s="4">
        <f>'תקציב רשות החופים 2020 '!X12</f>
        <v>0</v>
      </c>
      <c r="Y12" s="4">
        <f>'תקציב רשות החופים 2020 '!Y12</f>
        <v>0</v>
      </c>
      <c r="Z12" s="4">
        <f>'תקציב רשות החופים 2020 '!Z12</f>
        <v>0</v>
      </c>
      <c r="AA12" s="87" t="str">
        <f>'תקציב רשות החופים 2020 '!AA12</f>
        <v>מימון משרד הפנים. יבוצעו עבודות נוספות בחוף הנפרד.</v>
      </c>
      <c r="AB12" s="706">
        <f>'תקציב רשות החופים 2020 '!AB12</f>
        <v>747000</v>
      </c>
      <c r="AC12" s="333"/>
      <c r="AD12" s="210"/>
      <c r="AE12" s="210"/>
      <c r="AF12" s="210"/>
      <c r="AG12" s="31"/>
      <c r="AH12" s="38"/>
      <c r="AI12" s="31"/>
      <c r="AJ12" s="31"/>
      <c r="AK12" s="31"/>
      <c r="AL12" s="28"/>
      <c r="AM12" s="29"/>
      <c r="AN12" s="29"/>
      <c r="AO12" s="29"/>
      <c r="AP12" s="29"/>
    </row>
    <row r="13" spans="1:42" s="5" customFormat="1">
      <c r="A13" s="3">
        <f t="shared" si="0"/>
        <v>8</v>
      </c>
      <c r="B13" s="706">
        <f>'תקציב רשות החופים 2020 '!B13</f>
        <v>2046</v>
      </c>
      <c r="C13" s="87" t="str">
        <f>'תקציב רשות החופים 2020 '!C13</f>
        <v>כסאות לנכים 2017</v>
      </c>
      <c r="D13" s="4">
        <f>'תקציב רשות החופים 2020 '!D13</f>
        <v>30000</v>
      </c>
      <c r="E13" s="4">
        <f>'תקציב רשות החופים 2020 '!E13</f>
        <v>30000</v>
      </c>
      <c r="F13" s="4">
        <f>'תקציב רשות החופים 2020 '!F13</f>
        <v>0</v>
      </c>
      <c r="G13" s="4">
        <f>'תקציב רשות החופים 2020 '!G13</f>
        <v>30000</v>
      </c>
      <c r="H13" s="4">
        <f>'תקציב רשות החופים 2020 '!H13</f>
        <v>29999.83</v>
      </c>
      <c r="I13" s="4">
        <f>'תקציב רשות החופים 2020 '!I13</f>
        <v>0</v>
      </c>
      <c r="J13" s="4">
        <f>'תקציב רשות החופים 2020 '!J13</f>
        <v>0</v>
      </c>
      <c r="K13" s="4">
        <f>'תקציב רשות החופים 2020 '!K13</f>
        <v>0</v>
      </c>
      <c r="L13" s="4">
        <f>'תקציב רשות החופים 2020 '!L13</f>
        <v>29999.83</v>
      </c>
      <c r="M13" s="4">
        <f>'תקציב רשות החופים 2020 '!M13</f>
        <v>0.16999999999825377</v>
      </c>
      <c r="N13" s="4">
        <f>'תקציב רשות החופים 2020 '!N13</f>
        <v>0</v>
      </c>
      <c r="O13" s="4">
        <f>'תקציב רשות החופים 2020 '!O13</f>
        <v>0</v>
      </c>
      <c r="P13" s="4">
        <f>'תקציב רשות החופים 2020 '!P13</f>
        <v>0.16999999999825377</v>
      </c>
      <c r="Q13" s="4">
        <f>'תקציב רשות החופים 2020 '!Q13</f>
        <v>0</v>
      </c>
      <c r="R13" s="4">
        <f>'תקציב רשות החופים 2020 '!R13</f>
        <v>0</v>
      </c>
      <c r="S13" s="4">
        <f>'תקציב רשות החופים 2020 '!S13</f>
        <v>0</v>
      </c>
      <c r="T13" s="4">
        <f>'תקציב רשות החופים 2020 '!T13</f>
        <v>0</v>
      </c>
      <c r="U13" s="4">
        <f>'תקציב רשות החופים 2020 '!U13</f>
        <v>0</v>
      </c>
      <c r="V13" s="4">
        <f>'תקציב רשות החופים 2020 '!V13</f>
        <v>0</v>
      </c>
      <c r="W13" s="4">
        <f>'תקציב רשות החופים 2020 '!W13</f>
        <v>0</v>
      </c>
      <c r="X13" s="4">
        <f>'תקציב רשות החופים 2020 '!X13</f>
        <v>0</v>
      </c>
      <c r="Y13" s="4">
        <f>'תקציב רשות החופים 2020 '!Y13</f>
        <v>0</v>
      </c>
      <c r="Z13" s="4">
        <f>'תקציב רשות החופים 2020 '!Z13</f>
        <v>0</v>
      </c>
      <c r="AA13" s="87" t="str">
        <f>'תקציב רשות החופים 2020 '!AA13</f>
        <v>מימון מ. הפנים. ממתין לתקבול סופי.</v>
      </c>
      <c r="AB13" s="706">
        <f>'תקציב רשות החופים 2020 '!AB13</f>
        <v>747000</v>
      </c>
      <c r="AC13" s="333"/>
      <c r="AD13" s="210"/>
      <c r="AE13" s="210"/>
      <c r="AF13" s="210"/>
      <c r="AG13" s="31"/>
      <c r="AH13" s="38"/>
      <c r="AI13" s="31"/>
      <c r="AJ13" s="31"/>
      <c r="AK13" s="31"/>
      <c r="AL13" s="28"/>
      <c r="AM13" s="29"/>
      <c r="AN13" s="29"/>
      <c r="AO13" s="29"/>
      <c r="AP13" s="29"/>
    </row>
    <row r="14" spans="1:42" s="5" customFormat="1" ht="27.6">
      <c r="A14" s="3">
        <f t="shared" si="0"/>
        <v>9</v>
      </c>
      <c r="B14" s="706">
        <f>'תקציב רשות החופים 2020 '!B14</f>
        <v>2047</v>
      </c>
      <c r="C14" s="87" t="str">
        <f>'תקציב רשות החופים 2020 '!C14</f>
        <v>תחנת הצלה חוף הכוכבים 2017</v>
      </c>
      <c r="D14" s="4">
        <f>'תקציב רשות החופים 2020 '!D14</f>
        <v>170000</v>
      </c>
      <c r="E14" s="4">
        <f>'תקציב רשות החופים 2020 '!E14</f>
        <v>170000</v>
      </c>
      <c r="F14" s="4">
        <f>'תקציב רשות החופים 2020 '!F14</f>
        <v>0</v>
      </c>
      <c r="G14" s="4">
        <f>'תקציב רשות החופים 2020 '!G14</f>
        <v>170000</v>
      </c>
      <c r="H14" s="4">
        <f>'תקציב רשות החופים 2020 '!H14</f>
        <v>117000</v>
      </c>
      <c r="I14" s="4">
        <f>'תקציב רשות החופים 2020 '!I14</f>
        <v>52999.99</v>
      </c>
      <c r="J14" s="4">
        <f>'תקציב רשות החופים 2020 '!J14</f>
        <v>0</v>
      </c>
      <c r="K14" s="4">
        <f>'תקציב רשות החופים 2020 '!K14</f>
        <v>52999.99</v>
      </c>
      <c r="L14" s="4">
        <f>'תקציב רשות החופים 2020 '!L14</f>
        <v>169999.99</v>
      </c>
      <c r="M14" s="4">
        <f>'תקציב רשות החופים 2020 '!M14</f>
        <v>1.0000000009313226E-2</v>
      </c>
      <c r="N14" s="4">
        <f>'תקציב רשות החופים 2020 '!N14</f>
        <v>0</v>
      </c>
      <c r="O14" s="4">
        <f>'תקציב רשות החופים 2020 '!O14</f>
        <v>0</v>
      </c>
      <c r="P14" s="4">
        <f>'תקציב רשות החופים 2020 '!P14</f>
        <v>1.0000000009313226E-2</v>
      </c>
      <c r="Q14" s="4">
        <f>'תקציב רשות החופים 2020 '!Q14</f>
        <v>0</v>
      </c>
      <c r="R14" s="4">
        <f>'תקציב רשות החופים 2020 '!R14</f>
        <v>0</v>
      </c>
      <c r="S14" s="4">
        <f>'תקציב רשות החופים 2020 '!S14</f>
        <v>0</v>
      </c>
      <c r="T14" s="4">
        <f>'תקציב רשות החופים 2020 '!T14</f>
        <v>0</v>
      </c>
      <c r="U14" s="4">
        <f>'תקציב רשות החופים 2020 '!U14</f>
        <v>0</v>
      </c>
      <c r="V14" s="4">
        <f>'תקציב רשות החופים 2020 '!V14</f>
        <v>0</v>
      </c>
      <c r="W14" s="4">
        <f>'תקציב רשות החופים 2020 '!W14</f>
        <v>0</v>
      </c>
      <c r="X14" s="4">
        <f>'תקציב רשות החופים 2020 '!X14</f>
        <v>0</v>
      </c>
      <c r="Y14" s="4">
        <f>'תקציב רשות החופים 2020 '!Y14</f>
        <v>0</v>
      </c>
      <c r="Z14" s="4">
        <f>'תקציב רשות החופים 2020 '!Z14</f>
        <v>0</v>
      </c>
      <c r="AA14" s="87" t="str">
        <f>'תקציב רשות החופים 2020 '!AA14</f>
        <v>מימון משרד הפנים.בניית התחנה טרם הסתיימה. ממתינים להיתר בנייה.</v>
      </c>
      <c r="AB14" s="706">
        <f>'תקציב רשות החופים 2020 '!AB14</f>
        <v>747000</v>
      </c>
      <c r="AC14" s="333"/>
      <c r="AD14" s="210"/>
      <c r="AE14" s="210"/>
      <c r="AF14" s="210"/>
      <c r="AG14" s="31"/>
      <c r="AH14" s="38"/>
      <c r="AI14" s="31"/>
      <c r="AJ14" s="31"/>
      <c r="AK14" s="31"/>
      <c r="AL14" s="28"/>
      <c r="AM14" s="29"/>
      <c r="AN14" s="29"/>
      <c r="AO14" s="29"/>
      <c r="AP14" s="29"/>
    </row>
    <row r="15" spans="1:42" s="5" customFormat="1">
      <c r="A15" s="3">
        <f t="shared" si="0"/>
        <v>10</v>
      </c>
      <c r="B15" s="706">
        <f>'תקציב רשות החופים 2020 '!B15</f>
        <v>2048</v>
      </c>
      <c r="C15" s="87" t="str">
        <f>'תקציב רשות החופים 2020 '!C15</f>
        <v>משקפות למצילים 2017</v>
      </c>
      <c r="D15" s="4">
        <f>'תקציב רשות החופים 2020 '!D15</f>
        <v>45000</v>
      </c>
      <c r="E15" s="4">
        <f>'תקציב רשות החופים 2020 '!E15</f>
        <v>45000</v>
      </c>
      <c r="F15" s="4">
        <f>'תקציב רשות החופים 2020 '!F15</f>
        <v>0</v>
      </c>
      <c r="G15" s="4">
        <f>'תקציב רשות החופים 2020 '!G15</f>
        <v>45000</v>
      </c>
      <c r="H15" s="4">
        <f>'תקציב רשות החופים 2020 '!H15</f>
        <v>45000</v>
      </c>
      <c r="I15" s="4">
        <f>'תקציב רשות החופים 2020 '!I15</f>
        <v>0</v>
      </c>
      <c r="J15" s="4">
        <f>'תקציב רשות החופים 2020 '!J15</f>
        <v>0</v>
      </c>
      <c r="K15" s="4">
        <f>'תקציב רשות החופים 2020 '!K15</f>
        <v>0</v>
      </c>
      <c r="L15" s="4">
        <f>'תקציב רשות החופים 2020 '!L15</f>
        <v>45000</v>
      </c>
      <c r="M15" s="4">
        <f>'תקציב רשות החופים 2020 '!M15</f>
        <v>0</v>
      </c>
      <c r="N15" s="4">
        <f>'תקציב רשות החופים 2020 '!N15</f>
        <v>0</v>
      </c>
      <c r="O15" s="4">
        <f>'תקציב רשות החופים 2020 '!O15</f>
        <v>0</v>
      </c>
      <c r="P15" s="4">
        <f>'תקציב רשות החופים 2020 '!P15</f>
        <v>0</v>
      </c>
      <c r="Q15" s="4">
        <f>'תקציב רשות החופים 2020 '!Q15</f>
        <v>0</v>
      </c>
      <c r="R15" s="4">
        <f>'תקציב רשות החופים 2020 '!R15</f>
        <v>0</v>
      </c>
      <c r="S15" s="4">
        <f>'תקציב רשות החופים 2020 '!S15</f>
        <v>0</v>
      </c>
      <c r="T15" s="4">
        <f>'תקציב רשות החופים 2020 '!T15</f>
        <v>0</v>
      </c>
      <c r="U15" s="4">
        <f>'תקציב רשות החופים 2020 '!U15</f>
        <v>0</v>
      </c>
      <c r="V15" s="4">
        <f>'תקציב רשות החופים 2020 '!V15</f>
        <v>0</v>
      </c>
      <c r="W15" s="4">
        <f>'תקציב רשות החופים 2020 '!W15</f>
        <v>0</v>
      </c>
      <c r="X15" s="4">
        <f>'תקציב רשות החופים 2020 '!X15</f>
        <v>0</v>
      </c>
      <c r="Y15" s="4">
        <f>'תקציב רשות החופים 2020 '!Y15</f>
        <v>0</v>
      </c>
      <c r="Z15" s="4">
        <f>'תקציב רשות החופים 2020 '!Z15</f>
        <v>0</v>
      </c>
      <c r="AA15" s="87" t="str">
        <f>'תקציב רשות החופים 2020 '!AA15</f>
        <v>מימון מ. הפנים. ממתין לתקבול סופי.</v>
      </c>
      <c r="AB15" s="706">
        <f>'תקציב רשות החופים 2020 '!AB15</f>
        <v>747000</v>
      </c>
      <c r="AC15" s="333"/>
      <c r="AD15" s="210"/>
      <c r="AE15" s="210"/>
      <c r="AF15" s="210"/>
      <c r="AG15" s="31"/>
      <c r="AH15" s="38"/>
      <c r="AI15" s="31"/>
      <c r="AJ15" s="31"/>
      <c r="AK15" s="31"/>
      <c r="AL15" s="28"/>
      <c r="AM15" s="29"/>
      <c r="AN15" s="29"/>
      <c r="AO15" s="29"/>
      <c r="AP15" s="29"/>
    </row>
    <row r="16" spans="1:42" s="5" customFormat="1">
      <c r="A16" s="3">
        <f t="shared" si="0"/>
        <v>11</v>
      </c>
      <c r="B16" s="706">
        <f>'תקציב רשות החופים 2020 '!B16</f>
        <v>2049</v>
      </c>
      <c r="C16" s="87" t="str">
        <f>'תקציב רשות החופים 2020 '!C16</f>
        <v>שילוט חופי רחצה 2017</v>
      </c>
      <c r="D16" s="4">
        <f>'תקציב רשות החופים 2020 '!D16</f>
        <v>24500</v>
      </c>
      <c r="E16" s="4">
        <f>'תקציב רשות החופים 2020 '!E16</f>
        <v>24500</v>
      </c>
      <c r="F16" s="4">
        <f>'תקציב רשות החופים 2020 '!F16</f>
        <v>0</v>
      </c>
      <c r="G16" s="4">
        <f>'תקציב רשות החופים 2020 '!G16</f>
        <v>24500</v>
      </c>
      <c r="H16" s="4">
        <f>'תקציב רשות החופים 2020 '!H16</f>
        <v>22991.81</v>
      </c>
      <c r="I16" s="4">
        <f>'תקציב רשות החופים 2020 '!I16</f>
        <v>0</v>
      </c>
      <c r="J16" s="4">
        <f>'תקציב רשות החופים 2020 '!J16</f>
        <v>0</v>
      </c>
      <c r="K16" s="4">
        <f>'תקציב רשות החופים 2020 '!K16</f>
        <v>0</v>
      </c>
      <c r="L16" s="4">
        <f>'תקציב רשות החופים 2020 '!L16</f>
        <v>22991.81</v>
      </c>
      <c r="M16" s="4">
        <f>'תקציב רשות החופים 2020 '!M16</f>
        <v>1508.1899999999987</v>
      </c>
      <c r="N16" s="4">
        <f>'תקציב רשות החופים 2020 '!N16</f>
        <v>0</v>
      </c>
      <c r="O16" s="4">
        <f>'תקציב רשות החופים 2020 '!O16</f>
        <v>0</v>
      </c>
      <c r="P16" s="4">
        <f>'תקציב רשות החופים 2020 '!P16</f>
        <v>1508.1899999999987</v>
      </c>
      <c r="Q16" s="4">
        <f>'תקציב רשות החופים 2020 '!Q16</f>
        <v>0</v>
      </c>
      <c r="R16" s="4">
        <f>'תקציב רשות החופים 2020 '!R16</f>
        <v>0</v>
      </c>
      <c r="S16" s="4">
        <f>'תקציב רשות החופים 2020 '!S16</f>
        <v>0</v>
      </c>
      <c r="T16" s="4">
        <f>'תקציב רשות החופים 2020 '!T16</f>
        <v>0</v>
      </c>
      <c r="U16" s="4">
        <f>'תקציב רשות החופים 2020 '!U16</f>
        <v>0</v>
      </c>
      <c r="V16" s="4">
        <f>'תקציב רשות החופים 2020 '!V16</f>
        <v>0</v>
      </c>
      <c r="W16" s="4">
        <f>'תקציב רשות החופים 2020 '!W16</f>
        <v>0</v>
      </c>
      <c r="X16" s="4">
        <f>'תקציב רשות החופים 2020 '!X16</f>
        <v>0</v>
      </c>
      <c r="Y16" s="4">
        <f>'תקציב רשות החופים 2020 '!Y16</f>
        <v>0</v>
      </c>
      <c r="Z16" s="4">
        <f>'תקציב רשות החופים 2020 '!Z16</f>
        <v>0</v>
      </c>
      <c r="AA16" s="87" t="str">
        <f>'תקציב רשות החופים 2020 '!AA16</f>
        <v>מימון משרד הפנים.</v>
      </c>
      <c r="AB16" s="706">
        <f>'תקציב רשות החופים 2020 '!AB16</f>
        <v>747000</v>
      </c>
      <c r="AC16" s="333"/>
      <c r="AD16" s="210"/>
      <c r="AE16" s="210"/>
      <c r="AF16" s="210"/>
      <c r="AG16" s="31"/>
      <c r="AH16" s="38"/>
      <c r="AI16" s="31"/>
      <c r="AJ16" s="31"/>
      <c r="AK16" s="31"/>
      <c r="AL16" s="28"/>
      <c r="AM16" s="29"/>
      <c r="AN16" s="29"/>
      <c r="AO16" s="29"/>
      <c r="AP16" s="29"/>
    </row>
    <row r="17" spans="1:42" s="5" customFormat="1">
      <c r="A17" s="3">
        <f t="shared" si="0"/>
        <v>12</v>
      </c>
      <c r="B17" s="706">
        <f>'תקציב רשות החופים 2020 '!B17</f>
        <v>2084</v>
      </c>
      <c r="C17" s="87" t="str">
        <f>'תקציב רשות החופים 2020 '!C17</f>
        <v>מיול לפיקוח והצלה 2018</v>
      </c>
      <c r="D17" s="4">
        <f>'תקציב רשות החופים 2020 '!D17</f>
        <v>85000</v>
      </c>
      <c r="E17" s="4">
        <f>'תקציב רשות החופים 2020 '!E17</f>
        <v>85000</v>
      </c>
      <c r="F17" s="4">
        <f>'תקציב רשות החופים 2020 '!F17</f>
        <v>0</v>
      </c>
      <c r="G17" s="4">
        <f>'תקציב רשות החופים 2020 '!G17</f>
        <v>85000</v>
      </c>
      <c r="H17" s="4">
        <f>'תקציב רשות החופים 2020 '!H17</f>
        <v>85000</v>
      </c>
      <c r="I17" s="4">
        <f>'תקציב רשות החופים 2020 '!I17</f>
        <v>0</v>
      </c>
      <c r="J17" s="4">
        <f>'תקציב רשות החופים 2020 '!J17</f>
        <v>0</v>
      </c>
      <c r="K17" s="4">
        <f>'תקציב רשות החופים 2020 '!K17</f>
        <v>0</v>
      </c>
      <c r="L17" s="4">
        <f>'תקציב רשות החופים 2020 '!L17</f>
        <v>85000</v>
      </c>
      <c r="M17" s="4">
        <f>'תקציב רשות החופים 2020 '!M17</f>
        <v>0</v>
      </c>
      <c r="N17" s="4">
        <f>'תקציב רשות החופים 2020 '!N17</f>
        <v>0</v>
      </c>
      <c r="O17" s="4">
        <f>'תקציב רשות החופים 2020 '!O17</f>
        <v>0</v>
      </c>
      <c r="P17" s="4">
        <f>'תקציב רשות החופים 2020 '!P17</f>
        <v>0</v>
      </c>
      <c r="Q17" s="4">
        <f>'תקציב רשות החופים 2020 '!Q17</f>
        <v>0</v>
      </c>
      <c r="R17" s="4">
        <f>'תקציב רשות החופים 2020 '!R17</f>
        <v>0</v>
      </c>
      <c r="S17" s="4">
        <f>'תקציב רשות החופים 2020 '!S17</f>
        <v>0</v>
      </c>
      <c r="T17" s="4">
        <f>'תקציב רשות החופים 2020 '!T17</f>
        <v>0</v>
      </c>
      <c r="U17" s="4">
        <f>'תקציב רשות החופים 2020 '!U17</f>
        <v>0</v>
      </c>
      <c r="V17" s="4">
        <f>'תקציב רשות החופים 2020 '!V17</f>
        <v>0</v>
      </c>
      <c r="W17" s="4">
        <f>'תקציב רשות החופים 2020 '!W17</f>
        <v>0</v>
      </c>
      <c r="X17" s="4">
        <f>'תקציב רשות החופים 2020 '!X17</f>
        <v>0</v>
      </c>
      <c r="Y17" s="4">
        <f>'תקציב רשות החופים 2020 '!Y17</f>
        <v>0</v>
      </c>
      <c r="Z17" s="4">
        <f>'תקציב רשות החופים 2020 '!Z17</f>
        <v>0</v>
      </c>
      <c r="AA17" s="87" t="str">
        <f>'תקציב רשות החופים 2020 '!AA17</f>
        <v>מימון מ. הפנים. ממתין לתקבול סופי.</v>
      </c>
      <c r="AB17" s="706">
        <f>'תקציב רשות החופים 2020 '!AB17</f>
        <v>747000</v>
      </c>
      <c r="AC17" s="333"/>
      <c r="AD17" s="210"/>
      <c r="AE17" s="210"/>
      <c r="AF17" s="210"/>
      <c r="AG17" s="31"/>
      <c r="AH17" s="31"/>
      <c r="AI17" s="31"/>
      <c r="AJ17" s="31"/>
      <c r="AK17" s="31"/>
      <c r="AL17" s="28"/>
      <c r="AM17" s="28"/>
      <c r="AN17" s="29"/>
      <c r="AO17" s="29"/>
      <c r="AP17" s="29"/>
    </row>
    <row r="18" spans="1:42" s="5" customFormat="1">
      <c r="A18" s="3">
        <f t="shared" si="0"/>
        <v>13</v>
      </c>
      <c r="B18" s="706">
        <f>'תקציב רשות החופים 2020 '!B18</f>
        <v>2085</v>
      </c>
      <c r="C18" s="87" t="str">
        <f>'תקציב רשות החופים 2020 '!C18</f>
        <v>אופנוע ים כולל זיווד 2018</v>
      </c>
      <c r="D18" s="4">
        <f>'תקציב רשות החופים 2020 '!D18</f>
        <v>85000</v>
      </c>
      <c r="E18" s="4">
        <f>'תקציב רשות החופים 2020 '!E18</f>
        <v>85000</v>
      </c>
      <c r="F18" s="4">
        <f>'תקציב רשות החופים 2020 '!F18</f>
        <v>0</v>
      </c>
      <c r="G18" s="4">
        <f>'תקציב רשות החופים 2020 '!G18</f>
        <v>85000</v>
      </c>
      <c r="H18" s="4">
        <f>'תקציב רשות החופים 2020 '!H18</f>
        <v>73851</v>
      </c>
      <c r="I18" s="4">
        <f>'תקציב רשות החופים 2020 '!I18</f>
        <v>0</v>
      </c>
      <c r="J18" s="4">
        <f>'תקציב רשות החופים 2020 '!J18</f>
        <v>0</v>
      </c>
      <c r="K18" s="4">
        <f>'תקציב רשות החופים 2020 '!K18</f>
        <v>0</v>
      </c>
      <c r="L18" s="4">
        <f>'תקציב רשות החופים 2020 '!L18</f>
        <v>73851</v>
      </c>
      <c r="M18" s="4">
        <f>'תקציב רשות החופים 2020 '!M18</f>
        <v>11149</v>
      </c>
      <c r="N18" s="4">
        <f>'תקציב רשות החופים 2020 '!N18</f>
        <v>0</v>
      </c>
      <c r="O18" s="4">
        <f>'תקציב רשות החופים 2020 '!O18</f>
        <v>0</v>
      </c>
      <c r="P18" s="4">
        <f>'תקציב רשות החופים 2020 '!P18</f>
        <v>11149</v>
      </c>
      <c r="Q18" s="4">
        <f>'תקציב רשות החופים 2020 '!Q18</f>
        <v>0</v>
      </c>
      <c r="R18" s="4">
        <f>'תקציב רשות החופים 2020 '!R18</f>
        <v>0</v>
      </c>
      <c r="S18" s="4">
        <f>'תקציב רשות החופים 2020 '!S18</f>
        <v>0</v>
      </c>
      <c r="T18" s="4">
        <f>'תקציב רשות החופים 2020 '!T18</f>
        <v>0</v>
      </c>
      <c r="U18" s="4">
        <f>'תקציב רשות החופים 2020 '!U18</f>
        <v>0</v>
      </c>
      <c r="V18" s="4">
        <f>'תקציב רשות החופים 2020 '!V18</f>
        <v>0</v>
      </c>
      <c r="W18" s="4">
        <f>'תקציב רשות החופים 2020 '!W18</f>
        <v>0</v>
      </c>
      <c r="X18" s="4">
        <f>'תקציב רשות החופים 2020 '!X18</f>
        <v>0</v>
      </c>
      <c r="Y18" s="4">
        <f>'תקציב רשות החופים 2020 '!Y18</f>
        <v>0</v>
      </c>
      <c r="Z18" s="4">
        <f>'תקציב רשות החופים 2020 '!Z18</f>
        <v>0</v>
      </c>
      <c r="AA18" s="87" t="str">
        <f>'תקציב רשות החופים 2020 '!AA18</f>
        <v xml:space="preserve">מימון משרד הפנים. </v>
      </c>
      <c r="AB18" s="706">
        <f>'תקציב רשות החופים 2020 '!AB18</f>
        <v>747000</v>
      </c>
      <c r="AC18" s="333"/>
      <c r="AD18" s="210"/>
      <c r="AE18" s="210"/>
      <c r="AF18" s="210"/>
      <c r="AG18" s="31"/>
      <c r="AH18" s="31"/>
      <c r="AI18" s="31"/>
      <c r="AJ18" s="31"/>
      <c r="AK18" s="31"/>
      <c r="AL18" s="28"/>
      <c r="AM18" s="28"/>
      <c r="AN18" s="29"/>
      <c r="AO18" s="29"/>
      <c r="AP18" s="29"/>
    </row>
    <row r="19" spans="1:42" s="5" customFormat="1" ht="27.6">
      <c r="A19" s="3">
        <f t="shared" si="0"/>
        <v>14</v>
      </c>
      <c r="B19" s="706">
        <f>'תקציב רשות החופים 2020 '!B19</f>
        <v>2125</v>
      </c>
      <c r="C19" s="87" t="str">
        <f>'תקציב רשות החופים 2020 '!C19</f>
        <v>ציוד הצלה ובטיחות 2018</v>
      </c>
      <c r="D19" s="4">
        <f>'תקציב רשות החופים 2020 '!D19</f>
        <v>146923</v>
      </c>
      <c r="E19" s="4">
        <f>'תקציב רשות החופים 2020 '!E19</f>
        <v>146923</v>
      </c>
      <c r="F19" s="4">
        <f>'תקציב רשות החופים 2020 '!F19</f>
        <v>0</v>
      </c>
      <c r="G19" s="4">
        <f>'תקציב רשות החופים 2020 '!G19</f>
        <v>146923</v>
      </c>
      <c r="H19" s="4">
        <f>'תקציב רשות החופים 2020 '!H19</f>
        <v>67524.25</v>
      </c>
      <c r="I19" s="4">
        <f>'תקציב רשות החופים 2020 '!I19</f>
        <v>0</v>
      </c>
      <c r="J19" s="4">
        <f>'תקציב רשות החופים 2020 '!J19</f>
        <v>0</v>
      </c>
      <c r="K19" s="4">
        <f>'תקציב רשות החופים 2020 '!K19</f>
        <v>0</v>
      </c>
      <c r="L19" s="4">
        <f>'תקציב רשות החופים 2020 '!L19</f>
        <v>67524.25</v>
      </c>
      <c r="M19" s="4">
        <f>'תקציב רשות החופים 2020 '!M19</f>
        <v>79398.75</v>
      </c>
      <c r="N19" s="4">
        <f>'תקציב רשות החופים 2020 '!N19</f>
        <v>0</v>
      </c>
      <c r="O19" s="4">
        <f>'תקציב רשות החופים 2020 '!O19</f>
        <v>0</v>
      </c>
      <c r="P19" s="4">
        <f>'תקציב רשות החופים 2020 '!P19</f>
        <v>79398.75</v>
      </c>
      <c r="Q19" s="4">
        <f>'תקציב רשות החופים 2020 '!Q19</f>
        <v>0</v>
      </c>
      <c r="R19" s="4">
        <f>'תקציב רשות החופים 2020 '!R19</f>
        <v>0</v>
      </c>
      <c r="S19" s="4">
        <f>'תקציב רשות החופים 2020 '!S19</f>
        <v>0</v>
      </c>
      <c r="T19" s="4">
        <f>'תקציב רשות החופים 2020 '!T19</f>
        <v>0</v>
      </c>
      <c r="U19" s="4">
        <f>'תקציב רשות החופים 2020 '!U19</f>
        <v>0</v>
      </c>
      <c r="V19" s="4">
        <f>'תקציב רשות החופים 2020 '!V19</f>
        <v>0</v>
      </c>
      <c r="W19" s="4">
        <f>'תקציב רשות החופים 2020 '!W19</f>
        <v>0</v>
      </c>
      <c r="X19" s="4">
        <f>'תקציב רשות החופים 2020 '!X19</f>
        <v>0</v>
      </c>
      <c r="Y19" s="4">
        <f>'תקציב רשות החופים 2020 '!Y19</f>
        <v>0</v>
      </c>
      <c r="Z19" s="4">
        <f>'תקציב רשות החופים 2020 '!Z19</f>
        <v>0</v>
      </c>
      <c r="AA19" s="87" t="str">
        <f>'תקציב רשות החופים 2020 '!AA19</f>
        <v>החלפה והוספת ציוד הצלה ובטיחות. מימון משרד הפנים.</v>
      </c>
      <c r="AB19" s="706">
        <f>'תקציב רשות החופים 2020 '!AB19</f>
        <v>747000</v>
      </c>
      <c r="AC19" s="333"/>
      <c r="AD19" s="210"/>
      <c r="AE19" s="210"/>
      <c r="AF19" s="210"/>
      <c r="AG19" s="31"/>
      <c r="AH19" s="31"/>
      <c r="AI19" s="31"/>
      <c r="AJ19" s="31"/>
      <c r="AK19" s="31"/>
      <c r="AL19" s="28"/>
      <c r="AM19" s="28"/>
      <c r="AN19" s="29"/>
      <c r="AO19" s="29"/>
      <c r="AP19" s="29"/>
    </row>
    <row r="20" spans="1:42" s="5" customFormat="1" ht="27.6">
      <c r="A20" s="3">
        <f t="shared" si="0"/>
        <v>15</v>
      </c>
      <c r="B20" s="706">
        <f>'תקציב רשות החופים 2020 '!B20</f>
        <v>2136</v>
      </c>
      <c r="C20" s="87" t="str">
        <f>'תקציב רשות החופים 2020 '!C20</f>
        <v>שילוט חופים 2019</v>
      </c>
      <c r="D20" s="4">
        <f>'תקציב רשות החופים 2020 '!D20</f>
        <v>55226</v>
      </c>
      <c r="E20" s="4">
        <f>'תקציב רשות החופים 2020 '!E20</f>
        <v>55226</v>
      </c>
      <c r="F20" s="4">
        <f>'תקציב רשות החופים 2020 '!F20</f>
        <v>0</v>
      </c>
      <c r="G20" s="4">
        <f>'תקציב רשות החופים 2020 '!G20</f>
        <v>0</v>
      </c>
      <c r="H20" s="4">
        <f>'תקציב רשות החופים 2020 '!H20</f>
        <v>0</v>
      </c>
      <c r="I20" s="4">
        <f>'תקציב רשות החופים 2020 '!I20</f>
        <v>0</v>
      </c>
      <c r="J20" s="4">
        <f>'תקציב רשות החופים 2020 '!J20</f>
        <v>0</v>
      </c>
      <c r="K20" s="4">
        <f>'תקציב רשות החופים 2020 '!K20</f>
        <v>0</v>
      </c>
      <c r="L20" s="4">
        <f>'תקציב רשות החופים 2020 '!L20</f>
        <v>0</v>
      </c>
      <c r="M20" s="4">
        <f>'תקציב רשות החופים 2020 '!M20</f>
        <v>55226</v>
      </c>
      <c r="N20" s="4">
        <f>'תקציב רשות החופים 2020 '!N20</f>
        <v>0</v>
      </c>
      <c r="O20" s="4">
        <f>'תקציב רשות החופים 2020 '!O20</f>
        <v>0</v>
      </c>
      <c r="P20" s="4">
        <f>'תקציב רשות החופים 2020 '!P20</f>
        <v>0</v>
      </c>
      <c r="Q20" s="4">
        <f>'תקציב רשות החופים 2020 '!Q20</f>
        <v>0</v>
      </c>
      <c r="R20" s="4">
        <f>'תקציב רשות החופים 2020 '!R20</f>
        <v>55226</v>
      </c>
      <c r="S20" s="4">
        <f>'תקציב רשות החופים 2020 '!S20</f>
        <v>55226</v>
      </c>
      <c r="T20" s="4">
        <f>'תקציב רשות החופים 2020 '!T20</f>
        <v>0</v>
      </c>
      <c r="U20" s="4">
        <f>'תקציב רשות החופים 2020 '!U20</f>
        <v>0</v>
      </c>
      <c r="V20" s="4">
        <f>'תקציב רשות החופים 2020 '!V20</f>
        <v>0</v>
      </c>
      <c r="W20" s="4">
        <f>'תקציב רשות החופים 2020 '!W20</f>
        <v>0</v>
      </c>
      <c r="X20" s="4">
        <f>'תקציב רשות החופים 2020 '!X20</f>
        <v>0</v>
      </c>
      <c r="Y20" s="4">
        <f>'תקציב רשות החופים 2020 '!Y20</f>
        <v>0</v>
      </c>
      <c r="Z20" s="4">
        <f>'תקציב רשות החופים 2020 '!Z20</f>
        <v>0</v>
      </c>
      <c r="AA20" s="87" t="str">
        <f>'תקציב רשות החופים 2020 '!AA20</f>
        <v xml:space="preserve">רכישת אופנוע ים כולל זיווד. מימון משרד הפנים. </v>
      </c>
      <c r="AB20" s="706">
        <f>'תקציב רשות החופים 2020 '!AB20</f>
        <v>747000</v>
      </c>
      <c r="AC20" s="333"/>
      <c r="AD20" s="210"/>
      <c r="AE20" s="210"/>
      <c r="AF20" s="210"/>
      <c r="AG20" s="31"/>
      <c r="AH20" s="31"/>
      <c r="AI20" s="31"/>
      <c r="AJ20" s="31"/>
      <c r="AK20" s="31"/>
      <c r="AL20" s="28"/>
      <c r="AM20" s="28"/>
      <c r="AN20" s="29"/>
      <c r="AO20" s="29"/>
      <c r="AP20" s="29"/>
    </row>
    <row r="21" spans="1:42" s="5" customFormat="1" ht="27.6">
      <c r="A21" s="3">
        <f t="shared" si="0"/>
        <v>16</v>
      </c>
      <c r="B21" s="706">
        <f>'תקציב רשות החופים 2020 '!B21</f>
        <v>2137</v>
      </c>
      <c r="C21" s="87" t="str">
        <f>'תקציב רשות החופים 2020 '!C21</f>
        <v>ציוד הצלה ובטיחות 2019</v>
      </c>
      <c r="D21" s="4">
        <f>'תקציב רשות החופים 2020 '!D21</f>
        <v>50000</v>
      </c>
      <c r="E21" s="4">
        <f>'תקציב רשות החופים 2020 '!E21</f>
        <v>50000</v>
      </c>
      <c r="F21" s="4">
        <f>'תקציב רשות החופים 2020 '!F21</f>
        <v>0</v>
      </c>
      <c r="G21" s="4">
        <f>'תקציב רשות החופים 2020 '!G21</f>
        <v>0</v>
      </c>
      <c r="H21" s="4">
        <f>'תקציב רשות החופים 2020 '!H21</f>
        <v>0</v>
      </c>
      <c r="I21" s="4">
        <f>'תקציב רשות החופים 2020 '!I21</f>
        <v>0</v>
      </c>
      <c r="J21" s="4">
        <f>'תקציב רשות החופים 2020 '!J21</f>
        <v>0</v>
      </c>
      <c r="K21" s="4">
        <f>'תקציב רשות החופים 2020 '!K21</f>
        <v>0</v>
      </c>
      <c r="L21" s="4">
        <f>'תקציב רשות החופים 2020 '!L21</f>
        <v>0</v>
      </c>
      <c r="M21" s="4">
        <f>'תקציב רשות החופים 2020 '!M21</f>
        <v>50000</v>
      </c>
      <c r="N21" s="4">
        <f>'תקציב רשות החופים 2020 '!N21</f>
        <v>0</v>
      </c>
      <c r="O21" s="4">
        <f>'תקציב רשות החופים 2020 '!O21</f>
        <v>0</v>
      </c>
      <c r="P21" s="4">
        <f>'תקציב רשות החופים 2020 '!P21</f>
        <v>0</v>
      </c>
      <c r="Q21" s="4">
        <f>'תקציב רשות החופים 2020 '!Q21</f>
        <v>0</v>
      </c>
      <c r="R21" s="4">
        <f>'תקציב רשות החופים 2020 '!R21</f>
        <v>50000</v>
      </c>
      <c r="S21" s="4">
        <f>'תקציב רשות החופים 2020 '!S21</f>
        <v>50000</v>
      </c>
      <c r="T21" s="4">
        <f>'תקציב רשות החופים 2020 '!T21</f>
        <v>0</v>
      </c>
      <c r="U21" s="4">
        <f>'תקציב רשות החופים 2020 '!U21</f>
        <v>0</v>
      </c>
      <c r="V21" s="4">
        <f>'תקציב רשות החופים 2020 '!V21</f>
        <v>0</v>
      </c>
      <c r="W21" s="4">
        <f>'תקציב רשות החופים 2020 '!W21</f>
        <v>0</v>
      </c>
      <c r="X21" s="4">
        <f>'תקציב רשות החופים 2020 '!X21</f>
        <v>0</v>
      </c>
      <c r="Y21" s="4">
        <f>'תקציב רשות החופים 2020 '!Y21</f>
        <v>0</v>
      </c>
      <c r="Z21" s="4">
        <f>'תקציב רשות החופים 2020 '!Z21</f>
        <v>0</v>
      </c>
      <c r="AA21" s="87" t="str">
        <f>'תקציב רשות החופים 2020 '!AA21</f>
        <v xml:space="preserve">החלפה והוספת ציוד הצלה ובטיחות. מימון משרד הפנים. </v>
      </c>
      <c r="AB21" s="706">
        <f>'תקציב רשות החופים 2020 '!AB21</f>
        <v>747000</v>
      </c>
      <c r="AC21" s="333"/>
      <c r="AD21" s="210"/>
      <c r="AE21" s="210"/>
      <c r="AF21" s="210"/>
      <c r="AG21" s="31"/>
      <c r="AH21" s="31"/>
      <c r="AI21" s="31"/>
      <c r="AJ21" s="31"/>
      <c r="AK21" s="31"/>
      <c r="AL21" s="28"/>
      <c r="AM21" s="28"/>
      <c r="AN21" s="29"/>
      <c r="AO21" s="29"/>
      <c r="AP21" s="29"/>
    </row>
    <row r="22" spans="1:42" s="5" customFormat="1" ht="27.6">
      <c r="A22" s="3">
        <f t="shared" si="0"/>
        <v>17</v>
      </c>
      <c r="B22" s="706">
        <f>'תקציב רשות החופים 2020 '!B22</f>
        <v>2138</v>
      </c>
      <c r="C22" s="87" t="str">
        <f>'תקציב רשות החופים 2020 '!C22</f>
        <v>אופנוע ים 2019</v>
      </c>
      <c r="D22" s="4">
        <f>'תקציב רשות החופים 2020 '!D22</f>
        <v>80000</v>
      </c>
      <c r="E22" s="4">
        <f>'תקציב רשות החופים 2020 '!E22</f>
        <v>80000</v>
      </c>
      <c r="F22" s="4">
        <f>'תקציב רשות החופים 2020 '!F22</f>
        <v>0</v>
      </c>
      <c r="G22" s="4">
        <f>'תקציב רשות החופים 2020 '!G22</f>
        <v>0</v>
      </c>
      <c r="H22" s="4">
        <f>'תקציב רשות החופים 2020 '!H22</f>
        <v>0</v>
      </c>
      <c r="I22" s="4">
        <f>'תקציב רשות החופים 2020 '!I22</f>
        <v>0</v>
      </c>
      <c r="J22" s="4">
        <f>'תקציב רשות החופים 2020 '!J22</f>
        <v>0</v>
      </c>
      <c r="K22" s="4">
        <f>'תקציב רשות החופים 2020 '!K22</f>
        <v>0</v>
      </c>
      <c r="L22" s="4">
        <f>'תקציב רשות החופים 2020 '!L22</f>
        <v>0</v>
      </c>
      <c r="M22" s="4">
        <f>'תקציב רשות החופים 2020 '!M22</f>
        <v>80000</v>
      </c>
      <c r="N22" s="4">
        <f>'תקציב רשות החופים 2020 '!N22</f>
        <v>0</v>
      </c>
      <c r="O22" s="4">
        <f>'תקציב רשות החופים 2020 '!O22</f>
        <v>0</v>
      </c>
      <c r="P22" s="4">
        <f>'תקציב רשות החופים 2020 '!P22</f>
        <v>0</v>
      </c>
      <c r="Q22" s="4">
        <f>'תקציב רשות החופים 2020 '!Q22</f>
        <v>0</v>
      </c>
      <c r="R22" s="4">
        <f>'תקציב רשות החופים 2020 '!R22</f>
        <v>80000</v>
      </c>
      <c r="S22" s="4">
        <f>'תקציב רשות החופים 2020 '!S22</f>
        <v>80000</v>
      </c>
      <c r="T22" s="4">
        <f>'תקציב רשות החופים 2020 '!T22</f>
        <v>0</v>
      </c>
      <c r="U22" s="4">
        <f>'תקציב רשות החופים 2020 '!U22</f>
        <v>0</v>
      </c>
      <c r="V22" s="4">
        <f>'תקציב רשות החופים 2020 '!V22</f>
        <v>0</v>
      </c>
      <c r="W22" s="4">
        <f>'תקציב רשות החופים 2020 '!W22</f>
        <v>0</v>
      </c>
      <c r="X22" s="4">
        <f>'תקציב רשות החופים 2020 '!X22</f>
        <v>0</v>
      </c>
      <c r="Y22" s="4">
        <f>'תקציב רשות החופים 2020 '!Y22</f>
        <v>0</v>
      </c>
      <c r="Z22" s="4">
        <f>'תקציב רשות החופים 2020 '!Z22</f>
        <v>0</v>
      </c>
      <c r="AA22" s="87" t="str">
        <f>'תקציב רשות החופים 2020 '!AA22</f>
        <v xml:space="preserve">החלפה והוספת ציוד הצלה ובטיחות. מימון משרד הפנים. </v>
      </c>
      <c r="AB22" s="706">
        <f>'תקציב רשות החופים 2020 '!AB22</f>
        <v>747000</v>
      </c>
      <c r="AC22" s="333"/>
      <c r="AD22" s="210"/>
      <c r="AE22" s="210"/>
      <c r="AF22" s="210"/>
      <c r="AG22" s="31"/>
      <c r="AH22" s="31"/>
      <c r="AI22" s="31"/>
      <c r="AJ22" s="31"/>
      <c r="AK22" s="31"/>
      <c r="AL22" s="28"/>
      <c r="AM22" s="28"/>
      <c r="AN22" s="29"/>
      <c r="AO22" s="29"/>
      <c r="AP22" s="29"/>
    </row>
    <row r="23" spans="1:42" s="5" customFormat="1" ht="55.2">
      <c r="A23" s="3">
        <f>A22+1</f>
        <v>18</v>
      </c>
      <c r="B23" s="706">
        <f>'תקציב רשות החופים 2020 '!B23</f>
        <v>2169</v>
      </c>
      <c r="C23" s="87" t="str">
        <f>'תקציב רשות החופים 2020 '!C23</f>
        <v>סככות צל חוף נוף ים + חוף זבולון</v>
      </c>
      <c r="D23" s="4">
        <f>'תקציב רשות החופים 2020 '!D23</f>
        <v>100000</v>
      </c>
      <c r="E23" s="4">
        <f>'תקציב רשות החופים 2020 '!E23</f>
        <v>0</v>
      </c>
      <c r="F23" s="4">
        <f>'תקציב רשות החופים 2020 '!F23</f>
        <v>100000</v>
      </c>
      <c r="G23" s="4">
        <f>'תקציב רשות החופים 2020 '!G23</f>
        <v>0</v>
      </c>
      <c r="H23" s="4">
        <f>'תקציב רשות החופים 2020 '!H23</f>
        <v>0</v>
      </c>
      <c r="I23" s="4">
        <f>'תקציב רשות החופים 2020 '!I23</f>
        <v>0</v>
      </c>
      <c r="J23" s="4">
        <f>'תקציב רשות החופים 2020 '!J23</f>
        <v>0</v>
      </c>
      <c r="K23" s="4">
        <f>'תקציב רשות החופים 2020 '!K23</f>
        <v>0</v>
      </c>
      <c r="L23" s="4">
        <f>'תקציב רשות החופים 2020 '!L23</f>
        <v>0</v>
      </c>
      <c r="M23" s="4">
        <f>'תקציב רשות החופים 2020 '!M23</f>
        <v>0</v>
      </c>
      <c r="N23" s="4">
        <f>'תקציב רשות החופים 2020 '!N23</f>
        <v>100000</v>
      </c>
      <c r="O23" s="4">
        <f>'תקציב רשות החופים 2020 '!O23</f>
        <v>0</v>
      </c>
      <c r="P23" s="4">
        <f>'תקציב רשות החופים 2020 '!P23</f>
        <v>0</v>
      </c>
      <c r="Q23" s="4">
        <f>'תקציב רשות החופים 2020 '!Q23</f>
        <v>0</v>
      </c>
      <c r="R23" s="4">
        <f>'תקציב רשות החופים 2020 '!R23</f>
        <v>0</v>
      </c>
      <c r="S23" s="4">
        <f>'תקציב רשות החופים 2020 '!S23</f>
        <v>0</v>
      </c>
      <c r="T23" s="4">
        <f>'תקציב רשות החופים 2020 '!T23</f>
        <v>0</v>
      </c>
      <c r="U23" s="4">
        <f>'תקציב רשות החופים 2020 '!U23</f>
        <v>100000</v>
      </c>
      <c r="V23" s="4">
        <f>'תקציב רשות החופים 2020 '!V23</f>
        <v>0</v>
      </c>
      <c r="W23" s="4">
        <f>'תקציב רשות החופים 2020 '!W23</f>
        <v>0</v>
      </c>
      <c r="X23" s="4">
        <f>'תקציב רשות החופים 2020 '!X23</f>
        <v>0</v>
      </c>
      <c r="Y23" s="4">
        <f>'תקציב רשות החופים 2020 '!Y23</f>
        <v>0</v>
      </c>
      <c r="Z23" s="4">
        <f>'תקציב רשות החופים 2020 '!Z23</f>
        <v>100000</v>
      </c>
      <c r="AA23" s="87" t="str">
        <f>'תקציב רשות החופים 2020 '!AA23</f>
        <v>הקמת 2 סככות צל בחוף זבולון ו- 2 סככות בחוף נוף ים בהתאם לממצאי דוח משרד הפנים.  תוגש בקשה למימון ממשרד הפנים בשנת 2020.</v>
      </c>
      <c r="AB23" s="706">
        <f>'תקציב רשות החופים 2020 '!AB23</f>
        <v>747000</v>
      </c>
      <c r="AC23" s="20"/>
      <c r="AD23" s="52"/>
      <c r="AE23" s="6"/>
      <c r="AF23" s="6"/>
    </row>
    <row r="24" spans="1:42" s="84" customFormat="1">
      <c r="A24" s="41">
        <f>A23</f>
        <v>18</v>
      </c>
      <c r="B24" s="725"/>
      <c r="C24" s="221" t="s">
        <v>700</v>
      </c>
      <c r="D24" s="88">
        <f>SUM(D6:D23)</f>
        <v>6935620</v>
      </c>
      <c r="E24" s="88">
        <f t="shared" ref="E24:Z24" si="1">SUM(E6:E23)</f>
        <v>5250649</v>
      </c>
      <c r="F24" s="88">
        <f t="shared" si="1"/>
        <v>1684971</v>
      </c>
      <c r="G24" s="88">
        <f t="shared" si="1"/>
        <v>4665423</v>
      </c>
      <c r="H24" s="88">
        <f t="shared" si="1"/>
        <v>3829954.9200000004</v>
      </c>
      <c r="I24" s="88">
        <f t="shared" si="1"/>
        <v>364325.79</v>
      </c>
      <c r="J24" s="88">
        <f t="shared" si="1"/>
        <v>191143.78</v>
      </c>
      <c r="K24" s="88">
        <f t="shared" si="1"/>
        <v>555469.57000000007</v>
      </c>
      <c r="L24" s="88">
        <f t="shared" si="1"/>
        <v>4385424.49</v>
      </c>
      <c r="M24" s="88">
        <f t="shared" si="1"/>
        <v>450195.50999999978</v>
      </c>
      <c r="N24" s="88">
        <f t="shared" si="1"/>
        <v>1950000</v>
      </c>
      <c r="O24" s="88">
        <f t="shared" si="1"/>
        <v>150000</v>
      </c>
      <c r="P24" s="88">
        <f t="shared" si="1"/>
        <v>279998.50999999978</v>
      </c>
      <c r="Q24" s="88">
        <f t="shared" si="1"/>
        <v>0</v>
      </c>
      <c r="R24" s="88">
        <f t="shared" si="1"/>
        <v>185226</v>
      </c>
      <c r="S24" s="88">
        <f t="shared" si="1"/>
        <v>185226</v>
      </c>
      <c r="T24" s="88">
        <f t="shared" si="1"/>
        <v>15029</v>
      </c>
      <c r="U24" s="88">
        <f t="shared" si="1"/>
        <v>1934971</v>
      </c>
      <c r="V24" s="88">
        <f t="shared" si="1"/>
        <v>0</v>
      </c>
      <c r="W24" s="88">
        <f t="shared" si="1"/>
        <v>1906971</v>
      </c>
      <c r="X24" s="88">
        <f t="shared" si="1"/>
        <v>0</v>
      </c>
      <c r="Y24" s="88">
        <f t="shared" si="1"/>
        <v>0</v>
      </c>
      <c r="Z24" s="88">
        <f t="shared" si="1"/>
        <v>28000</v>
      </c>
      <c r="AA24" s="714"/>
      <c r="AB24" s="41"/>
      <c r="AC24" s="436"/>
      <c r="AD24" s="438"/>
    </row>
    <row r="25" spans="1:42">
      <c r="A25" s="14"/>
      <c r="D25" s="14"/>
      <c r="E25" s="14"/>
      <c r="F25" s="14"/>
      <c r="G25" s="14"/>
      <c r="H25" s="14"/>
      <c r="I25" s="14"/>
      <c r="J25" s="14"/>
      <c r="K25" s="14"/>
      <c r="L25" s="16">
        <f>H24+K24</f>
        <v>4385424.49</v>
      </c>
      <c r="N25" s="14"/>
      <c r="P25" s="16">
        <f>G24-L25</f>
        <v>279998.50999999978</v>
      </c>
      <c r="T25" s="16">
        <f>P25+S24-M24</f>
        <v>15029</v>
      </c>
      <c r="U25" s="16">
        <f>N24-T24</f>
        <v>1934971</v>
      </c>
      <c r="W25" s="53"/>
      <c r="Z25" s="53"/>
    </row>
    <row r="26" spans="1:42">
      <c r="A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U26" s="21"/>
      <c r="W26" s="53"/>
      <c r="Z26" s="53"/>
    </row>
    <row r="28" spans="1:42">
      <c r="A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42">
      <c r="A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42">
      <c r="A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42">
      <c r="A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S31" s="14"/>
      <c r="T31" s="14"/>
    </row>
  </sheetData>
  <sheetProtection formatCells="0" formatColumns="0" formatRows="0" insertColumns="0" insertRows="0" insertHyperlinks="0" deleteColumns="0" deleteRows="0" sort="0" autoFilter="0" pivotTables="0"/>
  <conditionalFormatting sqref="AA4 AC23:AG24">
    <cfRule type="cellIs" dxfId="27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tabSelected="1" topLeftCell="A4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380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21">
      <c r="A5" s="273"/>
      <c r="C5" s="275"/>
      <c r="D5" s="273"/>
      <c r="E5" s="273"/>
      <c r="F5" s="273"/>
      <c r="G5" s="273"/>
      <c r="H5" s="273"/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G6" s="273"/>
      <c r="H6" s="273"/>
      <c r="I6" s="273"/>
      <c r="J6" s="273"/>
      <c r="K6" s="273"/>
      <c r="L6" s="273"/>
    </row>
    <row r="7" spans="1:17" ht="16.2" thickBot="1">
      <c r="A7" s="273"/>
      <c r="B7" s="276" t="s">
        <v>227</v>
      </c>
      <c r="C7" s="273" t="s">
        <v>1347</v>
      </c>
      <c r="D7" s="273"/>
      <c r="E7" s="273"/>
      <c r="F7" s="277">
        <f>'תקציב החברה לתירות 2020 '!$U$15</f>
        <v>2015000</v>
      </c>
      <c r="I7" s="273"/>
      <c r="J7" s="273"/>
      <c r="K7" s="273"/>
      <c r="L7" s="273"/>
    </row>
    <row r="8" spans="1:17" ht="21.6" thickBot="1">
      <c r="A8" s="273"/>
      <c r="C8" s="275"/>
      <c r="D8" s="273"/>
      <c r="E8" s="273"/>
      <c r="F8" s="273"/>
      <c r="H8" s="273"/>
      <c r="I8" s="273"/>
      <c r="J8" s="273"/>
      <c r="K8" s="273"/>
      <c r="L8" s="273"/>
    </row>
    <row r="9" spans="1:17" ht="16.2" thickBot="1">
      <c r="B9" s="276" t="s">
        <v>227</v>
      </c>
      <c r="C9" s="273" t="s">
        <v>393</v>
      </c>
      <c r="D9" s="273"/>
      <c r="F9" s="285">
        <f>'תקציב החברה לתירות 2020 '!$A$15</f>
        <v>9</v>
      </c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B10" s="276"/>
      <c r="C10" s="273"/>
      <c r="D10" s="273"/>
      <c r="F10" s="279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B11" s="276"/>
      <c r="C11" s="273"/>
      <c r="D11" s="273"/>
      <c r="F11" s="279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B12" s="276" t="s">
        <v>227</v>
      </c>
      <c r="C12" s="273" t="s">
        <v>365</v>
      </c>
      <c r="D12" s="273"/>
      <c r="E12" s="273"/>
      <c r="F12" s="273"/>
      <c r="G12" s="273"/>
      <c r="H12" s="273"/>
      <c r="I12" s="273"/>
      <c r="J12" s="273"/>
      <c r="K12" s="273"/>
      <c r="L12" s="273"/>
    </row>
    <row r="13" spans="1:17" ht="16.2" thickBot="1"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D14" s="286" t="s">
        <v>366</v>
      </c>
      <c r="E14" s="287" t="s">
        <v>367</v>
      </c>
      <c r="F14" s="288" t="s">
        <v>369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13</v>
      </c>
      <c r="E15" s="289">
        <f>'תקציב החברה לתירות 2020 '!$V$15</f>
        <v>1215000</v>
      </c>
      <c r="F15" s="297">
        <f>E15/$E$17</f>
        <v>0.60297766749379655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105</v>
      </c>
      <c r="E16" s="289">
        <f>'תקציב החברה לתירות 2020 '!$Z$15</f>
        <v>800000</v>
      </c>
      <c r="F16" s="297">
        <f>E16/$E$17</f>
        <v>0.3970223325062035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2:17" ht="16.2" thickBot="1">
      <c r="C17" s="276"/>
      <c r="D17" s="283" t="s">
        <v>120</v>
      </c>
      <c r="E17" s="291">
        <f>SUM(E15:E16)</f>
        <v>2015000</v>
      </c>
      <c r="F17" s="163">
        <f>SUM(F15:F16)</f>
        <v>1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2:17" ht="15.6">
      <c r="C18" s="276"/>
      <c r="D18" s="279"/>
      <c r="E18" s="300"/>
      <c r="F18" s="30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2:17" ht="15.6">
      <c r="C19" s="276"/>
      <c r="D19" s="279"/>
      <c r="E19" s="300"/>
      <c r="F19" s="30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2:17" ht="15.6">
      <c r="B20" s="276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2:17" ht="15.6">
      <c r="B21" s="276" t="s">
        <v>227</v>
      </c>
      <c r="C21" s="273" t="s">
        <v>924</v>
      </c>
      <c r="D21" s="273"/>
      <c r="F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</row>
    <row r="22" spans="2:17" ht="15.6">
      <c r="C22" s="273"/>
      <c r="D22" s="273" t="s">
        <v>1348</v>
      </c>
      <c r="E22" s="273"/>
      <c r="F22" s="273"/>
      <c r="H22" s="273"/>
      <c r="I22" s="273"/>
      <c r="J22" s="273"/>
      <c r="K22" s="273"/>
      <c r="L22" s="273"/>
    </row>
    <row r="23" spans="2:17" ht="15.6">
      <c r="B23" s="276"/>
      <c r="C23" s="273"/>
      <c r="D23" s="273" t="s">
        <v>1349</v>
      </c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showZeros="0" rightToLeft="1" tabSelected="1" zoomScaleNormal="100" workbookViewId="0">
      <pane xSplit="3" ySplit="4" topLeftCell="D5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4.77734375" style="191" customWidth="1"/>
    <col min="3" max="3" width="38.33203125" style="191" customWidth="1"/>
    <col min="4" max="5" width="10" style="192" customWidth="1"/>
    <col min="6" max="6" width="9.109375" style="192" customWidth="1"/>
    <col min="7" max="11" width="9.109375" style="192" hidden="1" customWidth="1"/>
    <col min="12" max="15" width="9.109375" style="192" customWidth="1"/>
    <col min="16" max="19" width="9.109375" style="192" hidden="1" customWidth="1"/>
    <col min="20" max="20" width="9.109375" style="192" customWidth="1"/>
    <col min="21" max="22" width="9.109375" style="191" customWidth="1"/>
    <col min="23" max="25" width="9.109375" style="191" hidden="1" customWidth="1"/>
    <col min="26" max="26" width="9.109375" style="191" customWidth="1"/>
    <col min="27" max="27" width="23.6640625" style="191" customWidth="1"/>
    <col min="28" max="28" width="7.88671875" style="191" hidden="1" customWidth="1"/>
    <col min="29" max="29" width="20.88671875" style="191" customWidth="1"/>
    <col min="30" max="31" width="9.109375" style="348" customWidth="1"/>
    <col min="32" max="32" width="11.33203125" style="331" customWidth="1"/>
    <col min="33" max="33" width="11.6640625" style="331" customWidth="1"/>
    <col min="34" max="34" width="12.6640625" style="331" customWidth="1"/>
    <col min="35" max="16384" width="9.109375" style="191"/>
  </cols>
  <sheetData>
    <row r="1" spans="1:37" s="331" customFormat="1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73"/>
      <c r="Y1" s="373"/>
      <c r="AC1" s="191"/>
      <c r="AD1" s="382"/>
      <c r="AE1" s="382"/>
    </row>
    <row r="2" spans="1:37">
      <c r="A2" s="329" t="s">
        <v>133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3" spans="1:37" ht="24" customHeight="1"/>
    <row r="4" spans="1:37" s="336" customFormat="1" ht="86.25" customHeight="1">
      <c r="A4" s="194" t="s">
        <v>0</v>
      </c>
      <c r="B4" s="194" t="s">
        <v>1</v>
      </c>
      <c r="C4" s="194" t="s">
        <v>2</v>
      </c>
      <c r="D4" s="194" t="s">
        <v>3</v>
      </c>
      <c r="E4" s="194" t="s">
        <v>4</v>
      </c>
      <c r="F4" s="194" t="s">
        <v>5</v>
      </c>
      <c r="G4" s="194" t="s">
        <v>6</v>
      </c>
      <c r="H4" s="194" t="s">
        <v>7</v>
      </c>
      <c r="I4" s="194" t="s">
        <v>9</v>
      </c>
      <c r="J4" s="194" t="s">
        <v>215</v>
      </c>
      <c r="K4" s="194" t="s">
        <v>10</v>
      </c>
      <c r="L4" s="194" t="s">
        <v>11</v>
      </c>
      <c r="M4" s="10" t="s">
        <v>918</v>
      </c>
      <c r="N4" s="194" t="s">
        <v>919</v>
      </c>
      <c r="O4" s="194" t="s">
        <v>920</v>
      </c>
      <c r="P4" s="194" t="s">
        <v>12</v>
      </c>
      <c r="Q4" s="194" t="s">
        <v>928</v>
      </c>
      <c r="R4" s="194" t="s">
        <v>929</v>
      </c>
      <c r="S4" s="194" t="s">
        <v>927</v>
      </c>
      <c r="T4" s="194" t="s">
        <v>921</v>
      </c>
      <c r="U4" s="194" t="s">
        <v>922</v>
      </c>
      <c r="V4" s="194" t="s">
        <v>13</v>
      </c>
      <c r="W4" s="194" t="s">
        <v>14</v>
      </c>
      <c r="X4" s="194" t="s">
        <v>15</v>
      </c>
      <c r="Y4" s="194" t="s">
        <v>354</v>
      </c>
      <c r="Z4" s="194" t="s">
        <v>105</v>
      </c>
      <c r="AA4" s="18" t="s">
        <v>410</v>
      </c>
      <c r="AB4" s="194" t="s">
        <v>16</v>
      </c>
      <c r="AC4" s="191"/>
      <c r="AD4" s="31"/>
      <c r="AE4" s="31"/>
      <c r="AF4" s="331"/>
      <c r="AG4" s="331"/>
      <c r="AH4" s="331"/>
    </row>
    <row r="5" spans="1:37" s="202" customForma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198"/>
      <c r="AB5" s="195"/>
      <c r="AC5" s="191"/>
      <c r="AD5" s="342"/>
      <c r="AE5" s="342"/>
      <c r="AF5" s="331"/>
      <c r="AG5" s="331"/>
      <c r="AH5" s="331"/>
    </row>
    <row r="6" spans="1:37" s="203" customFormat="1" ht="19.95" customHeight="1">
      <c r="A6" s="198">
        <f>A5+1</f>
        <v>1</v>
      </c>
      <c r="B6" s="198">
        <v>1519</v>
      </c>
      <c r="C6" s="198" t="s">
        <v>103</v>
      </c>
      <c r="D6" s="199">
        <v>12500000</v>
      </c>
      <c r="E6" s="199">
        <v>8493000</v>
      </c>
      <c r="F6" s="199">
        <f t="shared" ref="F6:F14" si="0">D6-E6</f>
        <v>4007000</v>
      </c>
      <c r="G6" s="199">
        <v>730000</v>
      </c>
      <c r="H6" s="199">
        <v>727317.36</v>
      </c>
      <c r="I6" s="199"/>
      <c r="J6" s="199"/>
      <c r="K6" s="199">
        <f t="shared" ref="K6:K14" si="1">SUM(I6:J6)</f>
        <v>0</v>
      </c>
      <c r="L6" s="199">
        <f t="shared" ref="L6:L14" si="2">H6+K6</f>
        <v>727317.36</v>
      </c>
      <c r="M6" s="199">
        <f t="shared" ref="M6:M14" si="3">P6+S6</f>
        <v>2682.640000000014</v>
      </c>
      <c r="N6" s="199"/>
      <c r="O6" s="199">
        <f t="shared" ref="O6:O14" si="4">D6-L6-M6-N6</f>
        <v>11770000</v>
      </c>
      <c r="P6" s="199">
        <f t="shared" ref="P6:P14" si="5">G6-L6</f>
        <v>2682.640000000014</v>
      </c>
      <c r="Q6" s="199"/>
      <c r="R6" s="199"/>
      <c r="S6" s="199">
        <f>SUM(Q6:R6)</f>
        <v>0</v>
      </c>
      <c r="T6" s="199">
        <f t="shared" ref="T6:T14" si="6">P6-M6+S6</f>
        <v>0</v>
      </c>
      <c r="U6" s="199">
        <f t="shared" ref="U6:U14" si="7">N6-T6</f>
        <v>0</v>
      </c>
      <c r="V6" s="199">
        <f t="shared" ref="V6:V14" si="8">U6-W6-Y6-Z6</f>
        <v>0</v>
      </c>
      <c r="W6" s="199"/>
      <c r="X6" s="199"/>
      <c r="Y6" s="199"/>
      <c r="Z6" s="199">
        <f>987864-987864</f>
        <v>0</v>
      </c>
      <c r="AA6" s="198" t="s">
        <v>1229</v>
      </c>
      <c r="AB6" s="198">
        <v>732000</v>
      </c>
      <c r="AC6" s="191"/>
      <c r="AD6" s="342"/>
      <c r="AE6" s="205"/>
      <c r="AF6" s="331"/>
      <c r="AG6" s="331"/>
      <c r="AH6" s="331"/>
    </row>
    <row r="7" spans="1:37" s="202" customFormat="1" ht="19.95" customHeight="1">
      <c r="A7" s="198">
        <f t="shared" ref="A7:A14" si="9">A6+1</f>
        <v>2</v>
      </c>
      <c r="B7" s="198">
        <v>1867</v>
      </c>
      <c r="C7" s="198" t="s">
        <v>174</v>
      </c>
      <c r="D7" s="199">
        <v>1520000</v>
      </c>
      <c r="E7" s="199">
        <v>1520000</v>
      </c>
      <c r="F7" s="199">
        <f t="shared" si="0"/>
        <v>0</v>
      </c>
      <c r="G7" s="199">
        <v>400000</v>
      </c>
      <c r="H7" s="199">
        <v>369131.07</v>
      </c>
      <c r="I7" s="199"/>
      <c r="J7" s="199"/>
      <c r="K7" s="199">
        <f t="shared" si="1"/>
        <v>0</v>
      </c>
      <c r="L7" s="199">
        <f t="shared" si="2"/>
        <v>369131.07</v>
      </c>
      <c r="M7" s="199">
        <f>P7+S7-30000</f>
        <v>868.92999999999302</v>
      </c>
      <c r="N7" s="199">
        <v>200000</v>
      </c>
      <c r="O7" s="199">
        <f t="shared" si="4"/>
        <v>950000</v>
      </c>
      <c r="P7" s="199">
        <f t="shared" si="5"/>
        <v>30868.929999999993</v>
      </c>
      <c r="Q7" s="199"/>
      <c r="R7" s="199"/>
      <c r="S7" s="199">
        <f t="shared" ref="S7:S14" si="10">SUM(Q7:R7)</f>
        <v>0</v>
      </c>
      <c r="T7" s="199">
        <f t="shared" si="6"/>
        <v>30000</v>
      </c>
      <c r="U7" s="199">
        <f t="shared" si="7"/>
        <v>170000</v>
      </c>
      <c r="V7" s="199">
        <f t="shared" si="8"/>
        <v>170000</v>
      </c>
      <c r="W7" s="199"/>
      <c r="X7" s="199"/>
      <c r="Y7" s="199"/>
      <c r="Z7" s="199"/>
      <c r="AA7" s="198" t="s">
        <v>805</v>
      </c>
      <c r="AB7" s="198">
        <v>732000</v>
      </c>
      <c r="AC7" s="191"/>
      <c r="AD7" s="342"/>
      <c r="AE7" s="205"/>
      <c r="AF7" s="331"/>
      <c r="AG7" s="331"/>
      <c r="AH7" s="331"/>
    </row>
    <row r="8" spans="1:37" s="202" customFormat="1" ht="27.6">
      <c r="A8" s="198">
        <f t="shared" si="9"/>
        <v>3</v>
      </c>
      <c r="B8" s="198">
        <v>1869</v>
      </c>
      <c r="C8" s="198" t="s">
        <v>175</v>
      </c>
      <c r="D8" s="199">
        <v>8200000</v>
      </c>
      <c r="E8" s="199">
        <v>8200000</v>
      </c>
      <c r="F8" s="199">
        <f t="shared" si="0"/>
        <v>0</v>
      </c>
      <c r="G8" s="199">
        <v>100000</v>
      </c>
      <c r="H8" s="199">
        <v>94426.02</v>
      </c>
      <c r="I8" s="199"/>
      <c r="J8" s="199"/>
      <c r="K8" s="199">
        <f t="shared" si="1"/>
        <v>0</v>
      </c>
      <c r="L8" s="199">
        <f t="shared" si="2"/>
        <v>94426.02</v>
      </c>
      <c r="M8" s="199">
        <f t="shared" si="3"/>
        <v>5573.9799999999959</v>
      </c>
      <c r="N8" s="199">
        <v>100000</v>
      </c>
      <c r="O8" s="199">
        <f t="shared" si="4"/>
        <v>8000000</v>
      </c>
      <c r="P8" s="199">
        <f t="shared" si="5"/>
        <v>5573.9799999999959</v>
      </c>
      <c r="Q8" s="199"/>
      <c r="R8" s="199"/>
      <c r="S8" s="199">
        <f t="shared" si="10"/>
        <v>0</v>
      </c>
      <c r="T8" s="199">
        <f t="shared" si="6"/>
        <v>0</v>
      </c>
      <c r="U8" s="199">
        <f t="shared" si="7"/>
        <v>100000</v>
      </c>
      <c r="V8" s="199">
        <f t="shared" si="8"/>
        <v>100000</v>
      </c>
      <c r="W8" s="199"/>
      <c r="X8" s="199"/>
      <c r="Y8" s="199"/>
      <c r="Z8" s="199"/>
      <c r="AA8" s="198" t="s">
        <v>806</v>
      </c>
      <c r="AB8" s="198">
        <v>742000</v>
      </c>
      <c r="AC8" s="191"/>
      <c r="AD8" s="342"/>
      <c r="AE8" s="205"/>
      <c r="AF8" s="331"/>
      <c r="AG8" s="331"/>
      <c r="AH8" s="331"/>
    </row>
    <row r="9" spans="1:37" s="202" customFormat="1" ht="19.95" customHeight="1">
      <c r="A9" s="198">
        <f t="shared" si="9"/>
        <v>4</v>
      </c>
      <c r="B9" s="198">
        <v>1870</v>
      </c>
      <c r="C9" s="198" t="s">
        <v>177</v>
      </c>
      <c r="D9" s="199">
        <v>7230000</v>
      </c>
      <c r="E9" s="199">
        <v>7230000</v>
      </c>
      <c r="F9" s="199">
        <f t="shared" si="0"/>
        <v>0</v>
      </c>
      <c r="G9" s="199">
        <v>7230000</v>
      </c>
      <c r="H9" s="199">
        <v>7229579.7300000004</v>
      </c>
      <c r="I9" s="199"/>
      <c r="J9" s="199"/>
      <c r="K9" s="199">
        <f t="shared" si="1"/>
        <v>0</v>
      </c>
      <c r="L9" s="199">
        <f t="shared" si="2"/>
        <v>7229579.7300000004</v>
      </c>
      <c r="M9" s="199">
        <f t="shared" si="3"/>
        <v>420.26999999955297</v>
      </c>
      <c r="N9" s="199"/>
      <c r="O9" s="199">
        <f t="shared" si="4"/>
        <v>0</v>
      </c>
      <c r="P9" s="199">
        <f t="shared" si="5"/>
        <v>420.26999999955297</v>
      </c>
      <c r="Q9" s="199"/>
      <c r="R9" s="199"/>
      <c r="S9" s="199">
        <f t="shared" si="10"/>
        <v>0</v>
      </c>
      <c r="T9" s="199">
        <f t="shared" si="6"/>
        <v>0</v>
      </c>
      <c r="U9" s="199">
        <f t="shared" si="7"/>
        <v>0</v>
      </c>
      <c r="V9" s="199">
        <f t="shared" si="8"/>
        <v>0</v>
      </c>
      <c r="W9" s="199"/>
      <c r="X9" s="199"/>
      <c r="Y9" s="199"/>
      <c r="Z9" s="199"/>
      <c r="AA9" s="198" t="s">
        <v>807</v>
      </c>
      <c r="AB9" s="198">
        <v>742000</v>
      </c>
      <c r="AC9" s="191"/>
      <c r="AD9" s="342"/>
      <c r="AE9" s="205"/>
      <c r="AF9" s="331"/>
      <c r="AG9" s="331"/>
      <c r="AH9" s="331"/>
    </row>
    <row r="10" spans="1:37" s="202" customFormat="1" ht="19.95" customHeight="1">
      <c r="A10" s="198">
        <f t="shared" si="9"/>
        <v>5</v>
      </c>
      <c r="B10" s="198">
        <v>1932</v>
      </c>
      <c r="C10" s="198" t="s">
        <v>176</v>
      </c>
      <c r="D10" s="199">
        <v>11800000</v>
      </c>
      <c r="E10" s="199">
        <v>5000000</v>
      </c>
      <c r="F10" s="199">
        <f t="shared" si="0"/>
        <v>6800000</v>
      </c>
      <c r="G10" s="199">
        <f>2100000+1200000+1700000</f>
        <v>5000000</v>
      </c>
      <c r="H10" s="199">
        <v>4547949.87</v>
      </c>
      <c r="I10" s="199"/>
      <c r="J10" s="199"/>
      <c r="K10" s="199">
        <f t="shared" si="1"/>
        <v>0</v>
      </c>
      <c r="L10" s="199">
        <f t="shared" si="2"/>
        <v>4547949.87</v>
      </c>
      <c r="M10" s="199">
        <f t="shared" si="3"/>
        <v>452050.12999999989</v>
      </c>
      <c r="N10" s="199">
        <v>800000</v>
      </c>
      <c r="O10" s="199">
        <f t="shared" si="4"/>
        <v>6000000</v>
      </c>
      <c r="P10" s="199">
        <f t="shared" si="5"/>
        <v>452050.12999999989</v>
      </c>
      <c r="Q10" s="199"/>
      <c r="R10" s="199"/>
      <c r="S10" s="199">
        <f t="shared" si="10"/>
        <v>0</v>
      </c>
      <c r="T10" s="199">
        <f t="shared" si="6"/>
        <v>0</v>
      </c>
      <c r="U10" s="199">
        <f t="shared" si="7"/>
        <v>800000</v>
      </c>
      <c r="V10" s="199">
        <f t="shared" si="8"/>
        <v>0</v>
      </c>
      <c r="W10" s="199"/>
      <c r="X10" s="199"/>
      <c r="Y10" s="199"/>
      <c r="Z10" s="199">
        <v>800000</v>
      </c>
      <c r="AA10" s="198" t="s">
        <v>808</v>
      </c>
      <c r="AB10" s="198">
        <v>746000</v>
      </c>
      <c r="AC10" s="191"/>
      <c r="AD10" s="342"/>
      <c r="AE10" s="205"/>
      <c r="AF10" s="331"/>
      <c r="AG10" s="331"/>
      <c r="AH10" s="331"/>
      <c r="AK10" s="205"/>
    </row>
    <row r="11" spans="1:37" s="202" customFormat="1" ht="19.95" customHeight="1">
      <c r="A11" s="198">
        <f t="shared" si="9"/>
        <v>6</v>
      </c>
      <c r="B11" s="198">
        <v>1979</v>
      </c>
      <c r="C11" s="198" t="s">
        <v>203</v>
      </c>
      <c r="D11" s="220">
        <v>195000</v>
      </c>
      <c r="E11" s="220">
        <v>195000</v>
      </c>
      <c r="F11" s="199">
        <f t="shared" si="0"/>
        <v>0</v>
      </c>
      <c r="G11" s="199">
        <v>100000</v>
      </c>
      <c r="H11" s="199">
        <v>64729.08</v>
      </c>
      <c r="I11" s="199"/>
      <c r="J11" s="199"/>
      <c r="K11" s="199">
        <f t="shared" si="1"/>
        <v>0</v>
      </c>
      <c r="L11" s="199">
        <f t="shared" si="2"/>
        <v>64729.08</v>
      </c>
      <c r="M11" s="199">
        <f t="shared" si="3"/>
        <v>35270.92</v>
      </c>
      <c r="N11" s="199">
        <v>95000</v>
      </c>
      <c r="O11" s="199">
        <f t="shared" si="4"/>
        <v>0</v>
      </c>
      <c r="P11" s="199">
        <f t="shared" si="5"/>
        <v>35270.92</v>
      </c>
      <c r="Q11" s="199"/>
      <c r="R11" s="199"/>
      <c r="S11" s="199">
        <f t="shared" si="10"/>
        <v>0</v>
      </c>
      <c r="T11" s="199">
        <f t="shared" si="6"/>
        <v>0</v>
      </c>
      <c r="U11" s="199">
        <f t="shared" si="7"/>
        <v>95000</v>
      </c>
      <c r="V11" s="199">
        <f t="shared" si="8"/>
        <v>95000</v>
      </c>
      <c r="W11" s="199"/>
      <c r="X11" s="199"/>
      <c r="Y11" s="199"/>
      <c r="Z11" s="199"/>
      <c r="AA11" s="198" t="s">
        <v>805</v>
      </c>
      <c r="AB11" s="198">
        <v>732000</v>
      </c>
      <c r="AC11" s="191"/>
      <c r="AD11" s="342"/>
      <c r="AE11" s="205"/>
      <c r="AF11" s="331"/>
      <c r="AG11" s="331"/>
      <c r="AH11" s="331"/>
      <c r="AK11" s="205"/>
    </row>
    <row r="12" spans="1:37" s="202" customFormat="1" ht="27.6">
      <c r="A12" s="198">
        <f t="shared" si="9"/>
        <v>7</v>
      </c>
      <c r="B12" s="198">
        <v>1980</v>
      </c>
      <c r="C12" s="198" t="s">
        <v>225</v>
      </c>
      <c r="D12" s="220">
        <v>1150000</v>
      </c>
      <c r="E12" s="220">
        <v>1150000</v>
      </c>
      <c r="F12" s="199">
        <f t="shared" si="0"/>
        <v>0</v>
      </c>
      <c r="G12" s="199">
        <v>450000</v>
      </c>
      <c r="H12" s="199">
        <v>362710.43</v>
      </c>
      <c r="I12" s="199"/>
      <c r="J12" s="199"/>
      <c r="K12" s="199">
        <f t="shared" si="1"/>
        <v>0</v>
      </c>
      <c r="L12" s="199">
        <f t="shared" si="2"/>
        <v>362710.43</v>
      </c>
      <c r="M12" s="199">
        <f t="shared" si="3"/>
        <v>87289.57</v>
      </c>
      <c r="N12" s="199">
        <v>700000</v>
      </c>
      <c r="O12" s="199">
        <f t="shared" si="4"/>
        <v>0</v>
      </c>
      <c r="P12" s="199">
        <f t="shared" si="5"/>
        <v>87289.57</v>
      </c>
      <c r="Q12" s="199"/>
      <c r="R12" s="199"/>
      <c r="S12" s="199">
        <f t="shared" si="10"/>
        <v>0</v>
      </c>
      <c r="T12" s="199">
        <f t="shared" si="6"/>
        <v>0</v>
      </c>
      <c r="U12" s="199">
        <f t="shared" si="7"/>
        <v>700000</v>
      </c>
      <c r="V12" s="199">
        <f t="shared" si="8"/>
        <v>700000</v>
      </c>
      <c r="W12" s="199"/>
      <c r="X12" s="199"/>
      <c r="Y12" s="199"/>
      <c r="Z12" s="199"/>
      <c r="AA12" s="198" t="s">
        <v>810</v>
      </c>
      <c r="AB12" s="198">
        <v>732000</v>
      </c>
      <c r="AC12" s="191"/>
      <c r="AD12" s="342"/>
      <c r="AE12" s="205"/>
      <c r="AF12" s="331"/>
      <c r="AG12" s="331"/>
      <c r="AH12" s="331"/>
      <c r="AK12" s="205"/>
    </row>
    <row r="13" spans="1:37" s="202" customFormat="1" ht="19.95" customHeight="1">
      <c r="A13" s="198">
        <f t="shared" si="9"/>
        <v>8</v>
      </c>
      <c r="B13" s="198">
        <v>1981</v>
      </c>
      <c r="C13" s="198" t="s">
        <v>204</v>
      </c>
      <c r="D13" s="220">
        <v>1100000</v>
      </c>
      <c r="E13" s="220">
        <v>1100000</v>
      </c>
      <c r="F13" s="199">
        <f t="shared" si="0"/>
        <v>0</v>
      </c>
      <c r="G13" s="199">
        <v>850000</v>
      </c>
      <c r="H13" s="199">
        <v>826983.96</v>
      </c>
      <c r="I13" s="199"/>
      <c r="J13" s="199"/>
      <c r="K13" s="199">
        <f t="shared" si="1"/>
        <v>0</v>
      </c>
      <c r="L13" s="199">
        <f t="shared" si="2"/>
        <v>826983.96</v>
      </c>
      <c r="M13" s="199">
        <f t="shared" si="3"/>
        <v>123016.04000000004</v>
      </c>
      <c r="N13" s="199">
        <v>150000</v>
      </c>
      <c r="O13" s="199">
        <f t="shared" si="4"/>
        <v>0</v>
      </c>
      <c r="P13" s="199">
        <f t="shared" si="5"/>
        <v>23016.040000000037</v>
      </c>
      <c r="Q13" s="199">
        <v>100000</v>
      </c>
      <c r="R13" s="199"/>
      <c r="S13" s="199">
        <v>100000</v>
      </c>
      <c r="T13" s="199">
        <f t="shared" si="6"/>
        <v>0</v>
      </c>
      <c r="U13" s="199">
        <f t="shared" si="7"/>
        <v>150000</v>
      </c>
      <c r="V13" s="199">
        <f t="shared" si="8"/>
        <v>150000</v>
      </c>
      <c r="W13" s="199"/>
      <c r="X13" s="199"/>
      <c r="Y13" s="199"/>
      <c r="Z13" s="199"/>
      <c r="AA13" s="198" t="s">
        <v>805</v>
      </c>
      <c r="AB13" s="198">
        <v>732000</v>
      </c>
      <c r="AC13" s="191"/>
      <c r="AD13" s="342"/>
      <c r="AE13" s="205"/>
      <c r="AF13" s="331"/>
      <c r="AG13" s="331"/>
      <c r="AH13" s="331"/>
      <c r="AK13" s="205"/>
    </row>
    <row r="14" spans="1:37" s="202" customFormat="1" ht="19.95" customHeight="1">
      <c r="A14" s="198">
        <f t="shared" si="9"/>
        <v>9</v>
      </c>
      <c r="B14" s="198">
        <v>2052</v>
      </c>
      <c r="C14" s="198" t="s">
        <v>575</v>
      </c>
      <c r="D14" s="220">
        <v>355000</v>
      </c>
      <c r="E14" s="220">
        <v>355000</v>
      </c>
      <c r="F14" s="199">
        <f t="shared" si="0"/>
        <v>0</v>
      </c>
      <c r="G14" s="199">
        <v>200000</v>
      </c>
      <c r="H14" s="199">
        <v>0</v>
      </c>
      <c r="I14" s="199"/>
      <c r="J14" s="199"/>
      <c r="K14" s="199">
        <f t="shared" si="1"/>
        <v>0</v>
      </c>
      <c r="L14" s="199">
        <f t="shared" si="2"/>
        <v>0</v>
      </c>
      <c r="M14" s="199">
        <f t="shared" si="3"/>
        <v>355000</v>
      </c>
      <c r="N14" s="199"/>
      <c r="O14" s="199">
        <f t="shared" si="4"/>
        <v>0</v>
      </c>
      <c r="P14" s="199">
        <f t="shared" si="5"/>
        <v>200000</v>
      </c>
      <c r="Q14" s="199">
        <v>155000</v>
      </c>
      <c r="R14" s="199"/>
      <c r="S14" s="199">
        <f t="shared" si="10"/>
        <v>155000</v>
      </c>
      <c r="T14" s="199">
        <f t="shared" si="6"/>
        <v>0</v>
      </c>
      <c r="U14" s="199">
        <f t="shared" si="7"/>
        <v>0</v>
      </c>
      <c r="V14" s="199">
        <f t="shared" si="8"/>
        <v>0</v>
      </c>
      <c r="W14" s="199"/>
      <c r="X14" s="199"/>
      <c r="Y14" s="199"/>
      <c r="Z14" s="199"/>
      <c r="AA14" s="198" t="s">
        <v>805</v>
      </c>
      <c r="AB14" s="198">
        <v>732000</v>
      </c>
      <c r="AC14" s="191"/>
      <c r="AD14" s="342"/>
      <c r="AE14" s="205"/>
      <c r="AF14" s="331"/>
      <c r="AG14" s="331"/>
      <c r="AH14" s="331"/>
      <c r="AK14" s="205"/>
    </row>
    <row r="15" spans="1:37" s="84" customFormat="1" ht="19.95" customHeight="1">
      <c r="A15" s="41">
        <f>A14</f>
        <v>9</v>
      </c>
      <c r="B15" s="41"/>
      <c r="C15" s="204" t="s">
        <v>352</v>
      </c>
      <c r="D15" s="88">
        <f>SUM(D6:D14)</f>
        <v>44050000</v>
      </c>
      <c r="E15" s="88">
        <f t="shared" ref="E15:Z15" si="11">SUM(E6:E14)</f>
        <v>33243000</v>
      </c>
      <c r="F15" s="88">
        <f t="shared" si="11"/>
        <v>10807000</v>
      </c>
      <c r="G15" s="88">
        <f t="shared" si="11"/>
        <v>15060000</v>
      </c>
      <c r="H15" s="88">
        <f t="shared" si="11"/>
        <v>14222827.52</v>
      </c>
      <c r="I15" s="88">
        <f t="shared" si="11"/>
        <v>0</v>
      </c>
      <c r="J15" s="88">
        <f t="shared" si="11"/>
        <v>0</v>
      </c>
      <c r="K15" s="88">
        <f t="shared" si="11"/>
        <v>0</v>
      </c>
      <c r="L15" s="88">
        <f t="shared" si="11"/>
        <v>14222827.52</v>
      </c>
      <c r="M15" s="88">
        <f t="shared" si="11"/>
        <v>1062172.4799999995</v>
      </c>
      <c r="N15" s="88">
        <f t="shared" si="11"/>
        <v>2045000</v>
      </c>
      <c r="O15" s="88">
        <f t="shared" si="11"/>
        <v>26720000</v>
      </c>
      <c r="P15" s="88">
        <f t="shared" si="11"/>
        <v>837172.47999999952</v>
      </c>
      <c r="Q15" s="88">
        <f t="shared" si="11"/>
        <v>255000</v>
      </c>
      <c r="R15" s="88">
        <f t="shared" si="11"/>
        <v>0</v>
      </c>
      <c r="S15" s="88">
        <f t="shared" si="11"/>
        <v>255000</v>
      </c>
      <c r="T15" s="88">
        <f t="shared" si="11"/>
        <v>30000</v>
      </c>
      <c r="U15" s="88">
        <f t="shared" si="11"/>
        <v>2015000</v>
      </c>
      <c r="V15" s="88">
        <f t="shared" si="11"/>
        <v>1215000</v>
      </c>
      <c r="W15" s="88">
        <f t="shared" si="11"/>
        <v>0</v>
      </c>
      <c r="X15" s="88">
        <f t="shared" si="11"/>
        <v>0</v>
      </c>
      <c r="Y15" s="88">
        <f t="shared" si="11"/>
        <v>0</v>
      </c>
      <c r="Z15" s="88">
        <f t="shared" si="11"/>
        <v>800000</v>
      </c>
      <c r="AA15" s="431"/>
      <c r="AB15" s="41"/>
      <c r="AC15" s="436"/>
      <c r="AD15" s="438"/>
    </row>
    <row r="16" spans="1:37" hidden="1">
      <c r="M16" s="349">
        <f>P15+S15-T15</f>
        <v>1062172.4799999995</v>
      </c>
      <c r="P16" s="349">
        <f>G15-L15</f>
        <v>837172.48000000045</v>
      </c>
      <c r="U16" s="192">
        <f>N15-T15</f>
        <v>2015000</v>
      </c>
    </row>
  </sheetData>
  <sheetProtection formatCells="0" formatColumns="0" formatRows="0" insertColumns="0" insertRows="0" insertHyperlinks="0" deleteColumns="0" deleteRows="0" sort="0" autoFilter="0" pivotTables="0"/>
  <conditionalFormatting sqref="AC15:AG15">
    <cfRule type="cellIs" dxfId="27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showZeros="0" rightToLeft="1" zoomScaleNormal="100" workbookViewId="0">
      <pane xSplit="3" ySplit="4" topLeftCell="D5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E11" sqref="B11:E11"/>
    </sheetView>
  </sheetViews>
  <sheetFormatPr defaultColWidth="9.109375" defaultRowHeight="18"/>
  <cols>
    <col min="1" max="1" width="4.33203125" style="333" customWidth="1"/>
    <col min="2" max="2" width="5.44140625" style="755" customWidth="1"/>
    <col min="3" max="3" width="38.33203125" style="335" customWidth="1"/>
    <col min="4" max="5" width="10.44140625" style="192" customWidth="1"/>
    <col min="6" max="6" width="10.109375" style="192" customWidth="1"/>
    <col min="7" max="10" width="12.6640625" style="192" customWidth="1"/>
    <col min="11" max="11" width="11.33203125" style="192" customWidth="1"/>
    <col min="12" max="12" width="10.5546875" style="192" customWidth="1"/>
    <col min="13" max="13" width="13.33203125" style="192" customWidth="1"/>
    <col min="14" max="14" width="11.109375" style="192" bestFit="1" customWidth="1"/>
    <col min="15" max="15" width="10.5546875" style="192" customWidth="1"/>
    <col min="16" max="16" width="9.33203125" style="192" hidden="1" customWidth="1"/>
    <col min="17" max="17" width="11.109375" style="192" hidden="1" customWidth="1"/>
    <col min="18" max="19" width="12" style="192" hidden="1" customWidth="1"/>
    <col min="20" max="20" width="10.33203125" style="192" customWidth="1"/>
    <col min="21" max="21" width="10.33203125" style="191" bestFit="1" customWidth="1"/>
    <col min="22" max="22" width="11.5546875" style="191" customWidth="1"/>
    <col min="23" max="23" width="8" style="191" hidden="1" customWidth="1"/>
    <col min="24" max="25" width="11.88671875" style="191" hidden="1" customWidth="1"/>
    <col min="26" max="26" width="9.109375" style="191" bestFit="1" customWidth="1"/>
    <col min="27" max="27" width="27" style="335" hidden="1" customWidth="1"/>
    <col min="28" max="28" width="7.88671875" style="191" customWidth="1"/>
    <col min="29" max="29" width="20.88671875" style="191" customWidth="1"/>
    <col min="30" max="31" width="9.109375" style="348" customWidth="1"/>
    <col min="32" max="32" width="11.33203125" style="331" customWidth="1"/>
    <col min="33" max="33" width="11.6640625" style="331" customWidth="1"/>
    <col min="34" max="34" width="12.6640625" style="331" customWidth="1"/>
    <col min="35" max="16384" width="9.109375" style="191"/>
  </cols>
  <sheetData>
    <row r="1" spans="1:37" s="331" customFormat="1">
      <c r="A1" s="329"/>
      <c r="B1" s="766"/>
      <c r="C1" s="764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73"/>
      <c r="Y1" s="373"/>
      <c r="AA1" s="406"/>
      <c r="AC1" s="191"/>
      <c r="AD1" s="382"/>
      <c r="AE1" s="382"/>
    </row>
    <row r="2" spans="1:37">
      <c r="A2" s="329" t="s">
        <v>133</v>
      </c>
      <c r="B2" s="766"/>
      <c r="C2" s="764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4" spans="1:37" s="336" customFormat="1" ht="86.25" customHeight="1">
      <c r="A4" s="194" t="s">
        <v>0</v>
      </c>
      <c r="B4" s="770" t="s">
        <v>1</v>
      </c>
      <c r="C4" s="194" t="s">
        <v>2</v>
      </c>
      <c r="D4" s="194" t="s">
        <v>3</v>
      </c>
      <c r="E4" s="194" t="s">
        <v>4</v>
      </c>
      <c r="F4" s="194" t="s">
        <v>5</v>
      </c>
      <c r="G4" s="194" t="s">
        <v>6</v>
      </c>
      <c r="H4" s="194" t="s">
        <v>7</v>
      </c>
      <c r="I4" s="194" t="s">
        <v>9</v>
      </c>
      <c r="J4" s="194" t="s">
        <v>215</v>
      </c>
      <c r="K4" s="194" t="s">
        <v>10</v>
      </c>
      <c r="L4" s="194" t="s">
        <v>11</v>
      </c>
      <c r="M4" s="10" t="s">
        <v>918</v>
      </c>
      <c r="N4" s="194" t="s">
        <v>919</v>
      </c>
      <c r="O4" s="194" t="s">
        <v>920</v>
      </c>
      <c r="P4" s="194" t="s">
        <v>12</v>
      </c>
      <c r="Q4" s="194" t="s">
        <v>928</v>
      </c>
      <c r="R4" s="194" t="s">
        <v>929</v>
      </c>
      <c r="S4" s="194" t="s">
        <v>927</v>
      </c>
      <c r="T4" s="194" t="s">
        <v>921</v>
      </c>
      <c r="U4" s="194" t="s">
        <v>922</v>
      </c>
      <c r="V4" s="194" t="s">
        <v>13</v>
      </c>
      <c r="W4" s="194" t="s">
        <v>14</v>
      </c>
      <c r="X4" s="194" t="s">
        <v>15</v>
      </c>
      <c r="Y4" s="194" t="s">
        <v>354</v>
      </c>
      <c r="Z4" s="194" t="s">
        <v>105</v>
      </c>
      <c r="AA4" s="18" t="s">
        <v>410</v>
      </c>
      <c r="AB4" s="194" t="s">
        <v>16</v>
      </c>
      <c r="AC4" s="191"/>
      <c r="AD4" s="31"/>
      <c r="AE4" s="31"/>
      <c r="AF4" s="331"/>
      <c r="AG4" s="331"/>
      <c r="AH4" s="331"/>
    </row>
    <row r="5" spans="1:37" s="202" customFormat="1">
      <c r="A5" s="198"/>
      <c r="B5" s="707"/>
      <c r="C5" s="397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8"/>
      <c r="AA5" s="397"/>
      <c r="AB5" s="195"/>
      <c r="AC5" s="191"/>
      <c r="AD5" s="342"/>
      <c r="AE5" s="342"/>
      <c r="AF5" s="331"/>
      <c r="AG5" s="331"/>
      <c r="AH5" s="331"/>
    </row>
    <row r="6" spans="1:37" s="203" customFormat="1">
      <c r="A6" s="198">
        <f t="shared" ref="A6:A11" si="0">A5+1</f>
        <v>1</v>
      </c>
      <c r="B6" s="199">
        <f>'תקציב החברה לתירות 2020 '!B6</f>
        <v>1519</v>
      </c>
      <c r="C6" s="199" t="str">
        <f>'תקציב החברה לתירות 2020 '!C6</f>
        <v>תב"ע חוף הים</v>
      </c>
      <c r="D6" s="199">
        <f>'תקציב החברה לתירות 2020 '!D6</f>
        <v>12500000</v>
      </c>
      <c r="E6" s="199">
        <f>'תקציב החברה לתירות 2020 '!E6</f>
        <v>8493000</v>
      </c>
      <c r="F6" s="199">
        <f>'תקציב החברה לתירות 2020 '!F6</f>
        <v>4007000</v>
      </c>
      <c r="G6" s="199">
        <f>'תקציב החברה לתירות 2020 '!G6</f>
        <v>730000</v>
      </c>
      <c r="H6" s="199">
        <f>'תקציב החברה לתירות 2020 '!H6</f>
        <v>727317.36</v>
      </c>
      <c r="I6" s="199">
        <f>'תקציב החברה לתירות 2020 '!I6</f>
        <v>0</v>
      </c>
      <c r="J6" s="199">
        <f>'תקציב החברה לתירות 2020 '!J6</f>
        <v>0</v>
      </c>
      <c r="K6" s="199">
        <f>'תקציב החברה לתירות 2020 '!K6</f>
        <v>0</v>
      </c>
      <c r="L6" s="199">
        <f>'תקציב החברה לתירות 2020 '!L6</f>
        <v>727317.36</v>
      </c>
      <c r="M6" s="199">
        <f>'תקציב החברה לתירות 2020 '!M6</f>
        <v>2682.640000000014</v>
      </c>
      <c r="N6" s="199">
        <f>'תקציב החברה לתירות 2020 '!N6</f>
        <v>0</v>
      </c>
      <c r="O6" s="199">
        <f>'תקציב החברה לתירות 2020 '!O6</f>
        <v>11770000</v>
      </c>
      <c r="P6" s="199">
        <f>'תקציב החברה לתירות 2020 '!P6</f>
        <v>2682.640000000014</v>
      </c>
      <c r="Q6" s="199">
        <f>'תקציב החברה לתירות 2020 '!Q6</f>
        <v>0</v>
      </c>
      <c r="R6" s="199">
        <f>'תקציב החברה לתירות 2020 '!R6</f>
        <v>0</v>
      </c>
      <c r="S6" s="199">
        <f>'תקציב החברה לתירות 2020 '!S6</f>
        <v>0</v>
      </c>
      <c r="T6" s="199">
        <f>'תקציב החברה לתירות 2020 '!T6</f>
        <v>0</v>
      </c>
      <c r="U6" s="199">
        <f>'תקציב החברה לתירות 2020 '!U6</f>
        <v>0</v>
      </c>
      <c r="V6" s="199">
        <f>'תקציב החברה לתירות 2020 '!V6</f>
        <v>0</v>
      </c>
      <c r="W6" s="199">
        <f>'תקציב החברה לתירות 2020 '!W6</f>
        <v>0</v>
      </c>
      <c r="X6" s="199">
        <f>'תקציב החברה לתירות 2020 '!X6</f>
        <v>0</v>
      </c>
      <c r="Y6" s="199">
        <f>'תקציב החברה לתירות 2020 '!Y6</f>
        <v>0</v>
      </c>
      <c r="Z6" s="199">
        <f>'תקציב החברה לתירות 2020 '!Z6</f>
        <v>0</v>
      </c>
      <c r="AA6" s="341" t="str">
        <f>'תקציב החברה לתירות 2020 '!AA6</f>
        <v>הכנת תב"ע . מימון רמ"י.</v>
      </c>
      <c r="AB6" s="707">
        <f>'תקציב החברה לתירות 2020 '!AB6</f>
        <v>732000</v>
      </c>
      <c r="AC6" s="191"/>
      <c r="AD6" s="342"/>
      <c r="AE6" s="205"/>
      <c r="AF6" s="331"/>
      <c r="AG6" s="331"/>
      <c r="AH6" s="331"/>
    </row>
    <row r="7" spans="1:37" s="202" customFormat="1">
      <c r="A7" s="198">
        <f t="shared" si="0"/>
        <v>2</v>
      </c>
      <c r="B7" s="199">
        <f>'תקציב החברה לתירות 2020 '!B7</f>
        <v>1867</v>
      </c>
      <c r="C7" s="199" t="str">
        <f>'תקציב החברה לתירות 2020 '!C7</f>
        <v>תב"ע מרינה</v>
      </c>
      <c r="D7" s="199">
        <f>'תקציב החברה לתירות 2020 '!D7</f>
        <v>1520000</v>
      </c>
      <c r="E7" s="199">
        <f>'תקציב החברה לתירות 2020 '!E7</f>
        <v>1520000</v>
      </c>
      <c r="F7" s="199">
        <f>'תקציב החברה לתירות 2020 '!F7</f>
        <v>0</v>
      </c>
      <c r="G7" s="199">
        <f>'תקציב החברה לתירות 2020 '!G7</f>
        <v>400000</v>
      </c>
      <c r="H7" s="199">
        <f>'תקציב החברה לתירות 2020 '!H7</f>
        <v>369131.07</v>
      </c>
      <c r="I7" s="199">
        <f>'תקציב החברה לתירות 2020 '!I7</f>
        <v>0</v>
      </c>
      <c r="J7" s="199">
        <f>'תקציב החברה לתירות 2020 '!J7</f>
        <v>0</v>
      </c>
      <c r="K7" s="199">
        <f>'תקציב החברה לתירות 2020 '!K7</f>
        <v>0</v>
      </c>
      <c r="L7" s="199">
        <f>'תקציב החברה לתירות 2020 '!L7</f>
        <v>369131.07</v>
      </c>
      <c r="M7" s="199">
        <f>'תקציב החברה לתירות 2020 '!M7</f>
        <v>868.92999999999302</v>
      </c>
      <c r="N7" s="199">
        <f>'תקציב החברה לתירות 2020 '!N7</f>
        <v>200000</v>
      </c>
      <c r="O7" s="199">
        <f>'תקציב החברה לתירות 2020 '!O7</f>
        <v>950000</v>
      </c>
      <c r="P7" s="199">
        <f>'תקציב החברה לתירות 2020 '!P7</f>
        <v>30868.929999999993</v>
      </c>
      <c r="Q7" s="199">
        <f>'תקציב החברה לתירות 2020 '!Q7</f>
        <v>0</v>
      </c>
      <c r="R7" s="199">
        <f>'תקציב החברה לתירות 2020 '!R7</f>
        <v>0</v>
      </c>
      <c r="S7" s="199">
        <f>'תקציב החברה לתירות 2020 '!S7</f>
        <v>0</v>
      </c>
      <c r="T7" s="199">
        <f>'תקציב החברה לתירות 2020 '!T7</f>
        <v>30000</v>
      </c>
      <c r="U7" s="199">
        <f>'תקציב החברה לתירות 2020 '!U7</f>
        <v>170000</v>
      </c>
      <c r="V7" s="199">
        <f>'תקציב החברה לתירות 2020 '!V7</f>
        <v>170000</v>
      </c>
      <c r="W7" s="199">
        <f>'תקציב החברה לתירות 2020 '!W7</f>
        <v>0</v>
      </c>
      <c r="X7" s="199">
        <f>'תקציב החברה לתירות 2020 '!X7</f>
        <v>0</v>
      </c>
      <c r="Y7" s="199">
        <f>'תקציב החברה לתירות 2020 '!Y7</f>
        <v>0</v>
      </c>
      <c r="Z7" s="199">
        <f>'תקציב החברה לתירות 2020 '!Z7</f>
        <v>0</v>
      </c>
      <c r="AA7" s="341" t="str">
        <f>'תקציב החברה לתירות 2020 '!AA7</f>
        <v>הכנת תב"ע .</v>
      </c>
      <c r="AB7" s="707">
        <f>'תקציב החברה לתירות 2020 '!AB7</f>
        <v>732000</v>
      </c>
      <c r="AC7" s="191"/>
      <c r="AD7" s="342"/>
      <c r="AE7" s="205"/>
      <c r="AF7" s="331"/>
      <c r="AG7" s="331"/>
      <c r="AH7" s="331"/>
    </row>
    <row r="8" spans="1:37" s="202" customFormat="1">
      <c r="A8" s="198">
        <f t="shared" si="0"/>
        <v>3</v>
      </c>
      <c r="B8" s="199">
        <f>'תקציב החברה לתירות 2020 '!B11</f>
        <v>1979</v>
      </c>
      <c r="C8" s="199" t="str">
        <f>'תקציב החברה לתירות 2020 '!C11</f>
        <v>תב"ע גשר קטן במרינה</v>
      </c>
      <c r="D8" s="199">
        <f>'תקציב החברה לתירות 2020 '!D11</f>
        <v>195000</v>
      </c>
      <c r="E8" s="199">
        <f>'תקציב החברה לתירות 2020 '!E11</f>
        <v>195000</v>
      </c>
      <c r="F8" s="199">
        <f>'תקציב החברה לתירות 2020 '!F11</f>
        <v>0</v>
      </c>
      <c r="G8" s="199">
        <f>'תקציב החברה לתירות 2020 '!G11</f>
        <v>100000</v>
      </c>
      <c r="H8" s="199">
        <f>'תקציב החברה לתירות 2020 '!H11</f>
        <v>64729.08</v>
      </c>
      <c r="I8" s="199">
        <f>'תקציב החברה לתירות 2020 '!I11</f>
        <v>0</v>
      </c>
      <c r="J8" s="199">
        <f>'תקציב החברה לתירות 2020 '!J11</f>
        <v>0</v>
      </c>
      <c r="K8" s="199">
        <f>'תקציב החברה לתירות 2020 '!K11</f>
        <v>0</v>
      </c>
      <c r="L8" s="199">
        <f>'תקציב החברה לתירות 2020 '!L11</f>
        <v>64729.08</v>
      </c>
      <c r="M8" s="199">
        <f>'תקציב החברה לתירות 2020 '!M11</f>
        <v>35270.92</v>
      </c>
      <c r="N8" s="199">
        <f>'תקציב החברה לתירות 2020 '!N11</f>
        <v>95000</v>
      </c>
      <c r="O8" s="199">
        <f>'תקציב החברה לתירות 2020 '!O11</f>
        <v>0</v>
      </c>
      <c r="P8" s="199">
        <f>'תקציב החברה לתירות 2020 '!P11</f>
        <v>35270.92</v>
      </c>
      <c r="Q8" s="199">
        <f>'תקציב החברה לתירות 2020 '!Q11</f>
        <v>0</v>
      </c>
      <c r="R8" s="199">
        <f>'תקציב החברה לתירות 2020 '!R11</f>
        <v>0</v>
      </c>
      <c r="S8" s="199">
        <f>'תקציב החברה לתירות 2020 '!S11</f>
        <v>0</v>
      </c>
      <c r="T8" s="199">
        <f>'תקציב החברה לתירות 2020 '!T11</f>
        <v>0</v>
      </c>
      <c r="U8" s="199">
        <f>'תקציב החברה לתירות 2020 '!U11</f>
        <v>95000</v>
      </c>
      <c r="V8" s="199">
        <f>'תקציב החברה לתירות 2020 '!V11</f>
        <v>95000</v>
      </c>
      <c r="W8" s="199">
        <f>'תקציב החברה לתירות 2020 '!W11</f>
        <v>0</v>
      </c>
      <c r="X8" s="199">
        <f>'תקציב החברה לתירות 2020 '!X11</f>
        <v>0</v>
      </c>
      <c r="Y8" s="199">
        <f>'תקציב החברה לתירות 2020 '!Y11</f>
        <v>0</v>
      </c>
      <c r="Z8" s="199">
        <f>'תקציב החברה לתירות 2020 '!Z11</f>
        <v>0</v>
      </c>
      <c r="AA8" s="341" t="str">
        <f>'תקציב החברה לתירות 2020 '!AA11</f>
        <v>הכנת תב"ע .</v>
      </c>
      <c r="AB8" s="707">
        <f>'תקציב החברה לתירות 2020 '!AB11</f>
        <v>732000</v>
      </c>
      <c r="AC8" s="191"/>
      <c r="AD8" s="342"/>
      <c r="AE8" s="205"/>
      <c r="AF8" s="331"/>
      <c r="AG8" s="331"/>
      <c r="AH8" s="331"/>
      <c r="AK8" s="205"/>
    </row>
    <row r="9" spans="1:37" s="670" customFormat="1" ht="27.6">
      <c r="A9" s="198">
        <f t="shared" si="0"/>
        <v>4</v>
      </c>
      <c r="B9" s="199">
        <f>'תקציב החברה לתירות 2020 '!B12</f>
        <v>1980</v>
      </c>
      <c r="C9" s="199" t="str">
        <f>'תקציב החברה לתירות 2020 '!C12</f>
        <v>תכנון תב"ע הסדרת ייעודי קרקע לפיתוח טיילת החוף</v>
      </c>
      <c r="D9" s="199">
        <f>'תקציב החברה לתירות 2020 '!D12</f>
        <v>1150000</v>
      </c>
      <c r="E9" s="199">
        <f>'תקציב החברה לתירות 2020 '!E12</f>
        <v>1150000</v>
      </c>
      <c r="F9" s="199">
        <f>'תקציב החברה לתירות 2020 '!F12</f>
        <v>0</v>
      </c>
      <c r="G9" s="199">
        <f>'תקציב החברה לתירות 2020 '!G12</f>
        <v>450000</v>
      </c>
      <c r="H9" s="199">
        <f>'תקציב החברה לתירות 2020 '!H12</f>
        <v>362710.43</v>
      </c>
      <c r="I9" s="199">
        <f>'תקציב החברה לתירות 2020 '!I12</f>
        <v>0</v>
      </c>
      <c r="J9" s="199">
        <f>'תקציב החברה לתירות 2020 '!J12</f>
        <v>0</v>
      </c>
      <c r="K9" s="199">
        <f>'תקציב החברה לתירות 2020 '!K12</f>
        <v>0</v>
      </c>
      <c r="L9" s="199">
        <f>'תקציב החברה לתירות 2020 '!L12</f>
        <v>362710.43</v>
      </c>
      <c r="M9" s="199">
        <f>'תקציב החברה לתירות 2020 '!M12</f>
        <v>87289.57</v>
      </c>
      <c r="N9" s="199">
        <f>'תקציב החברה לתירות 2020 '!N12</f>
        <v>700000</v>
      </c>
      <c r="O9" s="199">
        <f>'תקציב החברה לתירות 2020 '!O12</f>
        <v>0</v>
      </c>
      <c r="P9" s="199">
        <f>'תקציב החברה לתירות 2020 '!P12</f>
        <v>87289.57</v>
      </c>
      <c r="Q9" s="199">
        <f>'תקציב החברה לתירות 2020 '!Q12</f>
        <v>0</v>
      </c>
      <c r="R9" s="199">
        <f>'תקציב החברה לתירות 2020 '!R12</f>
        <v>0</v>
      </c>
      <c r="S9" s="199">
        <f>'תקציב החברה לתירות 2020 '!S12</f>
        <v>0</v>
      </c>
      <c r="T9" s="199">
        <f>'תקציב החברה לתירות 2020 '!T12</f>
        <v>0</v>
      </c>
      <c r="U9" s="199">
        <f>'תקציב החברה לתירות 2020 '!U12</f>
        <v>700000</v>
      </c>
      <c r="V9" s="199">
        <f>'תקציב החברה לתירות 2020 '!V12</f>
        <v>700000</v>
      </c>
      <c r="W9" s="199">
        <f>'תקציב החברה לתירות 2020 '!W12</f>
        <v>0</v>
      </c>
      <c r="X9" s="199">
        <f>'תקציב החברה לתירות 2020 '!X12</f>
        <v>0</v>
      </c>
      <c r="Y9" s="199">
        <f>'תקציב החברה לתירות 2020 '!Y12</f>
        <v>0</v>
      </c>
      <c r="Z9" s="199">
        <f>'תקציב החברה לתירות 2020 '!Z12</f>
        <v>0</v>
      </c>
      <c r="AA9" s="341" t="str">
        <f>'תקציב החברה לתירות 2020 '!AA12</f>
        <v>תכנון להסדרת ייעודיי קרקע בטיילת החוף.</v>
      </c>
      <c r="AB9" s="707">
        <f>'תקציב החברה לתירות 2020 '!AB12</f>
        <v>732000</v>
      </c>
      <c r="AC9" s="191"/>
      <c r="AD9" s="342"/>
      <c r="AE9" s="205"/>
      <c r="AF9" s="331"/>
      <c r="AG9" s="331"/>
      <c r="AH9" s="331"/>
      <c r="AI9" s="202"/>
      <c r="AJ9" s="202"/>
      <c r="AK9" s="205"/>
    </row>
    <row r="10" spans="1:37" s="202" customFormat="1">
      <c r="A10" s="198">
        <f t="shared" si="0"/>
        <v>5</v>
      </c>
      <c r="B10" s="199">
        <f>'תקציב החברה לתירות 2020 '!B13</f>
        <v>1981</v>
      </c>
      <c r="C10" s="199" t="str">
        <f>'תקציב החברה לתירות 2020 '!C13</f>
        <v>תכנון תב"ע כיכר דה שליט</v>
      </c>
      <c r="D10" s="199">
        <f>'תקציב החברה לתירות 2020 '!D13</f>
        <v>1100000</v>
      </c>
      <c r="E10" s="199">
        <f>'תקציב החברה לתירות 2020 '!E13</f>
        <v>1100000</v>
      </c>
      <c r="F10" s="199">
        <f>'תקציב החברה לתירות 2020 '!F13</f>
        <v>0</v>
      </c>
      <c r="G10" s="199">
        <f>'תקציב החברה לתירות 2020 '!G13</f>
        <v>850000</v>
      </c>
      <c r="H10" s="199">
        <f>'תקציב החברה לתירות 2020 '!H13</f>
        <v>826983.96</v>
      </c>
      <c r="I10" s="199">
        <f>'תקציב החברה לתירות 2020 '!I13</f>
        <v>0</v>
      </c>
      <c r="J10" s="199">
        <f>'תקציב החברה לתירות 2020 '!J13</f>
        <v>0</v>
      </c>
      <c r="K10" s="199">
        <f>'תקציב החברה לתירות 2020 '!K13</f>
        <v>0</v>
      </c>
      <c r="L10" s="199">
        <f>'תקציב החברה לתירות 2020 '!L13</f>
        <v>826983.96</v>
      </c>
      <c r="M10" s="199">
        <f>'תקציב החברה לתירות 2020 '!M13</f>
        <v>123016.04000000004</v>
      </c>
      <c r="N10" s="199">
        <f>'תקציב החברה לתירות 2020 '!N13</f>
        <v>150000</v>
      </c>
      <c r="O10" s="199">
        <f>'תקציב החברה לתירות 2020 '!O13</f>
        <v>0</v>
      </c>
      <c r="P10" s="199">
        <f>'תקציב החברה לתירות 2020 '!P13</f>
        <v>23016.040000000037</v>
      </c>
      <c r="Q10" s="199">
        <f>'תקציב החברה לתירות 2020 '!Q13</f>
        <v>100000</v>
      </c>
      <c r="R10" s="199">
        <f>'תקציב החברה לתירות 2020 '!R13</f>
        <v>0</v>
      </c>
      <c r="S10" s="199">
        <f>'תקציב החברה לתירות 2020 '!S13</f>
        <v>100000</v>
      </c>
      <c r="T10" s="199">
        <f>'תקציב החברה לתירות 2020 '!T13</f>
        <v>0</v>
      </c>
      <c r="U10" s="199">
        <f>'תקציב החברה לתירות 2020 '!U13</f>
        <v>150000</v>
      </c>
      <c r="V10" s="199">
        <f>'תקציב החברה לתירות 2020 '!V13</f>
        <v>150000</v>
      </c>
      <c r="W10" s="199">
        <f>'תקציב החברה לתירות 2020 '!W13</f>
        <v>0</v>
      </c>
      <c r="X10" s="199">
        <f>'תקציב החברה לתירות 2020 '!X13</f>
        <v>0</v>
      </c>
      <c r="Y10" s="199">
        <f>'תקציב החברה לתירות 2020 '!Y13</f>
        <v>0</v>
      </c>
      <c r="Z10" s="199">
        <f>'תקציב החברה לתירות 2020 '!Z13</f>
        <v>0</v>
      </c>
      <c r="AA10" s="341" t="str">
        <f>'תקציב החברה לתירות 2020 '!AA13</f>
        <v>הכנת תב"ע .</v>
      </c>
      <c r="AB10" s="707">
        <f>'תקציב החברה לתירות 2020 '!AB13</f>
        <v>732000</v>
      </c>
      <c r="AC10" s="191"/>
      <c r="AD10" s="342"/>
      <c r="AE10" s="205"/>
      <c r="AF10" s="331"/>
      <c r="AG10" s="331"/>
      <c r="AH10" s="331"/>
      <c r="AK10" s="205"/>
    </row>
    <row r="11" spans="1:37" s="202" customFormat="1">
      <c r="A11" s="198">
        <f t="shared" si="0"/>
        <v>6</v>
      </c>
      <c r="B11" s="199">
        <f>'תקציב החברה לתירות 2020 '!B14</f>
        <v>2052</v>
      </c>
      <c r="C11" s="199" t="str">
        <f>'תקציב החברה לתירות 2020 '!C14</f>
        <v>תב"ע טיילת שלב א'</v>
      </c>
      <c r="D11" s="199">
        <f>'תקציב החברה לתירות 2020 '!D14</f>
        <v>355000</v>
      </c>
      <c r="E11" s="199">
        <f>'תקציב החברה לתירות 2020 '!E14</f>
        <v>355000</v>
      </c>
      <c r="F11" s="199">
        <f>'תקציב החברה לתירות 2020 '!F14</f>
        <v>0</v>
      </c>
      <c r="G11" s="199">
        <f>'תקציב החברה לתירות 2020 '!G14</f>
        <v>200000</v>
      </c>
      <c r="H11" s="199">
        <f>'תקציב החברה לתירות 2020 '!H14</f>
        <v>0</v>
      </c>
      <c r="I11" s="199">
        <f>'תקציב החברה לתירות 2020 '!I14</f>
        <v>0</v>
      </c>
      <c r="J11" s="199">
        <f>'תקציב החברה לתירות 2020 '!J14</f>
        <v>0</v>
      </c>
      <c r="K11" s="199">
        <f>'תקציב החברה לתירות 2020 '!K14</f>
        <v>0</v>
      </c>
      <c r="L11" s="199">
        <f>'תקציב החברה לתירות 2020 '!L14</f>
        <v>0</v>
      </c>
      <c r="M11" s="199">
        <f>'תקציב החברה לתירות 2020 '!M14</f>
        <v>355000</v>
      </c>
      <c r="N11" s="199">
        <f>'תקציב החברה לתירות 2020 '!N14</f>
        <v>0</v>
      </c>
      <c r="O11" s="199">
        <f>'תקציב החברה לתירות 2020 '!O14</f>
        <v>0</v>
      </c>
      <c r="P11" s="199">
        <f>'תקציב החברה לתירות 2020 '!P14</f>
        <v>200000</v>
      </c>
      <c r="Q11" s="199">
        <f>'תקציב החברה לתירות 2020 '!Q14</f>
        <v>155000</v>
      </c>
      <c r="R11" s="199">
        <f>'תקציב החברה לתירות 2020 '!R14</f>
        <v>0</v>
      </c>
      <c r="S11" s="199">
        <f>'תקציב החברה לתירות 2020 '!S14</f>
        <v>155000</v>
      </c>
      <c r="T11" s="199">
        <f>'תקציב החברה לתירות 2020 '!T14</f>
        <v>0</v>
      </c>
      <c r="U11" s="199">
        <f>'תקציב החברה לתירות 2020 '!U14</f>
        <v>0</v>
      </c>
      <c r="V11" s="199">
        <f>'תקציב החברה לתירות 2020 '!V14</f>
        <v>0</v>
      </c>
      <c r="W11" s="199">
        <f>'תקציב החברה לתירות 2020 '!W14</f>
        <v>0</v>
      </c>
      <c r="X11" s="199">
        <f>'תקציב החברה לתירות 2020 '!X14</f>
        <v>0</v>
      </c>
      <c r="Y11" s="199">
        <f>'תקציב החברה לתירות 2020 '!Y14</f>
        <v>0</v>
      </c>
      <c r="Z11" s="199">
        <f>'תקציב החברה לתירות 2020 '!Z14</f>
        <v>0</v>
      </c>
      <c r="AA11" s="341" t="str">
        <f>'תקציב החברה לתירות 2020 '!AA14</f>
        <v>הכנת תב"ע .</v>
      </c>
      <c r="AB11" s="707">
        <f>'תקציב החברה לתירות 2020 '!AB14</f>
        <v>732000</v>
      </c>
      <c r="AC11" s="191"/>
      <c r="AD11" s="342"/>
      <c r="AE11" s="205"/>
      <c r="AF11" s="331"/>
      <c r="AG11" s="331"/>
      <c r="AH11" s="331"/>
      <c r="AK11" s="205"/>
    </row>
    <row r="12" spans="1:37" s="411" customFormat="1">
      <c r="A12" s="339"/>
      <c r="B12" s="727"/>
      <c r="C12" s="778" t="s">
        <v>690</v>
      </c>
      <c r="D12" s="439">
        <f>SUM(D6:D11)</f>
        <v>16820000</v>
      </c>
      <c r="E12" s="439">
        <f t="shared" ref="E12:Z12" si="1">SUM(E6:E11)</f>
        <v>12813000</v>
      </c>
      <c r="F12" s="439">
        <f t="shared" si="1"/>
        <v>4007000</v>
      </c>
      <c r="G12" s="439">
        <f t="shared" si="1"/>
        <v>2730000</v>
      </c>
      <c r="H12" s="439">
        <f t="shared" si="1"/>
        <v>2350871.9</v>
      </c>
      <c r="I12" s="439">
        <f t="shared" si="1"/>
        <v>0</v>
      </c>
      <c r="J12" s="439">
        <f t="shared" si="1"/>
        <v>0</v>
      </c>
      <c r="K12" s="439">
        <f t="shared" si="1"/>
        <v>0</v>
      </c>
      <c r="L12" s="439">
        <f t="shared" si="1"/>
        <v>2350871.9</v>
      </c>
      <c r="M12" s="439">
        <f t="shared" si="1"/>
        <v>604128.10000000009</v>
      </c>
      <c r="N12" s="439">
        <f t="shared" si="1"/>
        <v>1145000</v>
      </c>
      <c r="O12" s="439">
        <f t="shared" si="1"/>
        <v>12720000</v>
      </c>
      <c r="P12" s="439">
        <f t="shared" si="1"/>
        <v>379128.10000000003</v>
      </c>
      <c r="Q12" s="439">
        <f t="shared" si="1"/>
        <v>255000</v>
      </c>
      <c r="R12" s="439">
        <f t="shared" si="1"/>
        <v>0</v>
      </c>
      <c r="S12" s="439">
        <f t="shared" si="1"/>
        <v>255000</v>
      </c>
      <c r="T12" s="439">
        <f t="shared" si="1"/>
        <v>30000</v>
      </c>
      <c r="U12" s="439">
        <f t="shared" si="1"/>
        <v>1115000</v>
      </c>
      <c r="V12" s="439">
        <f t="shared" si="1"/>
        <v>1115000</v>
      </c>
      <c r="W12" s="439">
        <f t="shared" si="1"/>
        <v>0</v>
      </c>
      <c r="X12" s="439">
        <f t="shared" si="1"/>
        <v>0</v>
      </c>
      <c r="Y12" s="439">
        <f t="shared" si="1"/>
        <v>0</v>
      </c>
      <c r="Z12" s="439">
        <f t="shared" si="1"/>
        <v>0</v>
      </c>
      <c r="AA12" s="441"/>
      <c r="AB12" s="727"/>
      <c r="AC12" s="428"/>
      <c r="AD12" s="451"/>
      <c r="AE12" s="440"/>
      <c r="AF12" s="414"/>
      <c r="AG12" s="414"/>
      <c r="AH12" s="414"/>
      <c r="AK12" s="440"/>
    </row>
    <row r="13" spans="1:37" s="202" customFormat="1">
      <c r="A13" s="198">
        <f>A11+1</f>
        <v>7</v>
      </c>
      <c r="B13" s="707">
        <f>'תקציב החברה לתירות 2020 '!B8</f>
        <v>1869</v>
      </c>
      <c r="C13" s="341" t="str">
        <f>'תקציב החברה לתירות 2020 '!C8</f>
        <v>תל מיכל</v>
      </c>
      <c r="D13" s="199">
        <f>'תקציב החברה לתירות 2020 '!D8</f>
        <v>8200000</v>
      </c>
      <c r="E13" s="199">
        <f>'תקציב החברה לתירות 2020 '!E8</f>
        <v>8200000</v>
      </c>
      <c r="F13" s="199">
        <f>'תקציב החברה לתירות 2020 '!F8</f>
        <v>0</v>
      </c>
      <c r="G13" s="199">
        <f>'תקציב החברה לתירות 2020 '!G8</f>
        <v>100000</v>
      </c>
      <c r="H13" s="199">
        <f>'תקציב החברה לתירות 2020 '!H8</f>
        <v>94426.02</v>
      </c>
      <c r="I13" s="199">
        <f>'תקציב החברה לתירות 2020 '!I8</f>
        <v>0</v>
      </c>
      <c r="J13" s="199">
        <f>'תקציב החברה לתירות 2020 '!J8</f>
        <v>0</v>
      </c>
      <c r="K13" s="199">
        <f>'תקציב החברה לתירות 2020 '!K8</f>
        <v>0</v>
      </c>
      <c r="L13" s="199">
        <f>'תקציב החברה לתירות 2020 '!L8</f>
        <v>94426.02</v>
      </c>
      <c r="M13" s="199">
        <f>'תקציב החברה לתירות 2020 '!M8</f>
        <v>5573.9799999999959</v>
      </c>
      <c r="N13" s="199">
        <f>'תקציב החברה לתירות 2020 '!N8</f>
        <v>100000</v>
      </c>
      <c r="O13" s="199">
        <f>'תקציב החברה לתירות 2020 '!O8</f>
        <v>8000000</v>
      </c>
      <c r="P13" s="199">
        <f>'תקציב החברה לתירות 2020 '!P8</f>
        <v>5573.9799999999959</v>
      </c>
      <c r="Q13" s="199">
        <f>'תקציב החברה לתירות 2020 '!Q8</f>
        <v>0</v>
      </c>
      <c r="R13" s="199">
        <f>'תקציב החברה לתירות 2020 '!R8</f>
        <v>0</v>
      </c>
      <c r="S13" s="199">
        <f>'תקציב החברה לתירות 2020 '!S8</f>
        <v>0</v>
      </c>
      <c r="T13" s="199">
        <f>'תקציב החברה לתירות 2020 '!T8</f>
        <v>0</v>
      </c>
      <c r="U13" s="199">
        <f>'תקציב החברה לתירות 2020 '!U8</f>
        <v>100000</v>
      </c>
      <c r="V13" s="199">
        <f>'תקציב החברה לתירות 2020 '!V8</f>
        <v>100000</v>
      </c>
      <c r="W13" s="199">
        <f>'תקציב החברה לתירות 2020 '!W8</f>
        <v>0</v>
      </c>
      <c r="X13" s="199">
        <f>'תקציב החברה לתירות 2020 '!X8</f>
        <v>0</v>
      </c>
      <c r="Y13" s="199">
        <f>'תקציב החברה לתירות 2020 '!Y8</f>
        <v>0</v>
      </c>
      <c r="Z13" s="199">
        <f>'תקציב החברה לתירות 2020 '!Z8</f>
        <v>0</v>
      </c>
      <c r="AA13" s="341" t="str">
        <f>'תקציב החברה לתירות 2020 '!AA8</f>
        <v>שיקום ופיתוח המצודה בתל מיכל.</v>
      </c>
      <c r="AB13" s="707">
        <f>'תקציב החברה לתירות 2020 '!AB8</f>
        <v>742000</v>
      </c>
      <c r="AC13" s="191"/>
      <c r="AD13" s="342"/>
      <c r="AE13" s="205"/>
      <c r="AF13" s="331"/>
      <c r="AG13" s="331"/>
      <c r="AH13" s="331"/>
    </row>
    <row r="14" spans="1:37" s="202" customFormat="1">
      <c r="A14" s="198">
        <f>A13+1</f>
        <v>8</v>
      </c>
      <c r="B14" s="707">
        <f>'תקציב החברה לתירות 2020 '!B9</f>
        <v>1870</v>
      </c>
      <c r="C14" s="341" t="str">
        <f>'תקציב החברה לתירות 2020 '!C9</f>
        <v>חוף דרומי-כניסה חוף,טיילת העוגן</v>
      </c>
      <c r="D14" s="199">
        <f>'תקציב החברה לתירות 2020 '!D9</f>
        <v>7230000</v>
      </c>
      <c r="E14" s="199">
        <f>'תקציב החברה לתירות 2020 '!E9</f>
        <v>7230000</v>
      </c>
      <c r="F14" s="199">
        <f>'תקציב החברה לתירות 2020 '!F9</f>
        <v>0</v>
      </c>
      <c r="G14" s="199">
        <f>'תקציב החברה לתירות 2020 '!G9</f>
        <v>7230000</v>
      </c>
      <c r="H14" s="199">
        <f>'תקציב החברה לתירות 2020 '!H9</f>
        <v>7229579.7300000004</v>
      </c>
      <c r="I14" s="199">
        <f>'תקציב החברה לתירות 2020 '!I9</f>
        <v>0</v>
      </c>
      <c r="J14" s="199">
        <f>'תקציב החברה לתירות 2020 '!J9</f>
        <v>0</v>
      </c>
      <c r="K14" s="199">
        <f>'תקציב החברה לתירות 2020 '!K9</f>
        <v>0</v>
      </c>
      <c r="L14" s="199">
        <f>'תקציב החברה לתירות 2020 '!L9</f>
        <v>7229579.7300000004</v>
      </c>
      <c r="M14" s="199">
        <f>'תקציב החברה לתירות 2020 '!M9</f>
        <v>420.26999999955297</v>
      </c>
      <c r="N14" s="199">
        <f>'תקציב החברה לתירות 2020 '!N9</f>
        <v>0</v>
      </c>
      <c r="O14" s="199">
        <f>'תקציב החברה לתירות 2020 '!O9</f>
        <v>0</v>
      </c>
      <c r="P14" s="199">
        <f>'תקציב החברה לתירות 2020 '!P9</f>
        <v>420.26999999955297</v>
      </c>
      <c r="Q14" s="199">
        <f>'תקציב החברה לתירות 2020 '!Q9</f>
        <v>0</v>
      </c>
      <c r="R14" s="199">
        <f>'תקציב החברה לתירות 2020 '!R9</f>
        <v>0</v>
      </c>
      <c r="S14" s="199">
        <f>'תקציב החברה לתירות 2020 '!S9</f>
        <v>0</v>
      </c>
      <c r="T14" s="199">
        <f>'תקציב החברה לתירות 2020 '!T9</f>
        <v>0</v>
      </c>
      <c r="U14" s="199">
        <f>'תקציב החברה לתירות 2020 '!U9</f>
        <v>0</v>
      </c>
      <c r="V14" s="199">
        <f>'תקציב החברה לתירות 2020 '!V9</f>
        <v>0</v>
      </c>
      <c r="W14" s="199">
        <f>'תקציב החברה לתירות 2020 '!W9</f>
        <v>0</v>
      </c>
      <c r="X14" s="199">
        <f>'תקציב החברה לתירות 2020 '!X9</f>
        <v>0</v>
      </c>
      <c r="Y14" s="199">
        <f>'תקציב החברה לתירות 2020 '!Y9</f>
        <v>0</v>
      </c>
      <c r="Z14" s="199">
        <f>'תקציב החברה לתירות 2020 '!Z9</f>
        <v>0</v>
      </c>
      <c r="AA14" s="341" t="str">
        <f>'תקציב החברה לתירות 2020 '!AA9</f>
        <v>עבודות פיתוח בחוף הדרומי.</v>
      </c>
      <c r="AB14" s="707">
        <f>'תקציב החברה לתירות 2020 '!AB9</f>
        <v>742000</v>
      </c>
      <c r="AC14" s="191"/>
      <c r="AD14" s="342"/>
      <c r="AE14" s="205"/>
      <c r="AF14" s="331"/>
      <c r="AG14" s="331"/>
      <c r="AH14" s="331"/>
    </row>
    <row r="15" spans="1:37" s="202" customFormat="1">
      <c r="A15" s="198">
        <f>A14+1</f>
        <v>9</v>
      </c>
      <c r="B15" s="707">
        <f>'תקציב החברה לתירות 2020 '!B10</f>
        <v>1932</v>
      </c>
      <c r="C15" s="341" t="str">
        <f>'תקציב החברה לתירות 2020 '!C10</f>
        <v>פיתוח גן לאומי אפולוניה</v>
      </c>
      <c r="D15" s="199">
        <f>'תקציב החברה לתירות 2020 '!D10</f>
        <v>11800000</v>
      </c>
      <c r="E15" s="199">
        <f>'תקציב החברה לתירות 2020 '!E10</f>
        <v>5000000</v>
      </c>
      <c r="F15" s="199">
        <f>'תקציב החברה לתירות 2020 '!F10</f>
        <v>6800000</v>
      </c>
      <c r="G15" s="199">
        <f>'תקציב החברה לתירות 2020 '!G10</f>
        <v>5000000</v>
      </c>
      <c r="H15" s="199">
        <f>'תקציב החברה לתירות 2020 '!H10</f>
        <v>4547949.87</v>
      </c>
      <c r="I15" s="199">
        <f>'תקציב החברה לתירות 2020 '!I10</f>
        <v>0</v>
      </c>
      <c r="J15" s="199">
        <f>'תקציב החברה לתירות 2020 '!J10</f>
        <v>0</v>
      </c>
      <c r="K15" s="199">
        <f>'תקציב החברה לתירות 2020 '!K10</f>
        <v>0</v>
      </c>
      <c r="L15" s="199">
        <f>'תקציב החברה לתירות 2020 '!L10</f>
        <v>4547949.87</v>
      </c>
      <c r="M15" s="199">
        <f>'תקציב החברה לתירות 2020 '!M10</f>
        <v>452050.12999999989</v>
      </c>
      <c r="N15" s="199">
        <f>'תקציב החברה לתירות 2020 '!N10</f>
        <v>800000</v>
      </c>
      <c r="O15" s="199">
        <f>'תקציב החברה לתירות 2020 '!O10</f>
        <v>6000000</v>
      </c>
      <c r="P15" s="199">
        <f>'תקציב החברה לתירות 2020 '!P10</f>
        <v>452050.12999999989</v>
      </c>
      <c r="Q15" s="199">
        <f>'תקציב החברה לתירות 2020 '!Q10</f>
        <v>0</v>
      </c>
      <c r="R15" s="199">
        <f>'תקציב החברה לתירות 2020 '!R10</f>
        <v>0</v>
      </c>
      <c r="S15" s="199">
        <f>'תקציב החברה לתירות 2020 '!S10</f>
        <v>0</v>
      </c>
      <c r="T15" s="199">
        <f>'תקציב החברה לתירות 2020 '!T10</f>
        <v>0</v>
      </c>
      <c r="U15" s="199">
        <f>'תקציב החברה לתירות 2020 '!U10</f>
        <v>800000</v>
      </c>
      <c r="V15" s="199">
        <f>'תקציב החברה לתירות 2020 '!V10</f>
        <v>0</v>
      </c>
      <c r="W15" s="199">
        <f>'תקציב החברה לתירות 2020 '!W10</f>
        <v>0</v>
      </c>
      <c r="X15" s="199">
        <f>'תקציב החברה לתירות 2020 '!X10</f>
        <v>0</v>
      </c>
      <c r="Y15" s="199">
        <f>'תקציב החברה לתירות 2020 '!Y10</f>
        <v>0</v>
      </c>
      <c r="Z15" s="199">
        <f>'תקציב החברה לתירות 2020 '!Z10</f>
        <v>800000</v>
      </c>
      <c r="AA15" s="341" t="str">
        <f>'תקציב החברה לתירות 2020 '!AA10</f>
        <v>מימון רמ"י.</v>
      </c>
      <c r="AB15" s="707">
        <f>'תקציב החברה לתירות 2020 '!AB10</f>
        <v>746000</v>
      </c>
      <c r="AC15" s="191"/>
      <c r="AD15" s="342"/>
      <c r="AE15" s="205"/>
      <c r="AF15" s="331"/>
      <c r="AG15" s="331"/>
      <c r="AH15" s="331"/>
      <c r="AK15" s="205"/>
    </row>
    <row r="16" spans="1:37" s="411" customFormat="1">
      <c r="A16" s="339"/>
      <c r="B16" s="727"/>
      <c r="C16" s="778" t="s">
        <v>691</v>
      </c>
      <c r="D16" s="439">
        <f>SUM(D13:D15)</f>
        <v>27230000</v>
      </c>
      <c r="E16" s="439">
        <f t="shared" ref="E16:Z16" si="2">SUM(E13:E15)</f>
        <v>20430000</v>
      </c>
      <c r="F16" s="439">
        <f t="shared" si="2"/>
        <v>6800000</v>
      </c>
      <c r="G16" s="439">
        <f t="shared" si="2"/>
        <v>12330000</v>
      </c>
      <c r="H16" s="439">
        <f t="shared" si="2"/>
        <v>11871955.620000001</v>
      </c>
      <c r="I16" s="439">
        <f t="shared" si="2"/>
        <v>0</v>
      </c>
      <c r="J16" s="439">
        <f t="shared" si="2"/>
        <v>0</v>
      </c>
      <c r="K16" s="439">
        <f t="shared" si="2"/>
        <v>0</v>
      </c>
      <c r="L16" s="439">
        <f t="shared" si="2"/>
        <v>11871955.620000001</v>
      </c>
      <c r="M16" s="439">
        <f t="shared" si="2"/>
        <v>458044.37999999942</v>
      </c>
      <c r="N16" s="439">
        <f t="shared" si="2"/>
        <v>900000</v>
      </c>
      <c r="O16" s="439">
        <f t="shared" si="2"/>
        <v>14000000</v>
      </c>
      <c r="P16" s="439">
        <f t="shared" si="2"/>
        <v>458044.37999999942</v>
      </c>
      <c r="Q16" s="439">
        <f t="shared" si="2"/>
        <v>0</v>
      </c>
      <c r="R16" s="439">
        <f t="shared" si="2"/>
        <v>0</v>
      </c>
      <c r="S16" s="439">
        <f t="shared" si="2"/>
        <v>0</v>
      </c>
      <c r="T16" s="439">
        <f t="shared" si="2"/>
        <v>0</v>
      </c>
      <c r="U16" s="439">
        <f t="shared" si="2"/>
        <v>900000</v>
      </c>
      <c r="V16" s="439">
        <f t="shared" si="2"/>
        <v>100000</v>
      </c>
      <c r="W16" s="439">
        <f t="shared" si="2"/>
        <v>0</v>
      </c>
      <c r="X16" s="439">
        <f t="shared" si="2"/>
        <v>0</v>
      </c>
      <c r="Y16" s="439">
        <f t="shared" si="2"/>
        <v>0</v>
      </c>
      <c r="Z16" s="439">
        <f t="shared" si="2"/>
        <v>800000</v>
      </c>
      <c r="AA16" s="441"/>
      <c r="AB16" s="727"/>
      <c r="AC16" s="428"/>
      <c r="AD16" s="451"/>
      <c r="AE16" s="440"/>
      <c r="AF16" s="414"/>
      <c r="AG16" s="414"/>
      <c r="AH16" s="414"/>
      <c r="AK16" s="440"/>
    </row>
    <row r="17" spans="1:30" s="84" customFormat="1" ht="13.8">
      <c r="A17" s="41">
        <f>A15</f>
        <v>9</v>
      </c>
      <c r="B17" s="725"/>
      <c r="C17" s="221" t="s">
        <v>352</v>
      </c>
      <c r="D17" s="88">
        <f>D16+D12</f>
        <v>44050000</v>
      </c>
      <c r="E17" s="88">
        <f t="shared" ref="E17:Z17" si="3">E16+E12</f>
        <v>33243000</v>
      </c>
      <c r="F17" s="88">
        <f t="shared" si="3"/>
        <v>10807000</v>
      </c>
      <c r="G17" s="88">
        <f t="shared" si="3"/>
        <v>15060000</v>
      </c>
      <c r="H17" s="88">
        <f t="shared" si="3"/>
        <v>14222827.520000001</v>
      </c>
      <c r="I17" s="88">
        <f t="shared" si="3"/>
        <v>0</v>
      </c>
      <c r="J17" s="88">
        <f t="shared" si="3"/>
        <v>0</v>
      </c>
      <c r="K17" s="88">
        <f t="shared" si="3"/>
        <v>0</v>
      </c>
      <c r="L17" s="88">
        <f t="shared" si="3"/>
        <v>14222827.520000001</v>
      </c>
      <c r="M17" s="88">
        <f t="shared" si="3"/>
        <v>1062172.4799999995</v>
      </c>
      <c r="N17" s="88">
        <f t="shared" si="3"/>
        <v>2045000</v>
      </c>
      <c r="O17" s="88">
        <f t="shared" si="3"/>
        <v>26720000</v>
      </c>
      <c r="P17" s="88">
        <f t="shared" si="3"/>
        <v>837172.47999999952</v>
      </c>
      <c r="Q17" s="88">
        <f t="shared" si="3"/>
        <v>255000</v>
      </c>
      <c r="R17" s="88">
        <f t="shared" si="3"/>
        <v>0</v>
      </c>
      <c r="S17" s="88">
        <f t="shared" si="3"/>
        <v>255000</v>
      </c>
      <c r="T17" s="88">
        <f t="shared" si="3"/>
        <v>30000</v>
      </c>
      <c r="U17" s="88">
        <f t="shared" si="3"/>
        <v>2015000</v>
      </c>
      <c r="V17" s="88">
        <f t="shared" si="3"/>
        <v>1215000</v>
      </c>
      <c r="W17" s="88">
        <f t="shared" si="3"/>
        <v>0</v>
      </c>
      <c r="X17" s="88">
        <f t="shared" si="3"/>
        <v>0</v>
      </c>
      <c r="Y17" s="88">
        <f t="shared" si="3"/>
        <v>0</v>
      </c>
      <c r="Z17" s="88">
        <f t="shared" si="3"/>
        <v>800000</v>
      </c>
      <c r="AA17" s="714"/>
      <c r="AB17" s="41"/>
      <c r="AC17" s="436"/>
      <c r="AD17" s="438"/>
    </row>
    <row r="18" spans="1:30">
      <c r="M18" s="349">
        <f>P17+S17-T17</f>
        <v>1062172.4799999995</v>
      </c>
      <c r="P18" s="349">
        <f>G17-L17</f>
        <v>837172.47999999858</v>
      </c>
      <c r="U18" s="192">
        <f>N17-T17</f>
        <v>2015000</v>
      </c>
    </row>
  </sheetData>
  <sheetProtection formatCells="0" formatColumns="0" formatRows="0" insertColumns="0" insertRows="0" insertHyperlinks="0" deleteColumns="0" deleteRows="0" sort="0" autoFilter="0" pivotTables="0"/>
  <sortState ref="A6:AK14">
    <sortCondition ref="AB6:AB14"/>
  </sortState>
  <conditionalFormatting sqref="AC17:AG17">
    <cfRule type="cellIs" dxfId="27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383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21">
      <c r="A5" s="273"/>
      <c r="C5" s="275"/>
      <c r="D5" s="273"/>
      <c r="E5" s="273"/>
      <c r="F5" s="273"/>
      <c r="G5" s="273"/>
      <c r="H5" s="273"/>
      <c r="I5" s="273"/>
      <c r="J5" s="273"/>
      <c r="K5" s="273"/>
      <c r="L5" s="273"/>
    </row>
    <row r="6" spans="1:17" ht="21.6" thickBot="1">
      <c r="A6" s="273"/>
      <c r="C6" s="275"/>
      <c r="D6" s="273"/>
      <c r="E6" s="273"/>
      <c r="F6" s="273"/>
      <c r="G6" s="273"/>
      <c r="H6" s="273"/>
      <c r="I6" s="273"/>
      <c r="J6" s="273"/>
      <c r="K6" s="273"/>
      <c r="L6" s="273"/>
    </row>
    <row r="7" spans="1:17" ht="16.2" thickBot="1">
      <c r="A7" s="273"/>
      <c r="B7" s="276" t="s">
        <v>227</v>
      </c>
      <c r="C7" s="273" t="s">
        <v>1339</v>
      </c>
      <c r="D7" s="273"/>
      <c r="E7" s="273"/>
      <c r="F7" s="277">
        <f>'תקציב אגף תקשוב 2020 '!$U$15</f>
        <v>13930000</v>
      </c>
      <c r="I7" s="273"/>
      <c r="J7" s="273"/>
      <c r="K7" s="273"/>
      <c r="L7" s="273"/>
    </row>
    <row r="8" spans="1:17" ht="21.6" thickBot="1">
      <c r="A8" s="273"/>
      <c r="C8" s="275"/>
      <c r="D8" s="273"/>
      <c r="E8" s="273"/>
      <c r="F8" s="273"/>
      <c r="H8" s="273"/>
      <c r="I8" s="273"/>
      <c r="J8" s="273"/>
      <c r="K8" s="273"/>
      <c r="L8" s="273"/>
    </row>
    <row r="9" spans="1:17" ht="16.2" thickBot="1">
      <c r="B9" s="276" t="s">
        <v>227</v>
      </c>
      <c r="C9" s="273" t="s">
        <v>393</v>
      </c>
      <c r="D9" s="273"/>
      <c r="F9" s="285">
        <f>'תקציב אגף תקשוב 2020 '!$A$15</f>
        <v>9</v>
      </c>
      <c r="I9" s="273"/>
      <c r="J9" s="273"/>
      <c r="K9" s="273"/>
      <c r="L9" s="273"/>
      <c r="M9" s="273"/>
      <c r="N9" s="273"/>
      <c r="O9" s="273"/>
      <c r="P9" s="273"/>
      <c r="Q9" s="273"/>
    </row>
    <row r="10" spans="1:17" ht="15.6">
      <c r="B10" s="276"/>
      <c r="C10" s="273"/>
      <c r="D10" s="273"/>
      <c r="F10" s="279"/>
      <c r="I10" s="273"/>
      <c r="J10" s="273"/>
      <c r="K10" s="273"/>
      <c r="L10" s="273"/>
      <c r="M10" s="273"/>
      <c r="N10" s="273"/>
      <c r="O10" s="273"/>
      <c r="P10" s="273"/>
      <c r="Q10" s="273"/>
    </row>
    <row r="11" spans="1:17" ht="15.6">
      <c r="B11" s="276"/>
      <c r="C11" s="273"/>
      <c r="D11" s="273"/>
      <c r="F11" s="279"/>
      <c r="I11" s="273"/>
      <c r="J11" s="273"/>
      <c r="K11" s="273"/>
      <c r="L11" s="273"/>
      <c r="M11" s="273"/>
      <c r="N11" s="273"/>
      <c r="O11" s="273"/>
      <c r="P11" s="273"/>
      <c r="Q11" s="273"/>
    </row>
    <row r="12" spans="1:17" ht="15.6">
      <c r="B12" s="276" t="s">
        <v>227</v>
      </c>
      <c r="C12" s="273" t="s">
        <v>365</v>
      </c>
      <c r="D12" s="273"/>
      <c r="E12" s="273"/>
      <c r="F12" s="273"/>
      <c r="G12" s="273"/>
      <c r="H12" s="273"/>
      <c r="I12" s="273"/>
      <c r="J12" s="273"/>
      <c r="K12" s="273"/>
      <c r="L12" s="273"/>
    </row>
    <row r="13" spans="1:17" ht="16.2" thickBot="1"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</row>
    <row r="14" spans="1:17" ht="15.6">
      <c r="D14" s="286" t="s">
        <v>366</v>
      </c>
      <c r="E14" s="287" t="s">
        <v>367</v>
      </c>
      <c r="F14" s="288" t="s">
        <v>369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</row>
    <row r="15" spans="1:17" ht="15.6">
      <c r="C15" s="276"/>
      <c r="D15" s="280" t="s">
        <v>13</v>
      </c>
      <c r="E15" s="289">
        <f>'תקציב אגף תקשוב 2020 '!$V$15</f>
        <v>5000000</v>
      </c>
      <c r="F15" s="297">
        <f>E15/$E$18</f>
        <v>0.35893754486719309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</row>
    <row r="16" spans="1:17" ht="15.6">
      <c r="C16" s="276"/>
      <c r="D16" s="280" t="s">
        <v>14</v>
      </c>
      <c r="E16" s="289">
        <f>'תקציב אגף תקשוב 2020 '!$W$15</f>
        <v>4850000</v>
      </c>
      <c r="F16" s="297">
        <f>E16/$E$18</f>
        <v>0.34816941852117733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</row>
    <row r="17" spans="1:17" ht="15.6">
      <c r="C17" s="276"/>
      <c r="D17" s="280" t="s">
        <v>105</v>
      </c>
      <c r="E17" s="423">
        <f>'תקציב אגף תקשוב 2020 '!$Z$15</f>
        <v>4080000</v>
      </c>
      <c r="F17" s="297">
        <f>E17/$E$18</f>
        <v>0.29289303661162958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</row>
    <row r="18" spans="1:17" ht="16.2" thickBot="1">
      <c r="C18" s="276"/>
      <c r="D18" s="283" t="s">
        <v>120</v>
      </c>
      <c r="E18" s="432">
        <f>SUM(E15:E17)</f>
        <v>13930000</v>
      </c>
      <c r="F18" s="449">
        <f>SUM(F15:F17)</f>
        <v>1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</row>
    <row r="19" spans="1:17" ht="15.6">
      <c r="B19" s="276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</row>
    <row r="20" spans="1:17" ht="15.6">
      <c r="B20" s="276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</row>
    <row r="21" spans="1:17" s="418" customFormat="1" ht="15.6">
      <c r="C21" s="420"/>
      <c r="D21" s="417"/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</row>
    <row r="23" spans="1:17" ht="15.6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rightToLeft="1" tabSelected="1" topLeftCell="A10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7" width="5.5546875" style="274" customWidth="1"/>
    <col min="8" max="9" width="12.109375" style="274" customWidth="1"/>
    <col min="10" max="10" width="7.88671875" style="274" customWidth="1"/>
    <col min="11" max="16384" width="9.109375" style="274"/>
  </cols>
  <sheetData>
    <row r="3" spans="1:17" ht="21">
      <c r="A3" s="273"/>
      <c r="C3" s="275" t="s">
        <v>383</v>
      </c>
      <c r="D3" s="273"/>
      <c r="E3" s="273"/>
      <c r="F3" s="273"/>
      <c r="G3" s="273"/>
      <c r="H3" s="273"/>
      <c r="I3" s="273"/>
      <c r="J3" s="273"/>
      <c r="K3" s="273"/>
      <c r="L3" s="273"/>
    </row>
    <row r="4" spans="1:17" ht="21">
      <c r="A4" s="273"/>
      <c r="C4" s="275"/>
      <c r="D4" s="273"/>
      <c r="E4" s="273"/>
      <c r="F4" s="273"/>
      <c r="G4" s="273"/>
      <c r="H4" s="273"/>
      <c r="I4" s="273"/>
      <c r="J4" s="273"/>
      <c r="K4" s="273"/>
      <c r="L4" s="273"/>
    </row>
    <row r="5" spans="1:17" ht="15.6">
      <c r="B5" s="276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</row>
    <row r="6" spans="1:17" ht="15.6">
      <c r="B6" s="276" t="s">
        <v>227</v>
      </c>
      <c r="C6" s="273" t="s">
        <v>924</v>
      </c>
      <c r="D6" s="273"/>
      <c r="F6" s="273"/>
      <c r="H6" s="282"/>
      <c r="I6" s="273"/>
      <c r="J6" s="273"/>
      <c r="K6" s="273"/>
      <c r="L6" s="273"/>
      <c r="M6" s="273"/>
      <c r="N6" s="273"/>
      <c r="O6" s="273"/>
      <c r="P6" s="273"/>
      <c r="Q6" s="273"/>
    </row>
    <row r="7" spans="1:17" ht="15.6">
      <c r="C7" s="273"/>
      <c r="D7" s="273" t="s">
        <v>388</v>
      </c>
      <c r="E7" s="273"/>
      <c r="F7" s="273"/>
      <c r="H7" s="273"/>
      <c r="I7" s="273"/>
      <c r="J7" s="273"/>
      <c r="K7" s="273"/>
      <c r="L7" s="273"/>
    </row>
    <row r="8" spans="1:17" ht="15.6">
      <c r="B8" s="276"/>
      <c r="C8" s="273"/>
      <c r="D8" s="273" t="s">
        <v>721</v>
      </c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</row>
    <row r="9" spans="1:17" ht="15.6">
      <c r="B9" s="276"/>
      <c r="C9" s="273"/>
      <c r="D9" s="273" t="s">
        <v>1350</v>
      </c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</row>
    <row r="12" spans="1:17">
      <c r="D12" s="448" t="s">
        <v>1424</v>
      </c>
    </row>
    <row r="33" spans="4:4">
      <c r="D33" s="447" t="s">
        <v>722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showZeros="0" rightToLeft="1" tabSelected="1" zoomScaleNormal="100" workbookViewId="0">
      <pane xSplit="3" ySplit="5" topLeftCell="D13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33203125" style="671" customWidth="1"/>
    <col min="2" max="2" width="4.77734375" style="634" customWidth="1"/>
    <col min="3" max="3" width="19.21875" style="634" customWidth="1"/>
    <col min="4" max="6" width="9.109375" style="680" customWidth="1"/>
    <col min="7" max="11" width="9.109375" style="680" hidden="1" customWidth="1"/>
    <col min="12" max="15" width="9.109375" style="680" customWidth="1"/>
    <col min="16" max="19" width="9.109375" style="680" hidden="1" customWidth="1"/>
    <col min="20" max="20" width="9.109375" style="680" customWidth="1"/>
    <col min="21" max="23" width="9.109375" style="634" customWidth="1"/>
    <col min="24" max="25" width="9.109375" style="634" hidden="1" customWidth="1"/>
    <col min="26" max="26" width="9.109375" style="634" customWidth="1"/>
    <col min="27" max="27" width="36.5546875" style="671" customWidth="1"/>
    <col min="28" max="28" width="7.88671875" style="634" hidden="1" customWidth="1"/>
    <col min="29" max="29" width="20.5546875" style="671" customWidth="1"/>
    <col min="30" max="30" width="10.44140625" style="634" customWidth="1"/>
    <col min="31" max="31" width="16.6640625" style="634" customWidth="1"/>
    <col min="32" max="32" width="10.5546875" style="634" customWidth="1"/>
    <col min="33" max="33" width="15.88671875" style="634" customWidth="1"/>
    <col min="34" max="34" width="12.44140625" style="671" customWidth="1"/>
    <col min="35" max="35" width="16" style="671" customWidth="1"/>
    <col min="36" max="36" width="15.6640625" style="671" customWidth="1"/>
    <col min="37" max="37" width="9.109375" style="634" customWidth="1"/>
    <col min="38" max="16384" width="9.109375" style="643"/>
  </cols>
  <sheetData>
    <row r="1" spans="1:37" ht="18">
      <c r="A1" s="663"/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  <c r="X1" s="640"/>
      <c r="Y1" s="640"/>
      <c r="Z1" s="641"/>
      <c r="AA1" s="665"/>
      <c r="AB1" s="641"/>
      <c r="AH1" s="665"/>
      <c r="AI1" s="665"/>
      <c r="AJ1" s="665"/>
      <c r="AK1" s="641"/>
    </row>
    <row r="2" spans="1:37" ht="18">
      <c r="A2" s="663" t="s">
        <v>619</v>
      </c>
      <c r="B2" s="663"/>
      <c r="C2" s="66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3"/>
      <c r="P2" s="663"/>
      <c r="Q2" s="663"/>
      <c r="R2" s="663"/>
      <c r="S2" s="663"/>
      <c r="T2" s="663"/>
      <c r="U2" s="663"/>
      <c r="V2" s="663"/>
      <c r="W2" s="663"/>
    </row>
    <row r="3" spans="1:37" ht="19.8" customHeight="1"/>
    <row r="4" spans="1:37" ht="97.5" customHeight="1">
      <c r="A4" s="194" t="s">
        <v>0</v>
      </c>
      <c r="B4" s="645" t="s">
        <v>1357</v>
      </c>
      <c r="C4" s="645" t="s">
        <v>2</v>
      </c>
      <c r="D4" s="645" t="s">
        <v>3</v>
      </c>
      <c r="E4" s="645" t="s">
        <v>4</v>
      </c>
      <c r="F4" s="645" t="s">
        <v>5</v>
      </c>
      <c r="G4" s="645" t="s">
        <v>6</v>
      </c>
      <c r="H4" s="645" t="s">
        <v>7</v>
      </c>
      <c r="I4" s="645" t="s">
        <v>9</v>
      </c>
      <c r="J4" s="645" t="s">
        <v>215</v>
      </c>
      <c r="K4" s="645" t="s">
        <v>10</v>
      </c>
      <c r="L4" s="645" t="s">
        <v>11</v>
      </c>
      <c r="M4" s="2" t="s">
        <v>918</v>
      </c>
      <c r="N4" s="645" t="s">
        <v>919</v>
      </c>
      <c r="O4" s="645" t="s">
        <v>920</v>
      </c>
      <c r="P4" s="645" t="s">
        <v>12</v>
      </c>
      <c r="Q4" s="645" t="s">
        <v>925</v>
      </c>
      <c r="R4" s="645" t="s">
        <v>926</v>
      </c>
      <c r="S4" s="645" t="s">
        <v>927</v>
      </c>
      <c r="T4" s="645" t="s">
        <v>921</v>
      </c>
      <c r="U4" s="645" t="s">
        <v>922</v>
      </c>
      <c r="V4" s="645" t="s">
        <v>13</v>
      </c>
      <c r="W4" s="645" t="s">
        <v>14</v>
      </c>
      <c r="X4" s="645" t="s">
        <v>15</v>
      </c>
      <c r="Y4" s="645" t="s">
        <v>354</v>
      </c>
      <c r="Z4" s="645" t="s">
        <v>105</v>
      </c>
      <c r="AA4" s="669" t="s">
        <v>410</v>
      </c>
      <c r="AB4" s="645" t="s">
        <v>16</v>
      </c>
      <c r="AK4" s="672"/>
    </row>
    <row r="5" spans="1:37" ht="18.75" customHeight="1">
      <c r="A5" s="673"/>
      <c r="B5" s="673"/>
      <c r="C5" s="673"/>
      <c r="D5" s="674"/>
      <c r="E5" s="674"/>
      <c r="F5" s="674"/>
      <c r="G5" s="674"/>
      <c r="H5" s="674"/>
      <c r="I5" s="674"/>
      <c r="J5" s="674"/>
      <c r="K5" s="674"/>
      <c r="L5" s="674"/>
      <c r="M5" s="674"/>
      <c r="N5" s="674"/>
      <c r="O5" s="674"/>
      <c r="P5" s="674"/>
      <c r="Q5" s="674"/>
      <c r="R5" s="674"/>
      <c r="S5" s="674"/>
      <c r="T5" s="674">
        <f>P5-M5+R5</f>
        <v>0</v>
      </c>
      <c r="U5" s="674">
        <f t="shared" ref="U5:U13" si="0">N5-T5</f>
        <v>0</v>
      </c>
      <c r="V5" s="674"/>
      <c r="W5" s="674"/>
      <c r="X5" s="674"/>
      <c r="Y5" s="674"/>
      <c r="Z5" s="673"/>
      <c r="AA5" s="675"/>
      <c r="AB5" s="673"/>
      <c r="AK5" s="653"/>
    </row>
    <row r="6" spans="1:37" ht="27.6">
      <c r="A6" s="673">
        <v>1</v>
      </c>
      <c r="B6" s="673">
        <v>1002</v>
      </c>
      <c r="C6" s="673" t="s">
        <v>182</v>
      </c>
      <c r="D6" s="674">
        <v>2290000</v>
      </c>
      <c r="E6" s="674">
        <v>2290000</v>
      </c>
      <c r="F6" s="674">
        <f t="shared" ref="F6:F13" si="1">D6-E6</f>
        <v>0</v>
      </c>
      <c r="G6" s="674">
        <v>2160000</v>
      </c>
      <c r="H6" s="674">
        <v>2043914.26</v>
      </c>
      <c r="I6" s="674"/>
      <c r="J6" s="674">
        <v>115109.5</v>
      </c>
      <c r="K6" s="674">
        <f>SUM(I6:J6)</f>
        <v>115109.5</v>
      </c>
      <c r="L6" s="674">
        <f t="shared" ref="L6:L13" si="2">H6+K6</f>
        <v>2159023.7599999998</v>
      </c>
      <c r="M6" s="676">
        <f>P6+S6</f>
        <v>976.24000000022352</v>
      </c>
      <c r="N6" s="676">
        <v>100000</v>
      </c>
      <c r="O6" s="676">
        <f t="shared" ref="O6:O13" si="3">D6-L6-M6-N6</f>
        <v>30000</v>
      </c>
      <c r="P6" s="676">
        <f t="shared" ref="P6:P13" si="4">G6-L6</f>
        <v>976.24000000022352</v>
      </c>
      <c r="Q6" s="676"/>
      <c r="R6" s="676"/>
      <c r="S6" s="676">
        <f t="shared" ref="S6:S13" si="5">SUM(Q6:R6)</f>
        <v>0</v>
      </c>
      <c r="T6" s="676">
        <f t="shared" ref="T6:T13" si="6">P6-M6+S6</f>
        <v>0</v>
      </c>
      <c r="U6" s="676">
        <f t="shared" si="0"/>
        <v>100000</v>
      </c>
      <c r="V6" s="676"/>
      <c r="W6" s="676">
        <f>U6-V6-X6-Y6-Z6</f>
        <v>100000</v>
      </c>
      <c r="X6" s="674"/>
      <c r="Y6" s="674"/>
      <c r="Z6" s="673"/>
      <c r="AA6" s="673" t="s">
        <v>621</v>
      </c>
      <c r="AB6" s="673">
        <v>760000</v>
      </c>
      <c r="AH6" s="677"/>
      <c r="AK6" s="653"/>
    </row>
    <row r="7" spans="1:37" ht="35.1" customHeight="1">
      <c r="A7" s="673">
        <f>A6+1</f>
        <v>2</v>
      </c>
      <c r="B7" s="673">
        <v>1497</v>
      </c>
      <c r="C7" s="673" t="s">
        <v>79</v>
      </c>
      <c r="D7" s="674">
        <v>8820000</v>
      </c>
      <c r="E7" s="674">
        <v>8820000</v>
      </c>
      <c r="F7" s="674">
        <f t="shared" si="1"/>
        <v>0</v>
      </c>
      <c r="G7" s="674">
        <v>2923000</v>
      </c>
      <c r="H7" s="674">
        <v>2615479.54</v>
      </c>
      <c r="I7" s="674">
        <v>136200</v>
      </c>
      <c r="J7" s="674">
        <v>79693.94</v>
      </c>
      <c r="K7" s="674">
        <f t="shared" ref="K7:K13" si="7">SUM(I7:J7)</f>
        <v>215893.94</v>
      </c>
      <c r="L7" s="674">
        <f t="shared" si="2"/>
        <v>2831373.48</v>
      </c>
      <c r="M7" s="676">
        <f>P7+S7-40000</f>
        <v>51626.520000000019</v>
      </c>
      <c r="N7" s="676">
        <f>100000+40000</f>
        <v>140000</v>
      </c>
      <c r="O7" s="676">
        <f t="shared" si="3"/>
        <v>5797000</v>
      </c>
      <c r="P7" s="676">
        <f t="shared" si="4"/>
        <v>91626.520000000019</v>
      </c>
      <c r="Q7" s="676"/>
      <c r="R7" s="676"/>
      <c r="S7" s="676">
        <f t="shared" si="5"/>
        <v>0</v>
      </c>
      <c r="T7" s="676">
        <f t="shared" si="6"/>
        <v>40000</v>
      </c>
      <c r="U7" s="676">
        <f t="shared" si="0"/>
        <v>100000</v>
      </c>
      <c r="V7" s="676"/>
      <c r="W7" s="676">
        <f>U7-V7-X7-Y7-Z7</f>
        <v>100000</v>
      </c>
      <c r="X7" s="674"/>
      <c r="Y7" s="674"/>
      <c r="Z7" s="673"/>
      <c r="AA7" s="673" t="s">
        <v>1221</v>
      </c>
      <c r="AB7" s="673">
        <v>610000</v>
      </c>
      <c r="AH7" s="677"/>
      <c r="AK7" s="653"/>
    </row>
    <row r="8" spans="1:37" ht="30.6" customHeight="1">
      <c r="A8" s="673">
        <f t="shared" ref="A8:A13" si="8">A7+1</f>
        <v>3</v>
      </c>
      <c r="B8" s="673">
        <v>1647</v>
      </c>
      <c r="C8" s="673" t="s">
        <v>565</v>
      </c>
      <c r="D8" s="674">
        <v>4700000</v>
      </c>
      <c r="E8" s="674">
        <v>4700000</v>
      </c>
      <c r="F8" s="674">
        <f t="shared" si="1"/>
        <v>0</v>
      </c>
      <c r="G8" s="674">
        <v>4150000</v>
      </c>
      <c r="H8" s="674">
        <v>4053613.63</v>
      </c>
      <c r="I8" s="674"/>
      <c r="J8" s="674">
        <v>65530.34</v>
      </c>
      <c r="K8" s="674">
        <f t="shared" si="7"/>
        <v>65530.34</v>
      </c>
      <c r="L8" s="674">
        <f t="shared" si="2"/>
        <v>4119143.9699999997</v>
      </c>
      <c r="M8" s="676">
        <f t="shared" ref="M8:M13" si="9">P8+S8</f>
        <v>30856.030000000261</v>
      </c>
      <c r="N8" s="676">
        <v>50000</v>
      </c>
      <c r="O8" s="676">
        <f t="shared" si="3"/>
        <v>500000</v>
      </c>
      <c r="P8" s="676">
        <f t="shared" si="4"/>
        <v>30856.030000000261</v>
      </c>
      <c r="Q8" s="676"/>
      <c r="R8" s="676"/>
      <c r="S8" s="676">
        <f t="shared" si="5"/>
        <v>0</v>
      </c>
      <c r="T8" s="676">
        <f t="shared" si="6"/>
        <v>0</v>
      </c>
      <c r="U8" s="676">
        <f t="shared" si="0"/>
        <v>50000</v>
      </c>
      <c r="V8" s="676"/>
      <c r="W8" s="676">
        <f>U8-V8-X8-Y8-Z8</f>
        <v>50000</v>
      </c>
      <c r="X8" s="674"/>
      <c r="Y8" s="674"/>
      <c r="Z8" s="673"/>
      <c r="AA8" s="673" t="s">
        <v>657</v>
      </c>
      <c r="AB8" s="673">
        <v>810000</v>
      </c>
      <c r="AH8" s="677"/>
      <c r="AK8" s="653"/>
    </row>
    <row r="9" spans="1:37" ht="41.4">
      <c r="A9" s="673">
        <f t="shared" si="8"/>
        <v>4</v>
      </c>
      <c r="B9" s="673">
        <v>1871</v>
      </c>
      <c r="C9" s="673" t="s">
        <v>812</v>
      </c>
      <c r="D9" s="674">
        <f>6000000+2000000</f>
        <v>8000000</v>
      </c>
      <c r="E9" s="674">
        <v>6000000</v>
      </c>
      <c r="F9" s="674">
        <f t="shared" si="1"/>
        <v>2000000</v>
      </c>
      <c r="G9" s="674">
        <v>2490000</v>
      </c>
      <c r="H9" s="674">
        <v>764816.13</v>
      </c>
      <c r="I9" s="674"/>
      <c r="J9" s="674">
        <v>130204.62</v>
      </c>
      <c r="K9" s="674">
        <f t="shared" si="7"/>
        <v>130204.62</v>
      </c>
      <c r="L9" s="674">
        <f t="shared" si="2"/>
        <v>895020.75</v>
      </c>
      <c r="M9" s="676">
        <f>P9+S9-500000</f>
        <v>1094979.25</v>
      </c>
      <c r="N9" s="676">
        <f>5000000+500000</f>
        <v>5500000</v>
      </c>
      <c r="O9" s="676">
        <f t="shared" si="3"/>
        <v>510000</v>
      </c>
      <c r="P9" s="676">
        <f t="shared" si="4"/>
        <v>1594979.25</v>
      </c>
      <c r="Q9" s="676"/>
      <c r="R9" s="676"/>
      <c r="S9" s="676">
        <f t="shared" si="5"/>
        <v>0</v>
      </c>
      <c r="T9" s="676">
        <f t="shared" si="6"/>
        <v>500000</v>
      </c>
      <c r="U9" s="676">
        <f t="shared" si="0"/>
        <v>5000000</v>
      </c>
      <c r="V9" s="676">
        <f>U9-W9-Y9-Z9</f>
        <v>5000000</v>
      </c>
      <c r="W9" s="676"/>
      <c r="X9" s="674"/>
      <c r="Y9" s="674"/>
      <c r="Z9" s="673"/>
      <c r="AA9" s="673" t="s">
        <v>564</v>
      </c>
      <c r="AB9" s="673">
        <v>760000</v>
      </c>
      <c r="AH9" s="677"/>
      <c r="AK9" s="653"/>
    </row>
    <row r="10" spans="1:37" ht="41.4">
      <c r="A10" s="673">
        <f t="shared" si="8"/>
        <v>5</v>
      </c>
      <c r="B10" s="673">
        <v>1982</v>
      </c>
      <c r="C10" s="673" t="s">
        <v>813</v>
      </c>
      <c r="D10" s="674">
        <f>19700000-2000000</f>
        <v>17700000</v>
      </c>
      <c r="E10" s="674">
        <v>19700000</v>
      </c>
      <c r="F10" s="674">
        <f t="shared" si="1"/>
        <v>-2000000</v>
      </c>
      <c r="G10" s="674">
        <v>10150000</v>
      </c>
      <c r="H10" s="674">
        <v>2659915.06</v>
      </c>
      <c r="I10" s="674">
        <v>1319227.98</v>
      </c>
      <c r="J10" s="674">
        <v>5171614.2300000004</v>
      </c>
      <c r="K10" s="674">
        <f t="shared" si="7"/>
        <v>6490842.2100000009</v>
      </c>
      <c r="L10" s="674">
        <f t="shared" si="2"/>
        <v>9150757.2700000014</v>
      </c>
      <c r="M10" s="676">
        <f t="shared" si="9"/>
        <v>999242.72999999858</v>
      </c>
      <c r="N10" s="676">
        <v>5000000</v>
      </c>
      <c r="O10" s="676">
        <f t="shared" si="3"/>
        <v>2550000</v>
      </c>
      <c r="P10" s="676">
        <f t="shared" si="4"/>
        <v>999242.72999999858</v>
      </c>
      <c r="Q10" s="676"/>
      <c r="R10" s="676"/>
      <c r="S10" s="676">
        <f t="shared" si="5"/>
        <v>0</v>
      </c>
      <c r="T10" s="676">
        <f t="shared" si="6"/>
        <v>0</v>
      </c>
      <c r="U10" s="676">
        <f t="shared" si="0"/>
        <v>5000000</v>
      </c>
      <c r="V10" s="676">
        <f>U10*0.4-1500000-500000</f>
        <v>0</v>
      </c>
      <c r="W10" s="676">
        <f>U10-V10-X10-Y10-Z10</f>
        <v>3500000</v>
      </c>
      <c r="X10" s="674"/>
      <c r="Y10" s="674"/>
      <c r="Z10" s="676">
        <v>1500000</v>
      </c>
      <c r="AA10" s="673" t="s">
        <v>1328</v>
      </c>
      <c r="AB10" s="673">
        <v>722000</v>
      </c>
      <c r="AH10" s="677"/>
      <c r="AK10" s="653"/>
    </row>
    <row r="11" spans="1:37" ht="55.2">
      <c r="A11" s="673">
        <f t="shared" si="8"/>
        <v>6</v>
      </c>
      <c r="B11" s="673">
        <v>2081</v>
      </c>
      <c r="C11" s="678" t="s">
        <v>566</v>
      </c>
      <c r="D11" s="674">
        <f>8400000-6900000</f>
        <v>1500000</v>
      </c>
      <c r="E11" s="674">
        <v>1500000</v>
      </c>
      <c r="F11" s="674">
        <f t="shared" si="1"/>
        <v>0</v>
      </c>
      <c r="G11" s="674">
        <v>0</v>
      </c>
      <c r="H11" s="674">
        <v>0</v>
      </c>
      <c r="I11" s="674"/>
      <c r="J11" s="674"/>
      <c r="K11" s="674">
        <f t="shared" si="7"/>
        <v>0</v>
      </c>
      <c r="L11" s="674">
        <f t="shared" si="2"/>
        <v>0</v>
      </c>
      <c r="M11" s="676">
        <f t="shared" si="9"/>
        <v>0</v>
      </c>
      <c r="N11" s="676">
        <f>8400000-8400000</f>
        <v>0</v>
      </c>
      <c r="O11" s="676">
        <f t="shared" si="3"/>
        <v>1500000</v>
      </c>
      <c r="P11" s="676">
        <f t="shared" si="4"/>
        <v>0</v>
      </c>
      <c r="Q11" s="676"/>
      <c r="R11" s="676"/>
      <c r="S11" s="676">
        <f t="shared" si="5"/>
        <v>0</v>
      </c>
      <c r="T11" s="676">
        <f t="shared" si="6"/>
        <v>0</v>
      </c>
      <c r="U11" s="676">
        <f t="shared" si="0"/>
        <v>0</v>
      </c>
      <c r="V11" s="676"/>
      <c r="W11" s="676">
        <f>U11-V11-X11-Y11-Z11</f>
        <v>0</v>
      </c>
      <c r="X11" s="674"/>
      <c r="Y11" s="674"/>
      <c r="Z11" s="673"/>
      <c r="AA11" s="673" t="s">
        <v>1356</v>
      </c>
      <c r="AB11" s="673">
        <v>760000</v>
      </c>
      <c r="AK11" s="653"/>
    </row>
    <row r="12" spans="1:37" ht="76.2" customHeight="1">
      <c r="A12" s="673">
        <f t="shared" si="8"/>
        <v>7</v>
      </c>
      <c r="B12" s="673">
        <v>2082</v>
      </c>
      <c r="C12" s="673" t="s">
        <v>567</v>
      </c>
      <c r="D12" s="674">
        <v>1000000</v>
      </c>
      <c r="E12" s="674">
        <v>1000000</v>
      </c>
      <c r="F12" s="674">
        <f t="shared" si="1"/>
        <v>0</v>
      </c>
      <c r="G12" s="674">
        <v>100000</v>
      </c>
      <c r="H12" s="674">
        <v>0</v>
      </c>
      <c r="I12" s="674"/>
      <c r="J12" s="674">
        <v>45121.05</v>
      </c>
      <c r="K12" s="674">
        <f t="shared" si="7"/>
        <v>45121.05</v>
      </c>
      <c r="L12" s="674">
        <f t="shared" si="2"/>
        <v>45121.05</v>
      </c>
      <c r="M12" s="676">
        <f t="shared" si="9"/>
        <v>54878.95</v>
      </c>
      <c r="N12" s="676">
        <v>900000</v>
      </c>
      <c r="O12" s="676">
        <f t="shared" si="3"/>
        <v>0</v>
      </c>
      <c r="P12" s="676">
        <f t="shared" si="4"/>
        <v>54878.95</v>
      </c>
      <c r="Q12" s="676"/>
      <c r="R12" s="676"/>
      <c r="S12" s="676">
        <f t="shared" si="5"/>
        <v>0</v>
      </c>
      <c r="T12" s="676">
        <f t="shared" si="6"/>
        <v>0</v>
      </c>
      <c r="U12" s="676">
        <f t="shared" si="0"/>
        <v>900000</v>
      </c>
      <c r="V12" s="676">
        <f>U12-W12-Y12-Z12</f>
        <v>0</v>
      </c>
      <c r="W12" s="676">
        <v>900000</v>
      </c>
      <c r="X12" s="674"/>
      <c r="Y12" s="674"/>
      <c r="Z12" s="673"/>
      <c r="AA12" s="673" t="s">
        <v>815</v>
      </c>
      <c r="AB12" s="673">
        <v>760000</v>
      </c>
      <c r="AK12" s="653"/>
    </row>
    <row r="13" spans="1:37" ht="74.400000000000006" customHeight="1">
      <c r="A13" s="673">
        <f t="shared" si="8"/>
        <v>8</v>
      </c>
      <c r="B13" s="673">
        <v>2083</v>
      </c>
      <c r="C13" s="673" t="s">
        <v>615</v>
      </c>
      <c r="D13" s="674">
        <v>5580000</v>
      </c>
      <c r="E13" s="674">
        <v>5580000</v>
      </c>
      <c r="F13" s="674">
        <f t="shared" si="1"/>
        <v>0</v>
      </c>
      <c r="G13" s="674">
        <v>3000000</v>
      </c>
      <c r="H13" s="674">
        <v>0</v>
      </c>
      <c r="I13" s="674"/>
      <c r="J13" s="674"/>
      <c r="K13" s="674">
        <f t="shared" si="7"/>
        <v>0</v>
      </c>
      <c r="L13" s="674">
        <f t="shared" si="2"/>
        <v>0</v>
      </c>
      <c r="M13" s="676">
        <f t="shared" si="9"/>
        <v>3000000</v>
      </c>
      <c r="N13" s="676">
        <v>2580000</v>
      </c>
      <c r="O13" s="676">
        <f t="shared" si="3"/>
        <v>0</v>
      </c>
      <c r="P13" s="676">
        <f t="shared" si="4"/>
        <v>3000000</v>
      </c>
      <c r="Q13" s="676"/>
      <c r="R13" s="676"/>
      <c r="S13" s="676">
        <f t="shared" si="5"/>
        <v>0</v>
      </c>
      <c r="T13" s="676">
        <f t="shared" si="6"/>
        <v>0</v>
      </c>
      <c r="U13" s="676">
        <f t="shared" si="0"/>
        <v>2580000</v>
      </c>
      <c r="V13" s="676"/>
      <c r="W13" s="676">
        <f>U13-V13-X13-Y13-Z13</f>
        <v>0</v>
      </c>
      <c r="X13" s="674"/>
      <c r="Y13" s="674"/>
      <c r="Z13" s="676">
        <v>2580000</v>
      </c>
      <c r="AA13" s="673" t="s">
        <v>1504</v>
      </c>
      <c r="AB13" s="673">
        <v>810000</v>
      </c>
      <c r="AK13" s="653"/>
    </row>
    <row r="14" spans="1:37" s="5" customFormat="1" ht="69" customHeight="1">
      <c r="A14" s="673">
        <f>A13+1</f>
        <v>9</v>
      </c>
      <c r="B14" s="683">
        <v>2170</v>
      </c>
      <c r="C14" s="3" t="s">
        <v>1222</v>
      </c>
      <c r="D14" s="4">
        <v>200000</v>
      </c>
      <c r="E14" s="4"/>
      <c r="F14" s="4">
        <f>D14-E14</f>
        <v>200000</v>
      </c>
      <c r="G14" s="4">
        <v>0</v>
      </c>
      <c r="H14" s="4">
        <v>0</v>
      </c>
      <c r="I14" s="4"/>
      <c r="J14" s="4"/>
      <c r="K14" s="4">
        <f>SUM(I14:J14)</f>
        <v>0</v>
      </c>
      <c r="L14" s="4">
        <f>H14+K14</f>
        <v>0</v>
      </c>
      <c r="M14" s="676">
        <f>P14+S14</f>
        <v>0</v>
      </c>
      <c r="N14" s="4">
        <v>200000</v>
      </c>
      <c r="O14" s="4">
        <f>D14-L14-M14-N14</f>
        <v>0</v>
      </c>
      <c r="P14" s="4">
        <f>G14-L14</f>
        <v>0</v>
      </c>
      <c r="Q14" s="4"/>
      <c r="R14" s="4"/>
      <c r="S14" s="4"/>
      <c r="T14" s="4">
        <f>P14-M14+S14</f>
        <v>0</v>
      </c>
      <c r="U14" s="4">
        <f>N14-T14</f>
        <v>200000</v>
      </c>
      <c r="V14" s="4">
        <f>U14-Z14-W14-Y14</f>
        <v>0</v>
      </c>
      <c r="W14" s="4">
        <v>200000</v>
      </c>
      <c r="X14" s="4"/>
      <c r="Y14" s="4"/>
      <c r="Z14" s="4"/>
      <c r="AA14" s="3" t="s">
        <v>1223</v>
      </c>
      <c r="AB14" s="673">
        <v>760000</v>
      </c>
      <c r="AC14" s="20"/>
      <c r="AD14" s="52"/>
      <c r="AE14" s="6"/>
      <c r="AF14" s="6"/>
    </row>
    <row r="15" spans="1:37" s="84" customFormat="1" ht="35.1" customHeight="1">
      <c r="A15" s="41">
        <f>A14</f>
        <v>9</v>
      </c>
      <c r="B15" s="41"/>
      <c r="C15" s="679" t="s">
        <v>656</v>
      </c>
      <c r="D15" s="88">
        <f t="shared" ref="D15:Z15" si="10">SUM(D6:D14)</f>
        <v>49790000</v>
      </c>
      <c r="E15" s="88">
        <f t="shared" si="10"/>
        <v>49590000</v>
      </c>
      <c r="F15" s="88">
        <f t="shared" si="10"/>
        <v>200000</v>
      </c>
      <c r="G15" s="88">
        <f t="shared" si="10"/>
        <v>24973000</v>
      </c>
      <c r="H15" s="88">
        <f t="shared" si="10"/>
        <v>12137738.620000001</v>
      </c>
      <c r="I15" s="88">
        <f t="shared" si="10"/>
        <v>1455427.98</v>
      </c>
      <c r="J15" s="88">
        <f t="shared" si="10"/>
        <v>5607273.6800000006</v>
      </c>
      <c r="K15" s="88">
        <f t="shared" si="10"/>
        <v>7062701.6600000011</v>
      </c>
      <c r="L15" s="88">
        <f t="shared" si="10"/>
        <v>19200440.280000005</v>
      </c>
      <c r="M15" s="88">
        <f t="shared" si="10"/>
        <v>5232559.7199999988</v>
      </c>
      <c r="N15" s="88">
        <f t="shared" si="10"/>
        <v>14470000</v>
      </c>
      <c r="O15" s="88">
        <f t="shared" si="10"/>
        <v>10887000</v>
      </c>
      <c r="P15" s="88">
        <f t="shared" si="10"/>
        <v>5772559.7199999988</v>
      </c>
      <c r="Q15" s="88">
        <f t="shared" si="10"/>
        <v>0</v>
      </c>
      <c r="R15" s="88">
        <f t="shared" si="10"/>
        <v>0</v>
      </c>
      <c r="S15" s="88">
        <f t="shared" si="10"/>
        <v>0</v>
      </c>
      <c r="T15" s="88">
        <f t="shared" si="10"/>
        <v>540000</v>
      </c>
      <c r="U15" s="88">
        <f t="shared" si="10"/>
        <v>13930000</v>
      </c>
      <c r="V15" s="88">
        <f t="shared" si="10"/>
        <v>5000000</v>
      </c>
      <c r="W15" s="88">
        <f t="shared" si="10"/>
        <v>4850000</v>
      </c>
      <c r="X15" s="88">
        <f t="shared" si="10"/>
        <v>0</v>
      </c>
      <c r="Y15" s="88">
        <f t="shared" si="10"/>
        <v>0</v>
      </c>
      <c r="Z15" s="88">
        <f t="shared" si="10"/>
        <v>4080000</v>
      </c>
      <c r="AA15" s="431"/>
      <c r="AB15" s="41"/>
      <c r="AC15" s="436"/>
      <c r="AD15" s="438"/>
    </row>
    <row r="16" spans="1:37" hidden="1">
      <c r="L16" s="680">
        <f>H15+K15</f>
        <v>19200440.280000001</v>
      </c>
      <c r="M16" s="680">
        <f>P16+S15-T15</f>
        <v>5232559.7199999988</v>
      </c>
      <c r="P16" s="680">
        <f>G15-L16</f>
        <v>5772559.7199999988</v>
      </c>
      <c r="U16" s="680">
        <f>N15-T15</f>
        <v>13930000</v>
      </c>
      <c r="AA16" s="634"/>
    </row>
    <row r="17" spans="1:37">
      <c r="AA17" s="634"/>
    </row>
    <row r="18" spans="1:37">
      <c r="A18" s="643"/>
      <c r="B18" s="643"/>
      <c r="C18" s="643"/>
      <c r="D18" s="643"/>
      <c r="E18" s="643"/>
      <c r="F18" s="643"/>
      <c r="G18" s="643"/>
      <c r="H18" s="643"/>
      <c r="I18" s="643"/>
      <c r="J18" s="643"/>
      <c r="K18" s="643"/>
      <c r="L18" s="643"/>
      <c r="M18" s="643"/>
      <c r="N18" s="643"/>
      <c r="O18" s="643"/>
      <c r="P18" s="643"/>
      <c r="Q18" s="643"/>
      <c r="R18" s="643"/>
      <c r="S18" s="643"/>
      <c r="T18" s="643"/>
      <c r="V18" s="643"/>
      <c r="W18" s="643"/>
      <c r="X18" s="643"/>
      <c r="Y18" s="643"/>
      <c r="Z18" s="643"/>
      <c r="AA18" s="643"/>
      <c r="AB18" s="643"/>
      <c r="AH18" s="643"/>
      <c r="AI18" s="643"/>
      <c r="AJ18" s="643"/>
      <c r="AK18" s="643"/>
    </row>
    <row r="19" spans="1:37">
      <c r="A19" s="643"/>
      <c r="B19" s="643"/>
      <c r="C19" s="643"/>
      <c r="D19" s="643"/>
      <c r="E19" s="643"/>
      <c r="F19" s="643"/>
      <c r="G19" s="643"/>
      <c r="H19" s="643"/>
      <c r="I19" s="643"/>
      <c r="J19" s="643"/>
      <c r="K19" s="643"/>
      <c r="L19" s="643"/>
      <c r="M19" s="643"/>
      <c r="N19" s="643"/>
      <c r="O19" s="643"/>
      <c r="P19" s="643"/>
      <c r="Q19" s="643"/>
      <c r="R19" s="643"/>
      <c r="S19" s="643"/>
      <c r="T19" s="643"/>
      <c r="U19" s="643"/>
      <c r="V19" s="643"/>
      <c r="W19" s="643"/>
      <c r="X19" s="643"/>
      <c r="Y19" s="643"/>
      <c r="Z19" s="643"/>
      <c r="AA19" s="643"/>
      <c r="AB19" s="643"/>
      <c r="AH19" s="643"/>
      <c r="AI19" s="643"/>
      <c r="AJ19" s="643"/>
      <c r="AK19" s="643"/>
    </row>
    <row r="20" spans="1:37">
      <c r="A20" s="643"/>
      <c r="B20" s="643"/>
      <c r="C20" s="643"/>
      <c r="D20" s="643"/>
      <c r="E20" s="643"/>
      <c r="F20" s="643"/>
      <c r="G20" s="643"/>
      <c r="H20" s="643"/>
      <c r="I20" s="643"/>
      <c r="J20" s="643"/>
      <c r="K20" s="643"/>
      <c r="L20" s="643"/>
      <c r="M20" s="643"/>
      <c r="N20" s="643"/>
      <c r="O20" s="643"/>
      <c r="P20" s="643"/>
      <c r="Q20" s="643"/>
      <c r="R20" s="643"/>
      <c r="S20" s="643"/>
      <c r="T20" s="643"/>
      <c r="U20" s="643"/>
      <c r="V20" s="643"/>
      <c r="W20" s="643"/>
      <c r="X20" s="643"/>
      <c r="Y20" s="643"/>
      <c r="Z20" s="643"/>
      <c r="AA20" s="643"/>
      <c r="AB20" s="643"/>
      <c r="AH20" s="643"/>
      <c r="AI20" s="643"/>
      <c r="AJ20" s="643"/>
      <c r="AK20" s="643"/>
    </row>
  </sheetData>
  <conditionalFormatting sqref="F6">
    <cfRule type="cellIs" dxfId="271" priority="35" operator="equal">
      <formula>0</formula>
    </cfRule>
  </conditionalFormatting>
  <conditionalFormatting sqref="AD1:XFD6 Y7:Z9 A1:W3 Y1:AA6 X1:X9 AB1:AB9 A16:X17 B4:W4 AE7:XFD9 A7:J7 V7:W9 K7:U13 AD7:AD13 F10:F11 B8:J9 A8:A13 A5:W6 A19:W1048576 A18:T18 V18:W18 X18:AA1048576 AB16:XFD1048576 AC14:AG15">
    <cfRule type="cellIs" dxfId="270" priority="34" operator="equal">
      <formula>0</formula>
    </cfRule>
  </conditionalFormatting>
  <conditionalFormatting sqref="AA9">
    <cfRule type="cellIs" dxfId="269" priority="31" operator="equal">
      <formula>0</formula>
    </cfRule>
  </conditionalFormatting>
  <conditionalFormatting sqref="AA7">
    <cfRule type="cellIs" dxfId="268" priority="33" operator="equal">
      <formula>0</formula>
    </cfRule>
  </conditionalFormatting>
  <conditionalFormatting sqref="AA8">
    <cfRule type="cellIs" dxfId="267" priority="32" operator="equal">
      <formula>0</formula>
    </cfRule>
  </conditionalFormatting>
  <conditionalFormatting sqref="Y16:AA17">
    <cfRule type="cellIs" dxfId="266" priority="27" operator="equal">
      <formula>0</formula>
    </cfRule>
  </conditionalFormatting>
  <conditionalFormatting sqref="AC1:AC9">
    <cfRule type="cellIs" dxfId="265" priority="26" operator="equal">
      <formula>0</formula>
    </cfRule>
  </conditionalFormatting>
  <conditionalFormatting sqref="AB10 B10:E10 AE10:XFD10 G10:J10 V10:Z10">
    <cfRule type="cellIs" dxfId="264" priority="25" operator="equal">
      <formula>0</formula>
    </cfRule>
  </conditionalFormatting>
  <conditionalFormatting sqref="AA10">
    <cfRule type="cellIs" dxfId="263" priority="24" operator="equal">
      <formula>0</formula>
    </cfRule>
  </conditionalFormatting>
  <conditionalFormatting sqref="AC10">
    <cfRule type="cellIs" dxfId="262" priority="23" operator="equal">
      <formula>0</formula>
    </cfRule>
  </conditionalFormatting>
  <conditionalFormatting sqref="AA13:AB13 AE13:AG13 AE11:AG11 AA11:AB11">
    <cfRule type="cellIs" dxfId="261" priority="22" operator="equal">
      <formula>0</formula>
    </cfRule>
  </conditionalFormatting>
  <conditionalFormatting sqref="B13:J13 AH13:XFD13 B11:C11">
    <cfRule type="cellIs" dxfId="260" priority="21" operator="equal">
      <formula>0</formula>
    </cfRule>
  </conditionalFormatting>
  <conditionalFormatting sqref="B11 E11 AH11:XFD11 G11:J11">
    <cfRule type="cellIs" dxfId="259" priority="20" operator="equal">
      <formula>0</formula>
    </cfRule>
  </conditionalFormatting>
  <conditionalFormatting sqref="Y11:Z11 V11 Y13">
    <cfRule type="cellIs" dxfId="258" priority="19" operator="equal">
      <formula>0</formula>
    </cfRule>
  </conditionalFormatting>
  <conditionalFormatting sqref="C11">
    <cfRule type="cellIs" dxfId="257" priority="18" operator="equal">
      <formula>0</formula>
    </cfRule>
  </conditionalFormatting>
  <conditionalFormatting sqref="D11">
    <cfRule type="cellIs" dxfId="256" priority="17" operator="equal">
      <formula>0</formula>
    </cfRule>
  </conditionalFormatting>
  <conditionalFormatting sqref="X11 X13">
    <cfRule type="cellIs" dxfId="255" priority="16" operator="equal">
      <formula>0</formula>
    </cfRule>
  </conditionalFormatting>
  <conditionalFormatting sqref="V13">
    <cfRule type="cellIs" dxfId="254" priority="15" operator="equal">
      <formula>0</formula>
    </cfRule>
  </conditionalFormatting>
  <conditionalFormatting sqref="AA12 AE12:AG12">
    <cfRule type="cellIs" dxfId="253" priority="14" operator="equal">
      <formula>0</formula>
    </cfRule>
  </conditionalFormatting>
  <conditionalFormatting sqref="B12:J12 AH12:XFD12">
    <cfRule type="cellIs" dxfId="252" priority="13" operator="equal">
      <formula>0</formula>
    </cfRule>
  </conditionalFormatting>
  <conditionalFormatting sqref="W12">
    <cfRule type="cellIs" dxfId="251" priority="10" operator="equal">
      <formula>0</formula>
    </cfRule>
  </conditionalFormatting>
  <conditionalFormatting sqref="Y12:Z12">
    <cfRule type="cellIs" dxfId="250" priority="12" operator="equal">
      <formula>0</formula>
    </cfRule>
  </conditionalFormatting>
  <conditionalFormatting sqref="X12">
    <cfRule type="cellIs" dxfId="249" priority="11" operator="equal">
      <formula>0</formula>
    </cfRule>
  </conditionalFormatting>
  <conditionalFormatting sqref="V12">
    <cfRule type="cellIs" dxfId="248" priority="9" operator="equal">
      <formula>0</formula>
    </cfRule>
  </conditionalFormatting>
  <conditionalFormatting sqref="W11">
    <cfRule type="cellIs" dxfId="247" priority="8" operator="equal">
      <formula>0</formula>
    </cfRule>
  </conditionalFormatting>
  <conditionalFormatting sqref="Z13">
    <cfRule type="cellIs" dxfId="246" priority="6" operator="equal">
      <formula>0</formula>
    </cfRule>
  </conditionalFormatting>
  <conditionalFormatting sqref="W13">
    <cfRule type="cellIs" dxfId="245" priority="7" operator="equal">
      <formula>0</formula>
    </cfRule>
  </conditionalFormatting>
  <conditionalFormatting sqref="AC11:AC13">
    <cfRule type="cellIs" dxfId="244" priority="5" operator="equal">
      <formula>0</formula>
    </cfRule>
  </conditionalFormatting>
  <conditionalFormatting sqref="AB12">
    <cfRule type="cellIs" dxfId="243" priority="4" operator="equal">
      <formula>0</formula>
    </cfRule>
  </conditionalFormatting>
  <conditionalFormatting sqref="M14">
    <cfRule type="cellIs" dxfId="242" priority="3" operator="equal">
      <formula>0</formula>
    </cfRule>
  </conditionalFormatting>
  <conditionalFormatting sqref="A14">
    <cfRule type="cellIs" dxfId="241" priority="2" operator="equal">
      <formula>0</formula>
    </cfRule>
  </conditionalFormatting>
  <conditionalFormatting sqref="AB14">
    <cfRule type="cellIs" dxfId="24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showZeros="0" rightToLeft="1" zoomScaleNormal="100" workbookViewId="0">
      <pane xSplit="3" ySplit="5" topLeftCell="D11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N12" sqref="N12"/>
    </sheetView>
  </sheetViews>
  <sheetFormatPr defaultColWidth="9.109375" defaultRowHeight="13.8"/>
  <cols>
    <col min="1" max="1" width="5.6640625" style="671" customWidth="1"/>
    <col min="2" max="2" width="6.33203125" style="795" customWidth="1"/>
    <col min="3" max="3" width="19.21875" style="717" customWidth="1"/>
    <col min="4" max="4" width="9.88671875" style="680" customWidth="1"/>
    <col min="5" max="5" width="9.88671875" style="680" hidden="1" customWidth="1"/>
    <col min="6" max="6" width="9.5546875" style="680" hidden="1" customWidth="1"/>
    <col min="7" max="10" width="12.6640625" style="680" hidden="1" customWidth="1"/>
    <col min="11" max="11" width="11.33203125" style="680" hidden="1" customWidth="1"/>
    <col min="12" max="12" width="10.44140625" style="680" customWidth="1"/>
    <col min="13" max="13" width="9.44140625" style="680" customWidth="1"/>
    <col min="14" max="14" width="10.44140625" style="680" customWidth="1"/>
    <col min="15" max="15" width="10.109375" style="680" customWidth="1"/>
    <col min="16" max="17" width="11.109375" style="680" hidden="1" customWidth="1"/>
    <col min="18" max="19" width="12" style="680" hidden="1" customWidth="1"/>
    <col min="20" max="20" width="7.21875" style="680" customWidth="1"/>
    <col min="21" max="21" width="10.44140625" style="634" customWidth="1"/>
    <col min="22" max="22" width="9" style="634" customWidth="1"/>
    <col min="23" max="23" width="9.44140625" style="634" customWidth="1"/>
    <col min="24" max="25" width="6" style="634" hidden="1" customWidth="1"/>
    <col min="26" max="26" width="9.109375" style="634" customWidth="1"/>
    <col min="27" max="27" width="41.77734375" style="717" hidden="1" customWidth="1"/>
    <col min="28" max="28" width="7.88671875" style="634" customWidth="1"/>
    <col min="29" max="29" width="20.5546875" style="671" customWidth="1"/>
    <col min="30" max="30" width="10.44140625" style="634" customWidth="1"/>
    <col min="31" max="31" width="16.6640625" style="634" customWidth="1"/>
    <col min="32" max="32" width="10.5546875" style="634" customWidth="1"/>
    <col min="33" max="33" width="15.88671875" style="634" customWidth="1"/>
    <col min="34" max="34" width="12.44140625" style="671" customWidth="1"/>
    <col min="35" max="35" width="16" style="671" customWidth="1"/>
    <col min="36" max="36" width="15.6640625" style="671" customWidth="1"/>
    <col min="37" max="37" width="9.109375" style="634" customWidth="1"/>
    <col min="38" max="16384" width="9.109375" style="643"/>
  </cols>
  <sheetData>
    <row r="1" spans="1:37" ht="18">
      <c r="A1" s="663"/>
      <c r="B1" s="786"/>
      <c r="C1" s="71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  <c r="X1" s="640"/>
      <c r="Y1" s="640"/>
      <c r="Z1" s="641"/>
      <c r="AA1" s="716"/>
      <c r="AB1" s="641"/>
      <c r="AH1" s="665"/>
      <c r="AI1" s="665"/>
      <c r="AJ1" s="665"/>
      <c r="AK1" s="641"/>
    </row>
    <row r="2" spans="1:37" ht="18">
      <c r="A2" s="663" t="s">
        <v>619</v>
      </c>
      <c r="B2" s="786"/>
      <c r="C2" s="71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3"/>
      <c r="P2" s="663"/>
      <c r="Q2" s="663"/>
      <c r="R2" s="663"/>
      <c r="S2" s="663"/>
      <c r="T2" s="663"/>
      <c r="U2" s="663"/>
      <c r="V2" s="663"/>
      <c r="W2" s="663"/>
    </row>
    <row r="4" spans="1:37" ht="97.5" customHeight="1">
      <c r="A4" s="194" t="s">
        <v>0</v>
      </c>
      <c r="B4" s="793" t="s">
        <v>1228</v>
      </c>
      <c r="C4" s="645" t="s">
        <v>2</v>
      </c>
      <c r="D4" s="645" t="s">
        <v>3</v>
      </c>
      <c r="E4" s="645" t="s">
        <v>4</v>
      </c>
      <c r="F4" s="645" t="s">
        <v>5</v>
      </c>
      <c r="G4" s="645" t="s">
        <v>6</v>
      </c>
      <c r="H4" s="645" t="s">
        <v>7</v>
      </c>
      <c r="I4" s="645" t="s">
        <v>9</v>
      </c>
      <c r="J4" s="645" t="s">
        <v>215</v>
      </c>
      <c r="K4" s="645" t="s">
        <v>10</v>
      </c>
      <c r="L4" s="645" t="s">
        <v>11</v>
      </c>
      <c r="M4" s="2" t="s">
        <v>918</v>
      </c>
      <c r="N4" s="645" t="s">
        <v>919</v>
      </c>
      <c r="O4" s="645" t="s">
        <v>920</v>
      </c>
      <c r="P4" s="645" t="s">
        <v>12</v>
      </c>
      <c r="Q4" s="645" t="s">
        <v>925</v>
      </c>
      <c r="R4" s="645" t="s">
        <v>926</v>
      </c>
      <c r="S4" s="645" t="s">
        <v>927</v>
      </c>
      <c r="T4" s="645" t="s">
        <v>921</v>
      </c>
      <c r="U4" s="645" t="s">
        <v>922</v>
      </c>
      <c r="V4" s="645" t="s">
        <v>13</v>
      </c>
      <c r="W4" s="645" t="s">
        <v>14</v>
      </c>
      <c r="X4" s="645" t="s">
        <v>15</v>
      </c>
      <c r="Y4" s="645" t="s">
        <v>354</v>
      </c>
      <c r="Z4" s="645" t="s">
        <v>105</v>
      </c>
      <c r="AA4" s="669" t="s">
        <v>410</v>
      </c>
      <c r="AB4" s="645" t="s">
        <v>16</v>
      </c>
      <c r="AK4" s="672"/>
    </row>
    <row r="5" spans="1:37" ht="18.75" customHeight="1">
      <c r="A5" s="673"/>
      <c r="B5" s="721"/>
      <c r="C5" s="789"/>
      <c r="D5" s="674"/>
      <c r="E5" s="674"/>
      <c r="F5" s="674"/>
      <c r="G5" s="674"/>
      <c r="H5" s="674"/>
      <c r="I5" s="674"/>
      <c r="J5" s="674"/>
      <c r="K5" s="674"/>
      <c r="L5" s="674"/>
      <c r="M5" s="674"/>
      <c r="N5" s="674"/>
      <c r="O5" s="674"/>
      <c r="P5" s="674"/>
      <c r="Q5" s="674"/>
      <c r="R5" s="674"/>
      <c r="S5" s="674"/>
      <c r="T5" s="674">
        <f>P5-M5+R5</f>
        <v>0</v>
      </c>
      <c r="U5" s="674">
        <f t="shared" ref="U5" si="0">N5-T5</f>
        <v>0</v>
      </c>
      <c r="V5" s="674"/>
      <c r="W5" s="674"/>
      <c r="X5" s="674"/>
      <c r="Y5" s="674"/>
      <c r="Z5" s="673"/>
      <c r="AA5" s="718"/>
      <c r="AB5" s="673"/>
      <c r="AK5" s="653"/>
    </row>
    <row r="6" spans="1:37" ht="27.6">
      <c r="A6" s="673">
        <f>A5+1</f>
        <v>1</v>
      </c>
      <c r="B6" s="721">
        <f>'תקציב אגף תקשוב 2020 '!B7</f>
        <v>1497</v>
      </c>
      <c r="C6" s="719" t="str">
        <f>'תקציב אגף תקשוב 2020 '!C7</f>
        <v>שדרוג מערכות הליבה</v>
      </c>
      <c r="D6" s="674">
        <f>'תקציב אגף תקשוב 2020 '!D7</f>
        <v>8820000</v>
      </c>
      <c r="E6" s="674">
        <f>'תקציב אגף תקשוב 2020 '!E7</f>
        <v>8820000</v>
      </c>
      <c r="F6" s="674">
        <f>'תקציב אגף תקשוב 2020 '!F7</f>
        <v>0</v>
      </c>
      <c r="G6" s="674">
        <f>'תקציב אגף תקשוב 2020 '!G7</f>
        <v>2923000</v>
      </c>
      <c r="H6" s="674">
        <f>'תקציב אגף תקשוב 2020 '!H7</f>
        <v>2615479.54</v>
      </c>
      <c r="I6" s="674">
        <f>'תקציב אגף תקשוב 2020 '!I7</f>
        <v>136200</v>
      </c>
      <c r="J6" s="674">
        <f>'תקציב אגף תקשוב 2020 '!J7</f>
        <v>79693.94</v>
      </c>
      <c r="K6" s="674">
        <f>'תקציב אגף תקשוב 2020 '!K7</f>
        <v>215893.94</v>
      </c>
      <c r="L6" s="674">
        <f>'תקציב אגף תקשוב 2020 '!L7</f>
        <v>2831373.48</v>
      </c>
      <c r="M6" s="674">
        <f>'תקציב אגף תקשוב 2020 '!M7</f>
        <v>51626.520000000019</v>
      </c>
      <c r="N6" s="674">
        <f>'תקציב אגף תקשוב 2020 '!N7</f>
        <v>140000</v>
      </c>
      <c r="O6" s="674">
        <f>'תקציב אגף תקשוב 2020 '!O7</f>
        <v>5797000</v>
      </c>
      <c r="P6" s="674">
        <f>'תקציב אגף תקשוב 2020 '!P7</f>
        <v>91626.520000000019</v>
      </c>
      <c r="Q6" s="674">
        <f>'תקציב אגף תקשוב 2020 '!Q7</f>
        <v>0</v>
      </c>
      <c r="R6" s="674">
        <f>'תקציב אגף תקשוב 2020 '!R7</f>
        <v>0</v>
      </c>
      <c r="S6" s="674">
        <f>'תקציב אגף תקשוב 2020 '!S7</f>
        <v>0</v>
      </c>
      <c r="T6" s="674">
        <f>'תקציב אגף תקשוב 2020 '!T7</f>
        <v>40000</v>
      </c>
      <c r="U6" s="674">
        <f>'תקציב אגף תקשוב 2020 '!U7</f>
        <v>100000</v>
      </c>
      <c r="V6" s="674">
        <f>'תקציב אגף תקשוב 2020 '!V7</f>
        <v>0</v>
      </c>
      <c r="W6" s="674">
        <f>'תקציב אגף תקשוב 2020 '!W7</f>
        <v>100000</v>
      </c>
      <c r="X6" s="674">
        <f>'תקציב אגף תקשוב 2020 '!X7</f>
        <v>0</v>
      </c>
      <c r="Y6" s="674">
        <f>'תקציב אגף תקשוב 2020 '!Y7</f>
        <v>0</v>
      </c>
      <c r="Z6" s="674">
        <f>'תקציב אגף תקשוב 2020 '!Z7</f>
        <v>0</v>
      </c>
      <c r="AA6" s="719" t="str">
        <f>'תקציב אגף תקשוב 2020 '!AA7</f>
        <v>תוספות שינויים ושיפורים שדרוג מערכות הליבה החברה לאוטומציה וציוד חומרה.</v>
      </c>
      <c r="AB6" s="721">
        <f>'תקציב אגף תקשוב 2020 '!AB7</f>
        <v>610000</v>
      </c>
      <c r="AH6" s="677"/>
      <c r="AK6" s="653"/>
    </row>
    <row r="7" spans="1:37" s="746" customFormat="1">
      <c r="A7" s="741"/>
      <c r="B7" s="743"/>
      <c r="C7" s="790" t="s">
        <v>697</v>
      </c>
      <c r="D7" s="742">
        <f>SUM(D6)</f>
        <v>8820000</v>
      </c>
      <c r="E7" s="742">
        <f t="shared" ref="E7:Z7" si="1">SUM(E6)</f>
        <v>8820000</v>
      </c>
      <c r="F7" s="742">
        <f t="shared" si="1"/>
        <v>0</v>
      </c>
      <c r="G7" s="742">
        <f t="shared" si="1"/>
        <v>2923000</v>
      </c>
      <c r="H7" s="742">
        <f t="shared" si="1"/>
        <v>2615479.54</v>
      </c>
      <c r="I7" s="742">
        <f t="shared" si="1"/>
        <v>136200</v>
      </c>
      <c r="J7" s="742">
        <f t="shared" si="1"/>
        <v>79693.94</v>
      </c>
      <c r="K7" s="742">
        <f t="shared" si="1"/>
        <v>215893.94</v>
      </c>
      <c r="L7" s="742">
        <f t="shared" si="1"/>
        <v>2831373.48</v>
      </c>
      <c r="M7" s="742">
        <f t="shared" si="1"/>
        <v>51626.520000000019</v>
      </c>
      <c r="N7" s="742">
        <f t="shared" si="1"/>
        <v>140000</v>
      </c>
      <c r="O7" s="742">
        <f t="shared" si="1"/>
        <v>5797000</v>
      </c>
      <c r="P7" s="742">
        <f t="shared" si="1"/>
        <v>91626.520000000019</v>
      </c>
      <c r="Q7" s="742">
        <f t="shared" si="1"/>
        <v>0</v>
      </c>
      <c r="R7" s="742">
        <f t="shared" si="1"/>
        <v>0</v>
      </c>
      <c r="S7" s="742">
        <f t="shared" si="1"/>
        <v>0</v>
      </c>
      <c r="T7" s="742">
        <f t="shared" si="1"/>
        <v>40000</v>
      </c>
      <c r="U7" s="742">
        <f t="shared" si="1"/>
        <v>100000</v>
      </c>
      <c r="V7" s="742">
        <f t="shared" si="1"/>
        <v>0</v>
      </c>
      <c r="W7" s="742">
        <f t="shared" si="1"/>
        <v>100000</v>
      </c>
      <c r="X7" s="742">
        <f t="shared" si="1"/>
        <v>0</v>
      </c>
      <c r="Y7" s="742">
        <f t="shared" si="1"/>
        <v>0</v>
      </c>
      <c r="Z7" s="742">
        <f t="shared" si="1"/>
        <v>0</v>
      </c>
      <c r="AA7" s="645"/>
      <c r="AB7" s="743"/>
      <c r="AC7" s="747"/>
      <c r="AD7" s="748"/>
      <c r="AE7" s="748"/>
      <c r="AF7" s="748"/>
      <c r="AG7" s="748"/>
      <c r="AH7" s="749"/>
      <c r="AI7" s="747"/>
      <c r="AJ7" s="747"/>
      <c r="AK7" s="750"/>
    </row>
    <row r="8" spans="1:37" ht="41.4">
      <c r="A8" s="673">
        <f>A6+1</f>
        <v>2</v>
      </c>
      <c r="B8" s="721">
        <f>'תקציב אגף תקשוב 2020 '!B10</f>
        <v>1982</v>
      </c>
      <c r="C8" s="719" t="str">
        <f>'תקציב אגף תקשוב 2020 '!C10</f>
        <v>התקנת מערכות  שו"ב מצלמות מוס"ח מבני ציבור</v>
      </c>
      <c r="D8" s="674">
        <f>'תקציב אגף תקשוב 2020 '!D10</f>
        <v>17700000</v>
      </c>
      <c r="E8" s="674">
        <f>'תקציב אגף תקשוב 2020 '!E10</f>
        <v>19700000</v>
      </c>
      <c r="F8" s="674">
        <f>'תקציב אגף תקשוב 2020 '!F10</f>
        <v>-2000000</v>
      </c>
      <c r="G8" s="674">
        <f>'תקציב אגף תקשוב 2020 '!G10</f>
        <v>10150000</v>
      </c>
      <c r="H8" s="674">
        <f>'תקציב אגף תקשוב 2020 '!H10</f>
        <v>2659915.06</v>
      </c>
      <c r="I8" s="674">
        <f>'תקציב אגף תקשוב 2020 '!I10</f>
        <v>1319227.98</v>
      </c>
      <c r="J8" s="674">
        <f>'תקציב אגף תקשוב 2020 '!J10</f>
        <v>5171614.2300000004</v>
      </c>
      <c r="K8" s="674">
        <f>'תקציב אגף תקשוב 2020 '!K10</f>
        <v>6490842.2100000009</v>
      </c>
      <c r="L8" s="674">
        <f>'תקציב אגף תקשוב 2020 '!L10</f>
        <v>9150757.2700000014</v>
      </c>
      <c r="M8" s="674">
        <f>'תקציב אגף תקשוב 2020 '!M10</f>
        <v>999242.72999999858</v>
      </c>
      <c r="N8" s="674">
        <f>'תקציב אגף תקשוב 2020 '!N10</f>
        <v>5000000</v>
      </c>
      <c r="O8" s="674">
        <f>'תקציב אגף תקשוב 2020 '!O10</f>
        <v>2550000</v>
      </c>
      <c r="P8" s="674">
        <f>'תקציב אגף תקשוב 2020 '!P10</f>
        <v>999242.72999999858</v>
      </c>
      <c r="Q8" s="674">
        <f>'תקציב אגף תקשוב 2020 '!Q10</f>
        <v>0</v>
      </c>
      <c r="R8" s="674">
        <f>'תקציב אגף תקשוב 2020 '!R10</f>
        <v>0</v>
      </c>
      <c r="S8" s="674">
        <f>'תקציב אגף תקשוב 2020 '!S10</f>
        <v>0</v>
      </c>
      <c r="T8" s="674">
        <f>'תקציב אגף תקשוב 2020 '!T10</f>
        <v>0</v>
      </c>
      <c r="U8" s="674">
        <f>'תקציב אגף תקשוב 2020 '!U10</f>
        <v>5000000</v>
      </c>
      <c r="V8" s="674">
        <f>'תקציב אגף תקשוב 2020 '!V10</f>
        <v>0</v>
      </c>
      <c r="W8" s="674">
        <f>'תקציב אגף תקשוב 2020 '!W10</f>
        <v>3500000</v>
      </c>
      <c r="X8" s="674">
        <f>'תקציב אגף תקשוב 2020 '!X10</f>
        <v>0</v>
      </c>
      <c r="Y8" s="674">
        <f>'תקציב אגף תקשוב 2020 '!Y10</f>
        <v>0</v>
      </c>
      <c r="Z8" s="674">
        <f>'תקציב אגף תקשוב 2020 '!Z10</f>
        <v>1500000</v>
      </c>
      <c r="AA8" s="719" t="str">
        <f>'תקציב אגף תקשוב 2020 '!AA10</f>
        <v>מערכות מתקדמות לעיר חכמה כולל שו"ב מצלמות , ציוד נלווה ותשתיות מיחשוב. הוגשה בקשה למימון מ. לשיוויון חברתי.</v>
      </c>
      <c r="AB8" s="721">
        <f>'תקציב אגף תקשוב 2020 '!AB10</f>
        <v>722000</v>
      </c>
      <c r="AH8" s="677"/>
      <c r="AK8" s="653"/>
    </row>
    <row r="9" spans="1:37" s="746" customFormat="1">
      <c r="A9" s="741"/>
      <c r="B9" s="743"/>
      <c r="C9" s="790" t="s">
        <v>698</v>
      </c>
      <c r="D9" s="742">
        <f>SUM(D8)</f>
        <v>17700000</v>
      </c>
      <c r="E9" s="742">
        <f t="shared" ref="E9:Z9" si="2">SUM(E8)</f>
        <v>19700000</v>
      </c>
      <c r="F9" s="742">
        <f t="shared" si="2"/>
        <v>-2000000</v>
      </c>
      <c r="G9" s="742">
        <f t="shared" si="2"/>
        <v>10150000</v>
      </c>
      <c r="H9" s="742">
        <f t="shared" si="2"/>
        <v>2659915.06</v>
      </c>
      <c r="I9" s="742">
        <f t="shared" si="2"/>
        <v>1319227.98</v>
      </c>
      <c r="J9" s="742">
        <f t="shared" si="2"/>
        <v>5171614.2300000004</v>
      </c>
      <c r="K9" s="742">
        <f t="shared" si="2"/>
        <v>6490842.2100000009</v>
      </c>
      <c r="L9" s="742">
        <f t="shared" si="2"/>
        <v>9150757.2700000014</v>
      </c>
      <c r="M9" s="742">
        <f t="shared" si="2"/>
        <v>999242.72999999858</v>
      </c>
      <c r="N9" s="742">
        <f t="shared" si="2"/>
        <v>5000000</v>
      </c>
      <c r="O9" s="742">
        <f t="shared" si="2"/>
        <v>2550000</v>
      </c>
      <c r="P9" s="742">
        <f t="shared" si="2"/>
        <v>999242.72999999858</v>
      </c>
      <c r="Q9" s="742">
        <f t="shared" si="2"/>
        <v>0</v>
      </c>
      <c r="R9" s="742">
        <f t="shared" si="2"/>
        <v>0</v>
      </c>
      <c r="S9" s="742">
        <f t="shared" si="2"/>
        <v>0</v>
      </c>
      <c r="T9" s="742">
        <f t="shared" si="2"/>
        <v>0</v>
      </c>
      <c r="U9" s="742">
        <f t="shared" si="2"/>
        <v>5000000</v>
      </c>
      <c r="V9" s="742">
        <f t="shared" si="2"/>
        <v>0</v>
      </c>
      <c r="W9" s="742">
        <f t="shared" si="2"/>
        <v>3500000</v>
      </c>
      <c r="X9" s="742">
        <f t="shared" si="2"/>
        <v>0</v>
      </c>
      <c r="Y9" s="742">
        <f t="shared" si="2"/>
        <v>0</v>
      </c>
      <c r="Z9" s="742">
        <f t="shared" si="2"/>
        <v>1500000</v>
      </c>
      <c r="AA9" s="645"/>
      <c r="AB9" s="743"/>
      <c r="AC9" s="747"/>
      <c r="AD9" s="748"/>
      <c r="AE9" s="748"/>
      <c r="AF9" s="748"/>
      <c r="AG9" s="748"/>
      <c r="AH9" s="749"/>
      <c r="AI9" s="747"/>
      <c r="AJ9" s="747"/>
      <c r="AK9" s="750"/>
    </row>
    <row r="10" spans="1:37" ht="27.6">
      <c r="A10" s="673">
        <f>A8+1</f>
        <v>3</v>
      </c>
      <c r="B10" s="721">
        <f>'תקציב אגף תקשוב 2020 '!B6</f>
        <v>1002</v>
      </c>
      <c r="C10" s="719" t="str">
        <f>'תקציב אגף תקשוב 2020 '!C6</f>
        <v>פרויקט תכסיות וניתוח מרחבי</v>
      </c>
      <c r="D10" s="674">
        <f>'תקציב אגף תקשוב 2020 '!D6</f>
        <v>2290000</v>
      </c>
      <c r="E10" s="674">
        <f>'תקציב אגף תקשוב 2020 '!E6</f>
        <v>2290000</v>
      </c>
      <c r="F10" s="674">
        <f>'תקציב אגף תקשוב 2020 '!F6</f>
        <v>0</v>
      </c>
      <c r="G10" s="674">
        <f>'תקציב אגף תקשוב 2020 '!G6</f>
        <v>2160000</v>
      </c>
      <c r="H10" s="674">
        <f>'תקציב אגף תקשוב 2020 '!H6</f>
        <v>2043914.26</v>
      </c>
      <c r="I10" s="674">
        <f>'תקציב אגף תקשוב 2020 '!I6</f>
        <v>0</v>
      </c>
      <c r="J10" s="674">
        <f>'תקציב אגף תקשוב 2020 '!J6</f>
        <v>115109.5</v>
      </c>
      <c r="K10" s="674">
        <f>'תקציב אגף תקשוב 2020 '!K6</f>
        <v>115109.5</v>
      </c>
      <c r="L10" s="674">
        <f>'תקציב אגף תקשוב 2020 '!L6</f>
        <v>2159023.7599999998</v>
      </c>
      <c r="M10" s="674">
        <f>'תקציב אגף תקשוב 2020 '!M6</f>
        <v>976.24000000022352</v>
      </c>
      <c r="N10" s="674">
        <f>'תקציב אגף תקשוב 2020 '!N6</f>
        <v>100000</v>
      </c>
      <c r="O10" s="674">
        <f>'תקציב אגף תקשוב 2020 '!O6</f>
        <v>30000</v>
      </c>
      <c r="P10" s="674">
        <f>'תקציב אגף תקשוב 2020 '!P6</f>
        <v>976.24000000022352</v>
      </c>
      <c r="Q10" s="674">
        <f>'תקציב אגף תקשוב 2020 '!Q6</f>
        <v>0</v>
      </c>
      <c r="R10" s="674">
        <f>'תקציב אגף תקשוב 2020 '!R6</f>
        <v>0</v>
      </c>
      <c r="S10" s="674">
        <f>'תקציב אגף תקשוב 2020 '!S6</f>
        <v>0</v>
      </c>
      <c r="T10" s="674">
        <f>'תקציב אגף תקשוב 2020 '!T6</f>
        <v>0</v>
      </c>
      <c r="U10" s="674">
        <f>'תקציב אגף תקשוב 2020 '!U6</f>
        <v>100000</v>
      </c>
      <c r="V10" s="674">
        <f>'תקציב אגף תקשוב 2020 '!V6</f>
        <v>0</v>
      </c>
      <c r="W10" s="674">
        <f>'תקציב אגף תקשוב 2020 '!W6</f>
        <v>100000</v>
      </c>
      <c r="X10" s="674">
        <f>'תקציב אגף תקשוב 2020 '!X6</f>
        <v>0</v>
      </c>
      <c r="Y10" s="674">
        <f>'תקציב אגף תקשוב 2020 '!Y6</f>
        <v>0</v>
      </c>
      <c r="Z10" s="674">
        <f>'תקציב אגף תקשוב 2020 '!Z6</f>
        <v>0</v>
      </c>
      <c r="AA10" s="719" t="str">
        <f>'תקציב אגף תקשוב 2020 '!AA6</f>
        <v>פרויקט המושתת על מערכת GIS: שדרוג, הרחבת שרתים,תוספות לאפליקציות חדשות.</v>
      </c>
      <c r="AB10" s="721">
        <f>'תקציב אגף תקשוב 2020 '!AB6</f>
        <v>760000</v>
      </c>
      <c r="AH10" s="677"/>
      <c r="AK10" s="653"/>
    </row>
    <row r="11" spans="1:37" ht="27.6">
      <c r="A11" s="673">
        <f>A10+1</f>
        <v>4</v>
      </c>
      <c r="B11" s="721">
        <f>'תקציב אגף תקשוב 2020 '!B9</f>
        <v>1871</v>
      </c>
      <c r="C11" s="719" t="str">
        <f>'תקציב אגף תקשוב 2020 '!C9</f>
        <v>פריסת תשתיות תקשורת ברחבי העיר ומוס"ח</v>
      </c>
      <c r="D11" s="674">
        <f>'תקציב אגף תקשוב 2020 '!D9</f>
        <v>8000000</v>
      </c>
      <c r="E11" s="674">
        <f>'תקציב אגף תקשוב 2020 '!E9</f>
        <v>6000000</v>
      </c>
      <c r="F11" s="674">
        <f>'תקציב אגף תקשוב 2020 '!F9</f>
        <v>2000000</v>
      </c>
      <c r="G11" s="674">
        <f>'תקציב אגף תקשוב 2020 '!G9</f>
        <v>2490000</v>
      </c>
      <c r="H11" s="674">
        <f>'תקציב אגף תקשוב 2020 '!H9</f>
        <v>764816.13</v>
      </c>
      <c r="I11" s="674">
        <f>'תקציב אגף תקשוב 2020 '!I9</f>
        <v>0</v>
      </c>
      <c r="J11" s="674">
        <f>'תקציב אגף תקשוב 2020 '!J9</f>
        <v>130204.62</v>
      </c>
      <c r="K11" s="674">
        <f>'תקציב אגף תקשוב 2020 '!K9</f>
        <v>130204.62</v>
      </c>
      <c r="L11" s="674">
        <f>'תקציב אגף תקשוב 2020 '!L9</f>
        <v>895020.75</v>
      </c>
      <c r="M11" s="674">
        <f>'תקציב אגף תקשוב 2020 '!M9</f>
        <v>1094979.25</v>
      </c>
      <c r="N11" s="674">
        <f>'תקציב אגף תקשוב 2020 '!N9</f>
        <v>5500000</v>
      </c>
      <c r="O11" s="674">
        <f>'תקציב אגף תקשוב 2020 '!O9</f>
        <v>510000</v>
      </c>
      <c r="P11" s="674">
        <f>'תקציב אגף תקשוב 2020 '!P9</f>
        <v>1594979.25</v>
      </c>
      <c r="Q11" s="674">
        <f>'תקציב אגף תקשוב 2020 '!Q9</f>
        <v>0</v>
      </c>
      <c r="R11" s="674">
        <f>'תקציב אגף תקשוב 2020 '!R9</f>
        <v>0</v>
      </c>
      <c r="S11" s="674">
        <f>'תקציב אגף תקשוב 2020 '!S9</f>
        <v>0</v>
      </c>
      <c r="T11" s="674">
        <f>'תקציב אגף תקשוב 2020 '!T9</f>
        <v>500000</v>
      </c>
      <c r="U11" s="674">
        <f>'תקציב אגף תקשוב 2020 '!U9</f>
        <v>5000000</v>
      </c>
      <c r="V11" s="674">
        <f>'תקציב אגף תקשוב 2020 '!V9</f>
        <v>5000000</v>
      </c>
      <c r="W11" s="674">
        <f>'תקציב אגף תקשוב 2020 '!W9</f>
        <v>0</v>
      </c>
      <c r="X11" s="674">
        <f>'תקציב אגף תקשוב 2020 '!X9</f>
        <v>0</v>
      </c>
      <c r="Y11" s="674">
        <f>'תקציב אגף תקשוב 2020 '!Y9</f>
        <v>0</v>
      </c>
      <c r="Z11" s="674">
        <f>'תקציב אגף תקשוב 2020 '!Z9</f>
        <v>0</v>
      </c>
      <c r="AA11" s="719" t="str">
        <f>'תקציב אגף תקשוב 2020 '!AA9</f>
        <v>תשתיות תקשורת אלחוטית וסיבים אופטיים לעיר חכמה במוס"ח וברחבי העיר בהתאם לתוכנית רב שנתית.</v>
      </c>
      <c r="AB11" s="721">
        <f>'תקציב אגף תקשוב 2020 '!AB9</f>
        <v>760000</v>
      </c>
      <c r="AH11" s="677"/>
      <c r="AK11" s="653"/>
    </row>
    <row r="12" spans="1:37" ht="55.2">
      <c r="A12" s="673">
        <f>A11+1</f>
        <v>5</v>
      </c>
      <c r="B12" s="721">
        <f>'תקציב אגף תקשוב 2020 '!B11</f>
        <v>2081</v>
      </c>
      <c r="C12" s="719" t="str">
        <f>'תקציב אגף תקשוב 2020 '!C11</f>
        <v xml:space="preserve">הקמת מרכז שליטה ובקרה  עירוני </v>
      </c>
      <c r="D12" s="674">
        <f>'תקציב אגף תקשוב 2020 '!D11</f>
        <v>1500000</v>
      </c>
      <c r="E12" s="674">
        <f>'תקציב אגף תקשוב 2020 '!E11</f>
        <v>1500000</v>
      </c>
      <c r="F12" s="674">
        <f>'תקציב אגף תקשוב 2020 '!F11</f>
        <v>0</v>
      </c>
      <c r="G12" s="674">
        <f>'תקציב אגף תקשוב 2020 '!G11</f>
        <v>0</v>
      </c>
      <c r="H12" s="674">
        <f>'תקציב אגף תקשוב 2020 '!H11</f>
        <v>0</v>
      </c>
      <c r="I12" s="674">
        <f>'תקציב אגף תקשוב 2020 '!I11</f>
        <v>0</v>
      </c>
      <c r="J12" s="674">
        <f>'תקציב אגף תקשוב 2020 '!J11</f>
        <v>0</v>
      </c>
      <c r="K12" s="674">
        <f>'תקציב אגף תקשוב 2020 '!K11</f>
        <v>0</v>
      </c>
      <c r="L12" s="674">
        <f>'תקציב אגף תקשוב 2020 '!L11</f>
        <v>0</v>
      </c>
      <c r="M12" s="674">
        <f>'תקציב אגף תקשוב 2020 '!M11</f>
        <v>0</v>
      </c>
      <c r="N12" s="674">
        <f>'תקציב אגף תקשוב 2020 '!N11</f>
        <v>0</v>
      </c>
      <c r="O12" s="674">
        <f>'תקציב אגף תקשוב 2020 '!O11</f>
        <v>1500000</v>
      </c>
      <c r="P12" s="674">
        <f>'תקציב אגף תקשוב 2020 '!P11</f>
        <v>0</v>
      </c>
      <c r="Q12" s="674">
        <f>'תקציב אגף תקשוב 2020 '!Q11</f>
        <v>0</v>
      </c>
      <c r="R12" s="674">
        <f>'תקציב אגף תקשוב 2020 '!R11</f>
        <v>0</v>
      </c>
      <c r="S12" s="674">
        <f>'תקציב אגף תקשוב 2020 '!S11</f>
        <v>0</v>
      </c>
      <c r="T12" s="674">
        <f>'תקציב אגף תקשוב 2020 '!T11</f>
        <v>0</v>
      </c>
      <c r="U12" s="674">
        <f>'תקציב אגף תקשוב 2020 '!U11</f>
        <v>0</v>
      </c>
      <c r="V12" s="674">
        <f>'תקציב אגף תקשוב 2020 '!V11</f>
        <v>0</v>
      </c>
      <c r="W12" s="674">
        <f>'תקציב אגף תקשוב 2020 '!W11</f>
        <v>0</v>
      </c>
      <c r="X12" s="674">
        <f>'תקציב אגף תקשוב 2020 '!X11</f>
        <v>0</v>
      </c>
      <c r="Y12" s="674">
        <f>'תקציב אגף תקשוב 2020 '!Y11</f>
        <v>0</v>
      </c>
      <c r="Z12" s="674">
        <f>'תקציב אגף תקשוב 2020 '!Z11</f>
        <v>0</v>
      </c>
      <c r="AA12" s="719" t="str">
        <f>'תקציב אגף תקשוב 2020 '!AA11</f>
        <v xml:space="preserve">הקמת מרכז שליטה ובקרה  במיקום שיקבע ע"י הנהלת העיר כולל אמצעי מולטי מדיה למתן מענה לתשתית העיר החכמה. הההקמה כוללת עבודות בינוי, מולטימדיה וריהוט. </v>
      </c>
      <c r="AB12" s="721">
        <f>'תקציב אגף תקשוב 2020 '!AB11</f>
        <v>760000</v>
      </c>
      <c r="AK12" s="653"/>
    </row>
    <row r="13" spans="1:37" ht="55.2">
      <c r="A13" s="673">
        <f>A12+1</f>
        <v>6</v>
      </c>
      <c r="B13" s="721">
        <f>'תקציב אגף תקשוב 2020 '!B12</f>
        <v>2082</v>
      </c>
      <c r="C13" s="719" t="str">
        <f>'תקציב אגף תקשוב 2020 '!C12</f>
        <v xml:space="preserve">הקמת אתר עירוני ופורטל </v>
      </c>
      <c r="D13" s="674">
        <f>'תקציב אגף תקשוב 2020 '!D12</f>
        <v>1000000</v>
      </c>
      <c r="E13" s="674">
        <f>'תקציב אגף תקשוב 2020 '!E12</f>
        <v>1000000</v>
      </c>
      <c r="F13" s="674">
        <f>'תקציב אגף תקשוב 2020 '!F12</f>
        <v>0</v>
      </c>
      <c r="G13" s="674">
        <f>'תקציב אגף תקשוב 2020 '!G12</f>
        <v>100000</v>
      </c>
      <c r="H13" s="674">
        <f>'תקציב אגף תקשוב 2020 '!H12</f>
        <v>0</v>
      </c>
      <c r="I13" s="674">
        <f>'תקציב אגף תקשוב 2020 '!I12</f>
        <v>0</v>
      </c>
      <c r="J13" s="674">
        <f>'תקציב אגף תקשוב 2020 '!J12</f>
        <v>45121.05</v>
      </c>
      <c r="K13" s="674">
        <f>'תקציב אגף תקשוב 2020 '!K12</f>
        <v>45121.05</v>
      </c>
      <c r="L13" s="674">
        <f>'תקציב אגף תקשוב 2020 '!L12</f>
        <v>45121.05</v>
      </c>
      <c r="M13" s="674">
        <f>'תקציב אגף תקשוב 2020 '!M12</f>
        <v>54878.95</v>
      </c>
      <c r="N13" s="674">
        <f>'תקציב אגף תקשוב 2020 '!N12</f>
        <v>900000</v>
      </c>
      <c r="O13" s="674">
        <f>'תקציב אגף תקשוב 2020 '!O12</f>
        <v>0</v>
      </c>
      <c r="P13" s="674">
        <f>'תקציב אגף תקשוב 2020 '!P12</f>
        <v>54878.95</v>
      </c>
      <c r="Q13" s="674">
        <f>'תקציב אגף תקשוב 2020 '!Q12</f>
        <v>0</v>
      </c>
      <c r="R13" s="674">
        <f>'תקציב אגף תקשוב 2020 '!R12</f>
        <v>0</v>
      </c>
      <c r="S13" s="674">
        <f>'תקציב אגף תקשוב 2020 '!S12</f>
        <v>0</v>
      </c>
      <c r="T13" s="674">
        <f>'תקציב אגף תקשוב 2020 '!T12</f>
        <v>0</v>
      </c>
      <c r="U13" s="674">
        <f>'תקציב אגף תקשוב 2020 '!U12</f>
        <v>900000</v>
      </c>
      <c r="V13" s="674">
        <f>'תקציב אגף תקשוב 2020 '!V12</f>
        <v>0</v>
      </c>
      <c r="W13" s="674">
        <f>'תקציב אגף תקשוב 2020 '!W12</f>
        <v>900000</v>
      </c>
      <c r="X13" s="674">
        <f>'תקציב אגף תקשוב 2020 '!X12</f>
        <v>0</v>
      </c>
      <c r="Y13" s="674">
        <f>'תקציב אגף תקשוב 2020 '!Y12</f>
        <v>0</v>
      </c>
      <c r="Z13" s="674">
        <f>'תקציב אגף תקשוב 2020 '!Z12</f>
        <v>0</v>
      </c>
      <c r="AA13" s="719" t="str">
        <f>'תקציב אגף תקשוב 2020 '!AA12</f>
        <v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v>
      </c>
      <c r="AB13" s="721">
        <f>'תקציב אגף תקשוב 2020 '!AB12</f>
        <v>760000</v>
      </c>
      <c r="AK13" s="653"/>
    </row>
    <row r="14" spans="1:37" ht="55.2">
      <c r="A14" s="673">
        <f>A13+1</f>
        <v>7</v>
      </c>
      <c r="B14" s="721">
        <f>'תקציב אגף תקשוב 2020 '!B14</f>
        <v>2170</v>
      </c>
      <c r="C14" s="719" t="str">
        <f>'תקציב אגף תקשוב 2020 '!C14</f>
        <v xml:space="preserve">מיזמים קהילתיים </v>
      </c>
      <c r="D14" s="674">
        <f>'תקציב אגף תקשוב 2020 '!D14</f>
        <v>200000</v>
      </c>
      <c r="E14" s="674">
        <f>'תקציב אגף תקשוב 2020 '!E14</f>
        <v>0</v>
      </c>
      <c r="F14" s="674">
        <f>'תקציב אגף תקשוב 2020 '!F14</f>
        <v>200000</v>
      </c>
      <c r="G14" s="674">
        <f>'תקציב אגף תקשוב 2020 '!G14</f>
        <v>0</v>
      </c>
      <c r="H14" s="674">
        <f>'תקציב אגף תקשוב 2020 '!H14</f>
        <v>0</v>
      </c>
      <c r="I14" s="674">
        <f>'תקציב אגף תקשוב 2020 '!I14</f>
        <v>0</v>
      </c>
      <c r="J14" s="674">
        <f>'תקציב אגף תקשוב 2020 '!J14</f>
        <v>0</v>
      </c>
      <c r="K14" s="674">
        <f>'תקציב אגף תקשוב 2020 '!K14</f>
        <v>0</v>
      </c>
      <c r="L14" s="674">
        <f>'תקציב אגף תקשוב 2020 '!L14</f>
        <v>0</v>
      </c>
      <c r="M14" s="674">
        <f>'תקציב אגף תקשוב 2020 '!M14</f>
        <v>0</v>
      </c>
      <c r="N14" s="674">
        <f>'תקציב אגף תקשוב 2020 '!N14</f>
        <v>200000</v>
      </c>
      <c r="O14" s="674">
        <f>'תקציב אגף תקשוב 2020 '!O14</f>
        <v>0</v>
      </c>
      <c r="P14" s="674">
        <f>'תקציב אגף תקשוב 2020 '!P14</f>
        <v>0</v>
      </c>
      <c r="Q14" s="674">
        <f>'תקציב אגף תקשוב 2020 '!Q14</f>
        <v>0</v>
      </c>
      <c r="R14" s="674">
        <f>'תקציב אגף תקשוב 2020 '!R14</f>
        <v>0</v>
      </c>
      <c r="S14" s="674">
        <f>'תקציב אגף תקשוב 2020 '!S14</f>
        <v>0</v>
      </c>
      <c r="T14" s="674">
        <f>'תקציב אגף תקשוב 2020 '!T14</f>
        <v>0</v>
      </c>
      <c r="U14" s="674">
        <f>'תקציב אגף תקשוב 2020 '!U14</f>
        <v>200000</v>
      </c>
      <c r="V14" s="674">
        <f>'תקציב אגף תקשוב 2020 '!V14</f>
        <v>0</v>
      </c>
      <c r="W14" s="674">
        <f>'תקציב אגף תקשוב 2020 '!W14</f>
        <v>200000</v>
      </c>
      <c r="X14" s="674">
        <f>'תקציב אגף תקשוב 2020 '!X14</f>
        <v>0</v>
      </c>
      <c r="Y14" s="674">
        <f>'תקציב אגף תקשוב 2020 '!Y14</f>
        <v>0</v>
      </c>
      <c r="Z14" s="674">
        <f>'תקציב אגף תקשוב 2020 '!Z14</f>
        <v>0</v>
      </c>
      <c r="AA14" s="719" t="str">
        <f>'תקציב אגף תקשוב 2020 '!AA14</f>
        <v>הטמעת מערכת הגנה מפני אלימות ברשת תחת פלטפורמה קהילות לומדות EACH. הקמת מערכת ניטור קולי התראות לפיקוח במסגרת עיר חכמה. הכל בשיתוף פעולה עם מרכז היזמות העירוני.</v>
      </c>
      <c r="AB14" s="721">
        <f>'תקציב אגף תקשוב 2020 '!AB14</f>
        <v>760000</v>
      </c>
      <c r="AC14" s="20"/>
      <c r="AD14" s="52"/>
      <c r="AE14" s="6"/>
      <c r="AF14" s="6"/>
      <c r="AG14" s="5"/>
      <c r="AH14" s="5"/>
      <c r="AI14" s="5"/>
      <c r="AJ14" s="5"/>
      <c r="AK14" s="5"/>
    </row>
    <row r="15" spans="1:37" s="746" customFormat="1">
      <c r="A15" s="741"/>
      <c r="B15" s="794"/>
      <c r="C15" s="18" t="s">
        <v>692</v>
      </c>
      <c r="D15" s="742">
        <f>SUM(D10:D14)</f>
        <v>12990000</v>
      </c>
      <c r="E15" s="742">
        <f t="shared" ref="E15:Z15" si="3">SUM(E10:E14)</f>
        <v>10790000</v>
      </c>
      <c r="F15" s="742">
        <f t="shared" si="3"/>
        <v>2200000</v>
      </c>
      <c r="G15" s="742">
        <f t="shared" si="3"/>
        <v>4750000</v>
      </c>
      <c r="H15" s="742">
        <f t="shared" si="3"/>
        <v>2808730.39</v>
      </c>
      <c r="I15" s="742">
        <f t="shared" si="3"/>
        <v>0</v>
      </c>
      <c r="J15" s="742">
        <f t="shared" si="3"/>
        <v>290435.17</v>
      </c>
      <c r="K15" s="742">
        <f t="shared" si="3"/>
        <v>290435.17</v>
      </c>
      <c r="L15" s="742">
        <f t="shared" si="3"/>
        <v>3099165.5599999996</v>
      </c>
      <c r="M15" s="742">
        <f t="shared" si="3"/>
        <v>1150834.4400000002</v>
      </c>
      <c r="N15" s="742">
        <f t="shared" si="3"/>
        <v>6700000</v>
      </c>
      <c r="O15" s="742">
        <f t="shared" si="3"/>
        <v>2040000</v>
      </c>
      <c r="P15" s="742">
        <f t="shared" si="3"/>
        <v>1650834.4400000002</v>
      </c>
      <c r="Q15" s="742">
        <f t="shared" si="3"/>
        <v>0</v>
      </c>
      <c r="R15" s="742">
        <f t="shared" si="3"/>
        <v>0</v>
      </c>
      <c r="S15" s="742">
        <f t="shared" si="3"/>
        <v>0</v>
      </c>
      <c r="T15" s="742">
        <f t="shared" si="3"/>
        <v>500000</v>
      </c>
      <c r="U15" s="742">
        <f t="shared" si="3"/>
        <v>6200000</v>
      </c>
      <c r="V15" s="742">
        <f t="shared" si="3"/>
        <v>5000000</v>
      </c>
      <c r="W15" s="742">
        <f t="shared" si="3"/>
        <v>1200000</v>
      </c>
      <c r="X15" s="742">
        <f t="shared" si="3"/>
        <v>0</v>
      </c>
      <c r="Y15" s="742">
        <f t="shared" si="3"/>
        <v>0</v>
      </c>
      <c r="Z15" s="742">
        <f t="shared" si="3"/>
        <v>0</v>
      </c>
      <c r="AA15" s="645"/>
      <c r="AB15" s="743"/>
      <c r="AC15" s="744"/>
      <c r="AD15" s="745"/>
      <c r="AE15" s="6"/>
      <c r="AF15" s="6"/>
      <c r="AG15" s="6"/>
      <c r="AH15" s="6"/>
      <c r="AI15" s="6"/>
      <c r="AJ15" s="6"/>
      <c r="AK15" s="6"/>
    </row>
    <row r="16" spans="1:37">
      <c r="A16" s="673">
        <f>A14+1</f>
        <v>8</v>
      </c>
      <c r="B16" s="721">
        <v>1647</v>
      </c>
      <c r="C16" s="789" t="s">
        <v>565</v>
      </c>
      <c r="D16" s="674">
        <f>'תקציב אגף תקשוב 2020 '!D8</f>
        <v>4700000</v>
      </c>
      <c r="E16" s="674">
        <f>'תקציב אגף תקשוב 2020 '!E8</f>
        <v>4700000</v>
      </c>
      <c r="F16" s="674">
        <f>'תקציב אגף תקשוב 2020 '!F8</f>
        <v>0</v>
      </c>
      <c r="G16" s="674">
        <f>'תקציב אגף תקשוב 2020 '!G8</f>
        <v>4150000</v>
      </c>
      <c r="H16" s="674">
        <f>'תקציב אגף תקשוב 2020 '!H8</f>
        <v>4053613.63</v>
      </c>
      <c r="I16" s="674">
        <f>'תקציב אגף תקשוב 2020 '!I8</f>
        <v>0</v>
      </c>
      <c r="J16" s="674">
        <f>'תקציב אגף תקשוב 2020 '!J8</f>
        <v>65530.34</v>
      </c>
      <c r="K16" s="674">
        <f>'תקציב אגף תקשוב 2020 '!K8</f>
        <v>65530.34</v>
      </c>
      <c r="L16" s="674">
        <f>'תקציב אגף תקשוב 2020 '!L8</f>
        <v>4119143.9699999997</v>
      </c>
      <c r="M16" s="674">
        <f>'תקציב אגף תקשוב 2020 '!M8</f>
        <v>30856.030000000261</v>
      </c>
      <c r="N16" s="674">
        <f>'תקציב אגף תקשוב 2020 '!N8</f>
        <v>50000</v>
      </c>
      <c r="O16" s="674">
        <f>'תקציב אגף תקשוב 2020 '!O8</f>
        <v>500000</v>
      </c>
      <c r="P16" s="674">
        <f>'תקציב אגף תקשוב 2020 '!P8</f>
        <v>30856.030000000261</v>
      </c>
      <c r="Q16" s="674">
        <f>'תקציב אגף תקשוב 2020 '!Q8</f>
        <v>0</v>
      </c>
      <c r="R16" s="674">
        <f>'תקציב אגף תקשוב 2020 '!R8</f>
        <v>0</v>
      </c>
      <c r="S16" s="674">
        <f>'תקציב אגף תקשוב 2020 '!S8</f>
        <v>0</v>
      </c>
      <c r="T16" s="674">
        <f>'תקציב אגף תקשוב 2020 '!T8</f>
        <v>0</v>
      </c>
      <c r="U16" s="674">
        <f>'תקציב אגף תקשוב 2020 '!U8</f>
        <v>50000</v>
      </c>
      <c r="V16" s="674">
        <f>'תקציב אגף תקשוב 2020 '!V8</f>
        <v>0</v>
      </c>
      <c r="W16" s="674">
        <f>'תקציב אגף תקשוב 2020 '!W8</f>
        <v>50000</v>
      </c>
      <c r="X16" s="674">
        <f>'תקציב אגף תקשוב 2020 '!X8</f>
        <v>0</v>
      </c>
      <c r="Y16" s="674">
        <f>'תקציב אגף תקשוב 2020 '!Y8</f>
        <v>0</v>
      </c>
      <c r="Z16" s="674">
        <f>'תקציב אגף תקשוב 2020 '!Z8</f>
        <v>0</v>
      </c>
      <c r="AA16" s="719" t="str">
        <f>'תקציב אגף תקשוב 2020 '!AA8</f>
        <v>שדרוג תשתיות אינטרנט במוס"ח.</v>
      </c>
      <c r="AB16" s="721">
        <f>'תקציב אגף תקשוב 2020 '!AB8</f>
        <v>810000</v>
      </c>
      <c r="AH16" s="677"/>
      <c r="AK16" s="653"/>
    </row>
    <row r="17" spans="1:37" s="5" customFormat="1" ht="69">
      <c r="A17" s="673">
        <f>A16+1</f>
        <v>9</v>
      </c>
      <c r="B17" s="721">
        <v>2083</v>
      </c>
      <c r="C17" s="789" t="s">
        <v>615</v>
      </c>
      <c r="D17" s="674">
        <f>'תקציב אגף תקשוב 2020 '!D13</f>
        <v>5580000</v>
      </c>
      <c r="E17" s="674">
        <f>'תקציב אגף תקשוב 2020 '!E13</f>
        <v>5580000</v>
      </c>
      <c r="F17" s="674">
        <f>'תקציב אגף תקשוב 2020 '!F13</f>
        <v>0</v>
      </c>
      <c r="G17" s="674">
        <f>'תקציב אגף תקשוב 2020 '!G13</f>
        <v>3000000</v>
      </c>
      <c r="H17" s="674">
        <f>'תקציב אגף תקשוב 2020 '!H13</f>
        <v>0</v>
      </c>
      <c r="I17" s="674">
        <f>'תקציב אגף תקשוב 2020 '!I13</f>
        <v>0</v>
      </c>
      <c r="J17" s="674">
        <f>'תקציב אגף תקשוב 2020 '!J13</f>
        <v>0</v>
      </c>
      <c r="K17" s="674">
        <f>'תקציב אגף תקשוב 2020 '!K13</f>
        <v>0</v>
      </c>
      <c r="L17" s="674">
        <f>'תקציב אגף תקשוב 2020 '!L13</f>
        <v>0</v>
      </c>
      <c r="M17" s="674">
        <f>'תקציב אגף תקשוב 2020 '!M13</f>
        <v>3000000</v>
      </c>
      <c r="N17" s="674">
        <f>'תקציב אגף תקשוב 2020 '!N13</f>
        <v>2580000</v>
      </c>
      <c r="O17" s="674">
        <f>'תקציב אגף תקשוב 2020 '!O13</f>
        <v>0</v>
      </c>
      <c r="P17" s="674">
        <f>'תקציב אגף תקשוב 2020 '!P13</f>
        <v>3000000</v>
      </c>
      <c r="Q17" s="674">
        <f>'תקציב אגף תקשוב 2020 '!Q13</f>
        <v>0</v>
      </c>
      <c r="R17" s="674">
        <f>'תקציב אגף תקשוב 2020 '!R13</f>
        <v>0</v>
      </c>
      <c r="S17" s="674">
        <f>'תקציב אגף תקשוב 2020 '!S13</f>
        <v>0</v>
      </c>
      <c r="T17" s="674">
        <f>'תקציב אגף תקשוב 2020 '!T13</f>
        <v>0</v>
      </c>
      <c r="U17" s="674">
        <f>'תקציב אגף תקשוב 2020 '!U13</f>
        <v>2580000</v>
      </c>
      <c r="V17" s="674">
        <f>'תקציב אגף תקשוב 2020 '!V13</f>
        <v>0</v>
      </c>
      <c r="W17" s="674">
        <f>'תקציב אגף תקשוב 2020 '!W13</f>
        <v>0</v>
      </c>
      <c r="X17" s="674">
        <f>'תקציב אגף תקשוב 2020 '!X13</f>
        <v>0</v>
      </c>
      <c r="Y17" s="674">
        <f>'תקציב אגף תקשוב 2020 '!Y13</f>
        <v>0</v>
      </c>
      <c r="Z17" s="674">
        <f>'תקציב אגף תקשוב 2020 '!Z13</f>
        <v>2580000</v>
      </c>
      <c r="AA17" s="719" t="str">
        <f>'תקציב אגף תקשוב 2020 '!AA13</f>
        <v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מימון מפעל הפיס.</v>
      </c>
      <c r="AB17" s="721">
        <f>'תקציב אגף תקשוב 2020 '!AB13</f>
        <v>810000</v>
      </c>
      <c r="AC17" s="671"/>
      <c r="AD17" s="634"/>
      <c r="AE17" s="634"/>
      <c r="AF17" s="634"/>
      <c r="AG17" s="634"/>
      <c r="AH17" s="671"/>
      <c r="AI17" s="671"/>
      <c r="AJ17" s="671"/>
      <c r="AK17" s="653"/>
    </row>
    <row r="18" spans="1:37" s="84" customFormat="1">
      <c r="A18" s="734"/>
      <c r="B18" s="737"/>
      <c r="C18" s="791" t="s">
        <v>699</v>
      </c>
      <c r="D18" s="735">
        <f>SUM(D16:D17)</f>
        <v>10280000</v>
      </c>
      <c r="E18" s="735">
        <f t="shared" ref="E18:Z18" si="4">SUM(E16:E17)</f>
        <v>10280000</v>
      </c>
      <c r="F18" s="735">
        <f t="shared" si="4"/>
        <v>0</v>
      </c>
      <c r="G18" s="735">
        <f t="shared" si="4"/>
        <v>7150000</v>
      </c>
      <c r="H18" s="735">
        <f t="shared" si="4"/>
        <v>4053613.63</v>
      </c>
      <c r="I18" s="735">
        <f t="shared" si="4"/>
        <v>0</v>
      </c>
      <c r="J18" s="735">
        <f t="shared" si="4"/>
        <v>65530.34</v>
      </c>
      <c r="K18" s="735">
        <f t="shared" si="4"/>
        <v>65530.34</v>
      </c>
      <c r="L18" s="735">
        <f t="shared" si="4"/>
        <v>4119143.9699999997</v>
      </c>
      <c r="M18" s="735">
        <f t="shared" si="4"/>
        <v>3030856.0300000003</v>
      </c>
      <c r="N18" s="735">
        <f t="shared" si="4"/>
        <v>2630000</v>
      </c>
      <c r="O18" s="735">
        <f t="shared" si="4"/>
        <v>500000</v>
      </c>
      <c r="P18" s="735">
        <f t="shared" si="4"/>
        <v>3030856.0300000003</v>
      </c>
      <c r="Q18" s="735">
        <f t="shared" si="4"/>
        <v>0</v>
      </c>
      <c r="R18" s="735">
        <f t="shared" si="4"/>
        <v>0</v>
      </c>
      <c r="S18" s="735">
        <f t="shared" si="4"/>
        <v>0</v>
      </c>
      <c r="T18" s="735">
        <f t="shared" si="4"/>
        <v>0</v>
      </c>
      <c r="U18" s="735">
        <f t="shared" si="4"/>
        <v>2630000</v>
      </c>
      <c r="V18" s="735">
        <f t="shared" si="4"/>
        <v>0</v>
      </c>
      <c r="W18" s="735">
        <f t="shared" si="4"/>
        <v>50000</v>
      </c>
      <c r="X18" s="735">
        <f t="shared" si="4"/>
        <v>0</v>
      </c>
      <c r="Y18" s="735">
        <f t="shared" si="4"/>
        <v>0</v>
      </c>
      <c r="Z18" s="735">
        <f t="shared" si="4"/>
        <v>2580000</v>
      </c>
      <c r="AA18" s="736"/>
      <c r="AB18" s="737"/>
      <c r="AC18" s="738"/>
      <c r="AD18" s="739"/>
      <c r="AE18" s="739"/>
      <c r="AF18" s="739"/>
      <c r="AG18" s="739"/>
      <c r="AH18" s="738"/>
      <c r="AI18" s="738"/>
      <c r="AJ18" s="738"/>
      <c r="AK18" s="740"/>
    </row>
    <row r="19" spans="1:37" s="84" customFormat="1" ht="27.6">
      <c r="A19" s="41">
        <f>A17</f>
        <v>9</v>
      </c>
      <c r="B19" s="725"/>
      <c r="C19" s="792" t="s">
        <v>656</v>
      </c>
      <c r="D19" s="88">
        <f>D18+D15+D9+D7</f>
        <v>49790000</v>
      </c>
      <c r="E19" s="88">
        <f t="shared" ref="E19:Z19" si="5">E18+E15+E9+E7</f>
        <v>49590000</v>
      </c>
      <c r="F19" s="88">
        <f t="shared" si="5"/>
        <v>200000</v>
      </c>
      <c r="G19" s="88">
        <f t="shared" si="5"/>
        <v>24973000</v>
      </c>
      <c r="H19" s="88">
        <f t="shared" si="5"/>
        <v>12137738.620000001</v>
      </c>
      <c r="I19" s="88">
        <f t="shared" si="5"/>
        <v>1455427.98</v>
      </c>
      <c r="J19" s="88">
        <f t="shared" si="5"/>
        <v>5607273.6800000006</v>
      </c>
      <c r="K19" s="88">
        <f t="shared" si="5"/>
        <v>7062701.6600000011</v>
      </c>
      <c r="L19" s="88">
        <f t="shared" si="5"/>
        <v>19200440.280000001</v>
      </c>
      <c r="M19" s="88">
        <f t="shared" si="5"/>
        <v>5232559.7199999988</v>
      </c>
      <c r="N19" s="88">
        <f t="shared" si="5"/>
        <v>14470000</v>
      </c>
      <c r="O19" s="88">
        <f t="shared" si="5"/>
        <v>10887000</v>
      </c>
      <c r="P19" s="88">
        <f t="shared" si="5"/>
        <v>5772559.7199999988</v>
      </c>
      <c r="Q19" s="88">
        <f t="shared" si="5"/>
        <v>0</v>
      </c>
      <c r="R19" s="88">
        <f t="shared" si="5"/>
        <v>0</v>
      </c>
      <c r="S19" s="88">
        <f t="shared" si="5"/>
        <v>0</v>
      </c>
      <c r="T19" s="88">
        <f t="shared" si="5"/>
        <v>540000</v>
      </c>
      <c r="U19" s="88">
        <f t="shared" si="5"/>
        <v>13930000</v>
      </c>
      <c r="V19" s="88">
        <f t="shared" si="5"/>
        <v>5000000</v>
      </c>
      <c r="W19" s="88">
        <f t="shared" si="5"/>
        <v>4850000</v>
      </c>
      <c r="X19" s="88">
        <f t="shared" si="5"/>
        <v>0</v>
      </c>
      <c r="Y19" s="88">
        <f t="shared" si="5"/>
        <v>0</v>
      </c>
      <c r="Z19" s="88">
        <f t="shared" si="5"/>
        <v>4080000</v>
      </c>
      <c r="AA19" s="714"/>
      <c r="AB19" s="41"/>
      <c r="AC19" s="436"/>
      <c r="AD19" s="438"/>
    </row>
    <row r="20" spans="1:37">
      <c r="L20" s="680">
        <f>H19+K19</f>
        <v>19200440.280000001</v>
      </c>
      <c r="M20" s="680">
        <f>P20+S19-T19</f>
        <v>5232559.7199999988</v>
      </c>
      <c r="P20" s="680">
        <f>G19-L20</f>
        <v>5772559.7199999988</v>
      </c>
      <c r="U20" s="680">
        <f>N19-T19</f>
        <v>13930000</v>
      </c>
    </row>
    <row r="22" spans="1:37">
      <c r="A22" s="643"/>
      <c r="B22" s="796"/>
      <c r="C22" s="720"/>
      <c r="D22" s="643"/>
      <c r="E22" s="643"/>
      <c r="F22" s="643"/>
      <c r="G22" s="643"/>
      <c r="H22" s="643"/>
      <c r="I22" s="643"/>
      <c r="J22" s="643"/>
      <c r="K22" s="643"/>
      <c r="L22" s="643"/>
      <c r="M22" s="643"/>
      <c r="N22" s="643"/>
      <c r="O22" s="643"/>
      <c r="P22" s="643"/>
      <c r="Q22" s="643"/>
      <c r="R22" s="643"/>
      <c r="S22" s="643"/>
      <c r="T22" s="643"/>
      <c r="V22" s="643"/>
      <c r="W22" s="643"/>
      <c r="X22" s="643"/>
      <c r="Y22" s="643"/>
      <c r="Z22" s="643"/>
      <c r="AA22" s="720"/>
      <c r="AB22" s="643"/>
      <c r="AH22" s="643"/>
      <c r="AI22" s="643"/>
      <c r="AJ22" s="643"/>
      <c r="AK22" s="643"/>
    </row>
    <row r="23" spans="1:37">
      <c r="A23" s="643"/>
      <c r="B23" s="796"/>
      <c r="C23" s="720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  <c r="S23" s="643"/>
      <c r="T23" s="643"/>
      <c r="U23" s="643"/>
      <c r="V23" s="643"/>
      <c r="W23" s="643"/>
      <c r="X23" s="643"/>
      <c r="Y23" s="643"/>
      <c r="Z23" s="643"/>
      <c r="AA23" s="720"/>
      <c r="AB23" s="643"/>
      <c r="AH23" s="643"/>
      <c r="AI23" s="643"/>
      <c r="AJ23" s="643"/>
      <c r="AK23" s="643"/>
    </row>
    <row r="24" spans="1:37">
      <c r="A24" s="643"/>
      <c r="B24" s="796"/>
      <c r="C24" s="720"/>
      <c r="D24" s="643"/>
      <c r="E24" s="643"/>
      <c r="F24" s="643"/>
      <c r="G24" s="643"/>
      <c r="H24" s="643"/>
      <c r="I24" s="643"/>
      <c r="J24" s="643"/>
      <c r="K24" s="643"/>
      <c r="L24" s="643"/>
      <c r="M24" s="643"/>
      <c r="N24" s="643"/>
      <c r="O24" s="643"/>
      <c r="P24" s="643"/>
      <c r="Q24" s="643"/>
      <c r="R24" s="643"/>
      <c r="S24" s="643"/>
      <c r="T24" s="643"/>
      <c r="U24" s="643"/>
      <c r="V24" s="643"/>
      <c r="W24" s="643"/>
      <c r="X24" s="643"/>
      <c r="Y24" s="643"/>
      <c r="Z24" s="643"/>
      <c r="AA24" s="720"/>
      <c r="AB24" s="643"/>
      <c r="AH24" s="643"/>
      <c r="AI24" s="643"/>
      <c r="AJ24" s="643"/>
      <c r="AK24" s="643"/>
    </row>
  </sheetData>
  <sortState ref="A6:AK14">
    <sortCondition ref="AB6:AB14"/>
  </sortState>
  <conditionalFormatting sqref="AD1:XFD7 A1:W3 X1:AB5 A20:X21 B4:W4 AE8:XFD11 AD8:AD16 A10:A16 A5:W5 A23:W1048576 A22:T22 V22:W22 X22:AA1048576 AB20:XFD1048576 AC17:AG19 D8:AB18 A6:AB7 A8:C9 B10:C14">
    <cfRule type="cellIs" dxfId="239" priority="31" operator="equal">
      <formula>0</formula>
    </cfRule>
  </conditionalFormatting>
  <conditionalFormatting sqref="Y20:AA21">
    <cfRule type="cellIs" dxfId="238" priority="27" operator="equal">
      <formula>0</formula>
    </cfRule>
  </conditionalFormatting>
  <conditionalFormatting sqref="AC1:AC11">
    <cfRule type="cellIs" dxfId="237" priority="26" operator="equal">
      <formula>0</formula>
    </cfRule>
  </conditionalFormatting>
  <conditionalFormatting sqref="AE12:XFD12">
    <cfRule type="cellIs" dxfId="236" priority="25" operator="equal">
      <formula>0</formula>
    </cfRule>
  </conditionalFormatting>
  <conditionalFormatting sqref="AC12">
    <cfRule type="cellIs" dxfId="235" priority="23" operator="equal">
      <formula>0</formula>
    </cfRule>
  </conditionalFormatting>
  <conditionalFormatting sqref="AE16:AG16 AE13:AG13">
    <cfRule type="cellIs" dxfId="234" priority="22" operator="equal">
      <formula>0</formula>
    </cfRule>
  </conditionalFormatting>
  <conditionalFormatting sqref="B16:C16 AH16:XFD16">
    <cfRule type="cellIs" dxfId="233" priority="21" operator="equal">
      <formula>0</formula>
    </cfRule>
  </conditionalFormatting>
  <conditionalFormatting sqref="AH13:XFD13">
    <cfRule type="cellIs" dxfId="232" priority="20" operator="equal">
      <formula>0</formula>
    </cfRule>
  </conditionalFormatting>
  <conditionalFormatting sqref="AE14:AG15">
    <cfRule type="cellIs" dxfId="231" priority="14" operator="equal">
      <formula>0</formula>
    </cfRule>
  </conditionalFormatting>
  <conditionalFormatting sqref="B15:C15 AH14:XFD15">
    <cfRule type="cellIs" dxfId="230" priority="13" operator="equal">
      <formula>0</formula>
    </cfRule>
  </conditionalFormatting>
  <conditionalFormatting sqref="AC13:AC16">
    <cfRule type="cellIs" dxfId="229" priority="5" operator="equal">
      <formula>0</formula>
    </cfRule>
  </conditionalFormatting>
  <conditionalFormatting sqref="A17:A18">
    <cfRule type="cellIs" dxfId="228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rightToLeft="1" tabSelected="1" workbookViewId="0">
      <selection activeCell="Q24" sqref="Q24"/>
    </sheetView>
  </sheetViews>
  <sheetFormatPr defaultColWidth="9.109375" defaultRowHeight="13.8"/>
  <cols>
    <col min="1" max="3" width="4.109375" style="418" customWidth="1"/>
    <col min="4" max="4" width="34.88671875" style="418" customWidth="1"/>
    <col min="5" max="5" width="30.44140625" style="418" customWidth="1"/>
    <col min="6" max="6" width="10.88671875" style="418" customWidth="1"/>
    <col min="7" max="7" width="5.5546875" style="418" customWidth="1"/>
    <col min="8" max="9" width="12.109375" style="418" customWidth="1"/>
    <col min="10" max="10" width="7.88671875" style="418" customWidth="1"/>
    <col min="11" max="16384" width="9.109375" style="418"/>
  </cols>
  <sheetData>
    <row r="3" spans="1:17" ht="21">
      <c r="A3" s="417"/>
      <c r="C3" s="419" t="s">
        <v>584</v>
      </c>
      <c r="D3" s="417"/>
      <c r="E3" s="417"/>
      <c r="F3" s="417"/>
      <c r="G3" s="417"/>
      <c r="H3" s="417"/>
      <c r="I3" s="417"/>
      <c r="J3" s="417"/>
      <c r="K3" s="417"/>
      <c r="L3" s="417"/>
    </row>
    <row r="4" spans="1:17" ht="21">
      <c r="A4" s="417"/>
      <c r="C4" s="419"/>
      <c r="D4" s="417"/>
      <c r="E4" s="417"/>
      <c r="F4" s="417"/>
      <c r="G4" s="417"/>
      <c r="H4" s="417"/>
      <c r="I4" s="417"/>
      <c r="J4" s="417"/>
      <c r="K4" s="417"/>
      <c r="L4" s="417"/>
    </row>
    <row r="5" spans="1:17" ht="21.6" thickBot="1">
      <c r="A5" s="417"/>
      <c r="C5" s="419"/>
      <c r="D5" s="417"/>
      <c r="E5" s="417"/>
      <c r="F5" s="417"/>
      <c r="G5" s="417"/>
      <c r="H5" s="417"/>
      <c r="I5" s="417"/>
      <c r="J5" s="417"/>
      <c r="K5" s="417"/>
      <c r="L5" s="417"/>
    </row>
    <row r="6" spans="1:17" ht="16.2" thickBot="1">
      <c r="A6" s="417"/>
      <c r="B6" s="420" t="s">
        <v>227</v>
      </c>
      <c r="C6" s="417" t="s">
        <v>1339</v>
      </c>
      <c r="D6" s="417"/>
      <c r="E6" s="417"/>
      <c r="F6" s="421">
        <f>'תקציב אגף נכסים וביטוח 2020 '!$U$23</f>
        <v>8924300</v>
      </c>
      <c r="I6" s="417"/>
      <c r="J6" s="417"/>
      <c r="K6" s="417"/>
      <c r="L6" s="417"/>
    </row>
    <row r="7" spans="1:17" ht="15.6">
      <c r="B7" s="420"/>
      <c r="C7" s="417"/>
      <c r="D7" s="417"/>
      <c r="E7" s="417"/>
      <c r="F7" s="417"/>
      <c r="H7" s="417"/>
      <c r="I7" s="417"/>
      <c r="J7" s="417"/>
      <c r="K7" s="417"/>
      <c r="L7" s="417"/>
      <c r="M7" s="417"/>
      <c r="N7" s="417"/>
      <c r="O7" s="417"/>
      <c r="P7" s="417"/>
      <c r="Q7" s="417"/>
    </row>
    <row r="8" spans="1:17" ht="15.6">
      <c r="B8" s="420" t="s">
        <v>227</v>
      </c>
      <c r="C8" s="417" t="s">
        <v>381</v>
      </c>
      <c r="D8" s="417"/>
      <c r="E8" s="417"/>
      <c r="F8" s="417"/>
      <c r="G8" s="417"/>
      <c r="H8" s="417"/>
      <c r="I8" s="417"/>
      <c r="J8" s="417"/>
      <c r="K8" s="417"/>
      <c r="L8" s="417"/>
    </row>
    <row r="9" spans="1:17" ht="15.6">
      <c r="B9" s="420"/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</row>
    <row r="10" spans="1:17" ht="15.6">
      <c r="B10" s="420" t="s">
        <v>227</v>
      </c>
      <c r="C10" s="417" t="s">
        <v>864</v>
      </c>
      <c r="D10" s="417"/>
      <c r="F10" s="417"/>
      <c r="H10" s="422"/>
      <c r="I10" s="417"/>
      <c r="J10" s="417"/>
      <c r="K10" s="417"/>
      <c r="L10" s="417"/>
      <c r="M10" s="417"/>
      <c r="N10" s="417"/>
      <c r="O10" s="417"/>
      <c r="P10" s="417"/>
      <c r="Q10" s="417"/>
    </row>
    <row r="11" spans="1:17" ht="15.6">
      <c r="C11" s="417" t="s">
        <v>382</v>
      </c>
      <c r="D11" s="417"/>
      <c r="E11" s="417"/>
      <c r="F11" s="417"/>
      <c r="H11" s="417"/>
      <c r="I11" s="417"/>
      <c r="J11" s="417"/>
      <c r="K11" s="417"/>
      <c r="L11" s="417"/>
    </row>
    <row r="12" spans="1:17" ht="15.6">
      <c r="B12" s="420"/>
      <c r="D12" s="417"/>
      <c r="E12" s="417"/>
      <c r="F12" s="417"/>
      <c r="G12" s="417"/>
      <c r="H12" s="417"/>
      <c r="I12" s="417"/>
      <c r="J12" s="417"/>
      <c r="K12" s="417"/>
      <c r="L12" s="417"/>
      <c r="M12" s="417"/>
      <c r="N12" s="417"/>
      <c r="O12" s="417"/>
      <c r="P12" s="417"/>
      <c r="Q12" s="417"/>
    </row>
    <row r="13" spans="1:17" ht="15.6">
      <c r="B13" s="420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417"/>
      <c r="Q13" s="41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4"/>
  <sheetViews>
    <sheetView showZeros="0" rightToLeft="1" tabSelected="1" zoomScaleNormal="100" workbookViewId="0">
      <pane xSplit="3" ySplit="4" topLeftCell="D1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33203125" style="190" customWidth="1"/>
    <col min="2" max="2" width="4.77734375" style="189" customWidth="1"/>
    <col min="3" max="3" width="36.88671875" style="189" customWidth="1"/>
    <col min="4" max="5" width="10" style="193" customWidth="1"/>
    <col min="6" max="6" width="9.109375" style="193" customWidth="1"/>
    <col min="7" max="11" width="9.109375" style="193" hidden="1" customWidth="1"/>
    <col min="12" max="15" width="9.109375" style="193" customWidth="1"/>
    <col min="16" max="19" width="9.109375" style="193" hidden="1" customWidth="1"/>
    <col min="20" max="20" width="9.109375" style="193" customWidth="1"/>
    <col min="21" max="22" width="9.109375" style="189" customWidth="1"/>
    <col min="23" max="23" width="11.88671875" style="189" hidden="1" customWidth="1"/>
    <col min="24" max="25" width="10.109375" style="189" hidden="1" customWidth="1"/>
    <col min="26" max="26" width="9.6640625" style="189" hidden="1" customWidth="1"/>
    <col min="27" max="27" width="32.6640625" style="189" customWidth="1"/>
    <col min="28" max="28" width="7.88671875" style="189" hidden="1" customWidth="1"/>
    <col min="29" max="29" width="19.44140625" style="189" customWidth="1"/>
    <col min="30" max="30" width="13.109375" style="189" customWidth="1"/>
    <col min="31" max="16384" width="9.109375" style="189"/>
  </cols>
  <sheetData>
    <row r="1" spans="1:31" s="217" customFormat="1" ht="18">
      <c r="A1" s="248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AC1" s="189"/>
      <c r="AD1" s="189"/>
    </row>
    <row r="2" spans="1:31" ht="18">
      <c r="A2" s="248" t="s">
        <v>584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</row>
    <row r="3" spans="1:31" ht="21" customHeight="1"/>
    <row r="4" spans="1:31" s="218" customFormat="1" ht="86.25" customHeight="1">
      <c r="A4" s="187" t="s">
        <v>0</v>
      </c>
      <c r="B4" s="187" t="s">
        <v>1</v>
      </c>
      <c r="C4" s="187" t="s">
        <v>2</v>
      </c>
      <c r="D4" s="187" t="s">
        <v>3</v>
      </c>
      <c r="E4" s="187" t="s">
        <v>4</v>
      </c>
      <c r="F4" s="187" t="s">
        <v>5</v>
      </c>
      <c r="G4" s="187" t="s">
        <v>6</v>
      </c>
      <c r="H4" s="187" t="s">
        <v>7</v>
      </c>
      <c r="I4" s="187" t="s">
        <v>9</v>
      </c>
      <c r="J4" s="187" t="s">
        <v>215</v>
      </c>
      <c r="K4" s="187" t="s">
        <v>10</v>
      </c>
      <c r="L4" s="187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187" t="s">
        <v>13</v>
      </c>
      <c r="W4" s="187" t="s">
        <v>14</v>
      </c>
      <c r="X4" s="187" t="s">
        <v>15</v>
      </c>
      <c r="Y4" s="187" t="s">
        <v>354</v>
      </c>
      <c r="Z4" s="187" t="s">
        <v>105</v>
      </c>
      <c r="AA4" s="669" t="s">
        <v>410</v>
      </c>
      <c r="AB4" s="187" t="s">
        <v>16</v>
      </c>
      <c r="AC4" s="189"/>
      <c r="AD4" s="189"/>
    </row>
    <row r="5" spans="1:31" s="196" customFormat="1" ht="18.75" customHeight="1">
      <c r="A5" s="197"/>
      <c r="B5" s="197"/>
      <c r="C5" s="197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>
        <f t="shared" ref="O5:O22" si="0">D5-L5-M5-N5</f>
        <v>0</v>
      </c>
      <c r="P5" s="172"/>
      <c r="Q5" s="172"/>
      <c r="R5" s="172"/>
      <c r="S5" s="172"/>
      <c r="T5" s="172">
        <f>P5-M5+R5</f>
        <v>0</v>
      </c>
      <c r="U5" s="172">
        <f t="shared" ref="U5:U22" si="1">N5-T5</f>
        <v>0</v>
      </c>
      <c r="V5" s="172"/>
      <c r="W5" s="172"/>
      <c r="X5" s="172"/>
      <c r="Y5" s="172"/>
      <c r="Z5" s="197"/>
      <c r="AA5" s="197"/>
      <c r="AB5" s="197"/>
      <c r="AC5" s="189"/>
      <c r="AD5" s="189"/>
    </row>
    <row r="6" spans="1:31" s="196" customFormat="1" ht="27.6">
      <c r="A6" s="197">
        <f>1+A5</f>
        <v>1</v>
      </c>
      <c r="B6" s="197">
        <v>470</v>
      </c>
      <c r="C6" s="197" t="s">
        <v>82</v>
      </c>
      <c r="D6" s="172">
        <f>1830000+300000</f>
        <v>2130000</v>
      </c>
      <c r="E6" s="172">
        <v>1830000</v>
      </c>
      <c r="F6" s="172">
        <f t="shared" ref="F6:F22" si="2">D6-E6</f>
        <v>300000</v>
      </c>
      <c r="G6" s="172">
        <v>1830000</v>
      </c>
      <c r="H6" s="172">
        <v>1737007.43</v>
      </c>
      <c r="I6" s="172"/>
      <c r="J6" s="172"/>
      <c r="K6" s="172">
        <f t="shared" ref="K6:K22" si="3">SUM(I6:J6)</f>
        <v>0</v>
      </c>
      <c r="L6" s="172">
        <f t="shared" ref="L6:L22" si="4">H6+K6</f>
        <v>1737007.43</v>
      </c>
      <c r="M6" s="172">
        <f t="shared" ref="M6:M22" si="5">P6+S6</f>
        <v>92992.570000000065</v>
      </c>
      <c r="N6" s="172">
        <v>300000</v>
      </c>
      <c r="O6" s="172">
        <f t="shared" si="0"/>
        <v>0</v>
      </c>
      <c r="P6" s="172">
        <f t="shared" ref="P6:P22" si="6">G6-L6</f>
        <v>92992.570000000065</v>
      </c>
      <c r="Q6" s="172"/>
      <c r="R6" s="172"/>
      <c r="S6" s="172">
        <f t="shared" ref="S6:S22" si="7">SUM(Q6:R6)</f>
        <v>0</v>
      </c>
      <c r="T6" s="172">
        <f t="shared" ref="T6:T22" si="8">P6-M6+S6</f>
        <v>0</v>
      </c>
      <c r="U6" s="172">
        <f t="shared" si="1"/>
        <v>300000</v>
      </c>
      <c r="V6" s="172">
        <f t="shared" ref="V6:V22" si="9">U6-W6-Y6-Z6</f>
        <v>300000</v>
      </c>
      <c r="W6" s="172"/>
      <c r="X6" s="172"/>
      <c r="Y6" s="172"/>
      <c r="Z6" s="197"/>
      <c r="AA6" s="760" t="s">
        <v>579</v>
      </c>
      <c r="AB6" s="197">
        <v>935000</v>
      </c>
      <c r="AC6" s="189"/>
      <c r="AD6" s="189"/>
      <c r="AE6" s="372"/>
    </row>
    <row r="7" spans="1:31" s="196" customFormat="1" ht="30" customHeight="1">
      <c r="A7" s="197">
        <f t="shared" ref="A7:A22" si="10">1+A6</f>
        <v>2</v>
      </c>
      <c r="B7" s="197">
        <v>649</v>
      </c>
      <c r="C7" s="197" t="s">
        <v>816</v>
      </c>
      <c r="D7" s="172">
        <v>70000</v>
      </c>
      <c r="E7" s="172">
        <v>70000</v>
      </c>
      <c r="F7" s="172">
        <f t="shared" si="2"/>
        <v>0</v>
      </c>
      <c r="G7" s="172">
        <v>70000</v>
      </c>
      <c r="H7" s="172">
        <v>43111.48</v>
      </c>
      <c r="I7" s="172"/>
      <c r="J7" s="172"/>
      <c r="K7" s="172">
        <f t="shared" si="3"/>
        <v>0</v>
      </c>
      <c r="L7" s="172">
        <f t="shared" si="4"/>
        <v>43111.48</v>
      </c>
      <c r="M7" s="172">
        <f t="shared" si="5"/>
        <v>26888.519999999997</v>
      </c>
      <c r="N7" s="172"/>
      <c r="O7" s="172">
        <f t="shared" si="0"/>
        <v>0</v>
      </c>
      <c r="P7" s="172">
        <f t="shared" si="6"/>
        <v>26888.519999999997</v>
      </c>
      <c r="Q7" s="172"/>
      <c r="R7" s="172"/>
      <c r="S7" s="172">
        <f t="shared" si="7"/>
        <v>0</v>
      </c>
      <c r="T7" s="172">
        <f t="shared" si="8"/>
        <v>0</v>
      </c>
      <c r="U7" s="172">
        <f t="shared" si="1"/>
        <v>0</v>
      </c>
      <c r="V7" s="172">
        <f t="shared" si="9"/>
        <v>0</v>
      </c>
      <c r="W7" s="172"/>
      <c r="X7" s="172"/>
      <c r="Y7" s="172"/>
      <c r="Z7" s="197"/>
      <c r="AA7" s="761" t="s">
        <v>648</v>
      </c>
      <c r="AB7" s="197">
        <v>930000</v>
      </c>
      <c r="AC7" s="189"/>
      <c r="AD7" s="189"/>
      <c r="AE7" s="372"/>
    </row>
    <row r="8" spans="1:31" s="196" customFormat="1" ht="30" customHeight="1">
      <c r="A8" s="197">
        <f t="shared" si="10"/>
        <v>3</v>
      </c>
      <c r="B8" s="197">
        <v>1066</v>
      </c>
      <c r="C8" s="197" t="s">
        <v>83</v>
      </c>
      <c r="D8" s="172">
        <v>75000</v>
      </c>
      <c r="E8" s="172">
        <v>75000</v>
      </c>
      <c r="F8" s="172">
        <f t="shared" si="2"/>
        <v>0</v>
      </c>
      <c r="G8" s="172">
        <v>75000</v>
      </c>
      <c r="H8" s="172">
        <v>40172</v>
      </c>
      <c r="I8" s="172"/>
      <c r="J8" s="172"/>
      <c r="K8" s="172">
        <f t="shared" si="3"/>
        <v>0</v>
      </c>
      <c r="L8" s="172">
        <f t="shared" si="4"/>
        <v>40172</v>
      </c>
      <c r="M8" s="172">
        <f t="shared" si="5"/>
        <v>34828</v>
      </c>
      <c r="N8" s="172"/>
      <c r="O8" s="172">
        <f t="shared" si="0"/>
        <v>0</v>
      </c>
      <c r="P8" s="172">
        <f t="shared" si="6"/>
        <v>34828</v>
      </c>
      <c r="Q8" s="172"/>
      <c r="R8" s="172"/>
      <c r="S8" s="172">
        <f t="shared" si="7"/>
        <v>0</v>
      </c>
      <c r="T8" s="172">
        <f t="shared" si="8"/>
        <v>0</v>
      </c>
      <c r="U8" s="172">
        <f t="shared" si="1"/>
        <v>0</v>
      </c>
      <c r="V8" s="172">
        <f t="shared" si="9"/>
        <v>0</v>
      </c>
      <c r="W8" s="172"/>
      <c r="X8" s="172"/>
      <c r="Y8" s="172"/>
      <c r="Z8" s="197"/>
      <c r="AA8" s="761" t="s">
        <v>649</v>
      </c>
      <c r="AB8" s="197">
        <v>935000</v>
      </c>
      <c r="AC8" s="189"/>
      <c r="AD8" s="189"/>
      <c r="AE8" s="372"/>
    </row>
    <row r="9" spans="1:31" s="196" customFormat="1" ht="30" customHeight="1">
      <c r="A9" s="197">
        <f t="shared" si="10"/>
        <v>4</v>
      </c>
      <c r="B9" s="197">
        <v>1177</v>
      </c>
      <c r="C9" s="197" t="s">
        <v>84</v>
      </c>
      <c r="D9" s="172">
        <v>41850000</v>
      </c>
      <c r="E9" s="172">
        <v>41850000</v>
      </c>
      <c r="F9" s="172">
        <f t="shared" si="2"/>
        <v>0</v>
      </c>
      <c r="G9" s="172">
        <v>28957000</v>
      </c>
      <c r="H9" s="172">
        <v>26727455.199999999</v>
      </c>
      <c r="I9" s="172"/>
      <c r="J9" s="172"/>
      <c r="K9" s="172">
        <f t="shared" si="3"/>
        <v>0</v>
      </c>
      <c r="L9" s="172">
        <f t="shared" si="4"/>
        <v>26727455.199999999</v>
      </c>
      <c r="M9" s="172">
        <f t="shared" si="5"/>
        <v>2229544.8000000007</v>
      </c>
      <c r="N9" s="172"/>
      <c r="O9" s="172">
        <f t="shared" si="0"/>
        <v>12893000</v>
      </c>
      <c r="P9" s="172">
        <f t="shared" si="6"/>
        <v>2229544.8000000007</v>
      </c>
      <c r="Q9" s="172"/>
      <c r="R9" s="172"/>
      <c r="S9" s="172">
        <f t="shared" si="7"/>
        <v>0</v>
      </c>
      <c r="T9" s="172">
        <f t="shared" si="8"/>
        <v>0</v>
      </c>
      <c r="U9" s="172">
        <f t="shared" si="1"/>
        <v>0</v>
      </c>
      <c r="V9" s="172">
        <f t="shared" si="9"/>
        <v>0</v>
      </c>
      <c r="W9" s="172"/>
      <c r="X9" s="172"/>
      <c r="Y9" s="172"/>
      <c r="Z9" s="197"/>
      <c r="AA9" s="761" t="s">
        <v>650</v>
      </c>
      <c r="AB9" s="197">
        <v>930000</v>
      </c>
      <c r="AC9" s="189"/>
      <c r="AD9" s="189"/>
      <c r="AE9" s="372"/>
    </row>
    <row r="10" spans="1:31" s="196" customFormat="1" ht="30" customHeight="1">
      <c r="A10" s="197">
        <f t="shared" si="10"/>
        <v>5</v>
      </c>
      <c r="B10" s="197">
        <v>1258</v>
      </c>
      <c r="C10" s="197" t="s">
        <v>85</v>
      </c>
      <c r="D10" s="172">
        <v>1400000</v>
      </c>
      <c r="E10" s="172">
        <v>1400000</v>
      </c>
      <c r="F10" s="172">
        <f t="shared" si="2"/>
        <v>0</v>
      </c>
      <c r="G10" s="172">
        <v>900000</v>
      </c>
      <c r="H10" s="172">
        <v>872795.22</v>
      </c>
      <c r="I10" s="172"/>
      <c r="J10" s="172"/>
      <c r="K10" s="172">
        <f t="shared" si="3"/>
        <v>0</v>
      </c>
      <c r="L10" s="172">
        <f t="shared" si="4"/>
        <v>872795.22</v>
      </c>
      <c r="M10" s="172">
        <f t="shared" si="5"/>
        <v>77204.780000000028</v>
      </c>
      <c r="N10" s="172"/>
      <c r="O10" s="172">
        <f t="shared" si="0"/>
        <v>450000</v>
      </c>
      <c r="P10" s="172">
        <f t="shared" si="6"/>
        <v>27204.780000000028</v>
      </c>
      <c r="Q10" s="172">
        <v>50000</v>
      </c>
      <c r="R10" s="172"/>
      <c r="S10" s="172">
        <f t="shared" si="7"/>
        <v>50000</v>
      </c>
      <c r="T10" s="172">
        <f t="shared" si="8"/>
        <v>0</v>
      </c>
      <c r="U10" s="172">
        <f t="shared" si="1"/>
        <v>0</v>
      </c>
      <c r="V10" s="172">
        <f t="shared" si="9"/>
        <v>0</v>
      </c>
      <c r="W10" s="172"/>
      <c r="X10" s="172"/>
      <c r="Y10" s="172"/>
      <c r="Z10" s="197"/>
      <c r="AA10" s="762" t="s">
        <v>396</v>
      </c>
      <c r="AB10" s="197">
        <v>930000</v>
      </c>
      <c r="AC10" s="189"/>
      <c r="AD10" s="189"/>
      <c r="AE10" s="372"/>
    </row>
    <row r="11" spans="1:31" s="196" customFormat="1" ht="30" customHeight="1">
      <c r="A11" s="197">
        <f t="shared" si="10"/>
        <v>6</v>
      </c>
      <c r="B11" s="197">
        <v>1330</v>
      </c>
      <c r="C11" s="197" t="s">
        <v>86</v>
      </c>
      <c r="D11" s="172">
        <v>60700000</v>
      </c>
      <c r="E11" s="172">
        <v>60700000</v>
      </c>
      <c r="F11" s="172">
        <f t="shared" si="2"/>
        <v>0</v>
      </c>
      <c r="G11" s="172">
        <v>17249825</v>
      </c>
      <c r="H11" s="172">
        <v>6522773.6299999999</v>
      </c>
      <c r="I11" s="172"/>
      <c r="J11" s="172"/>
      <c r="K11" s="172">
        <f t="shared" si="3"/>
        <v>0</v>
      </c>
      <c r="L11" s="172">
        <f t="shared" si="4"/>
        <v>6522773.6299999999</v>
      </c>
      <c r="M11" s="172">
        <f t="shared" si="5"/>
        <v>10727051.370000001</v>
      </c>
      <c r="N11" s="172"/>
      <c r="O11" s="172">
        <f t="shared" si="0"/>
        <v>43450175</v>
      </c>
      <c r="P11" s="172">
        <f t="shared" si="6"/>
        <v>10727051.370000001</v>
      </c>
      <c r="Q11" s="172"/>
      <c r="R11" s="172"/>
      <c r="S11" s="172">
        <f t="shared" si="7"/>
        <v>0</v>
      </c>
      <c r="T11" s="172">
        <f t="shared" si="8"/>
        <v>0</v>
      </c>
      <c r="U11" s="172">
        <f t="shared" si="1"/>
        <v>0</v>
      </c>
      <c r="V11" s="172">
        <f t="shared" si="9"/>
        <v>0</v>
      </c>
      <c r="W11" s="172"/>
      <c r="X11" s="172"/>
      <c r="Y11" s="172"/>
      <c r="Z11" s="197"/>
      <c r="AA11" s="761" t="s">
        <v>651</v>
      </c>
      <c r="AB11" s="197">
        <v>930000</v>
      </c>
      <c r="AC11" s="189"/>
      <c r="AD11" s="189"/>
      <c r="AE11" s="372"/>
    </row>
    <row r="12" spans="1:31" s="196" customFormat="1" ht="55.2">
      <c r="A12" s="197">
        <f t="shared" si="10"/>
        <v>7</v>
      </c>
      <c r="B12" s="197">
        <v>1369</v>
      </c>
      <c r="C12" s="197" t="s">
        <v>87</v>
      </c>
      <c r="D12" s="172">
        <f>1100700+2899300</f>
        <v>4000000</v>
      </c>
      <c r="E12" s="172">
        <v>4000000</v>
      </c>
      <c r="F12" s="172">
        <f t="shared" si="2"/>
        <v>0</v>
      </c>
      <c r="G12" s="172">
        <v>1670700</v>
      </c>
      <c r="H12" s="172">
        <v>1338612.1299999999</v>
      </c>
      <c r="I12" s="172"/>
      <c r="J12" s="172"/>
      <c r="K12" s="172">
        <f t="shared" si="3"/>
        <v>0</v>
      </c>
      <c r="L12" s="172">
        <f t="shared" si="4"/>
        <v>1338612.1299999999</v>
      </c>
      <c r="M12" s="172">
        <f t="shared" si="5"/>
        <v>332087.87000000011</v>
      </c>
      <c r="N12" s="172">
        <v>2329300</v>
      </c>
      <c r="O12" s="172">
        <f t="shared" si="0"/>
        <v>0</v>
      </c>
      <c r="P12" s="172">
        <f t="shared" si="6"/>
        <v>332087.87000000011</v>
      </c>
      <c r="Q12" s="172"/>
      <c r="R12" s="172"/>
      <c r="S12" s="172">
        <f t="shared" si="7"/>
        <v>0</v>
      </c>
      <c r="T12" s="172">
        <f t="shared" si="8"/>
        <v>0</v>
      </c>
      <c r="U12" s="172">
        <f t="shared" si="1"/>
        <v>2329300</v>
      </c>
      <c r="V12" s="172">
        <f t="shared" si="9"/>
        <v>2329300</v>
      </c>
      <c r="W12" s="172"/>
      <c r="X12" s="172"/>
      <c r="Y12" s="172"/>
      <c r="Z12" s="197"/>
      <c r="AA12" s="760" t="s">
        <v>580</v>
      </c>
      <c r="AB12" s="197">
        <v>930000</v>
      </c>
      <c r="AC12" s="189"/>
      <c r="AD12" s="189"/>
      <c r="AE12" s="372"/>
    </row>
    <row r="13" spans="1:31" s="196" customFormat="1" ht="41.4">
      <c r="A13" s="197">
        <f t="shared" si="10"/>
        <v>8</v>
      </c>
      <c r="B13" s="197">
        <v>1704</v>
      </c>
      <c r="C13" s="197" t="s">
        <v>88</v>
      </c>
      <c r="D13" s="172">
        <v>5784000</v>
      </c>
      <c r="E13" s="172">
        <v>5784000</v>
      </c>
      <c r="F13" s="172">
        <f t="shared" si="2"/>
        <v>0</v>
      </c>
      <c r="G13" s="172">
        <v>40000</v>
      </c>
      <c r="H13" s="172">
        <v>37960.730000000003</v>
      </c>
      <c r="I13" s="172"/>
      <c r="J13" s="172"/>
      <c r="K13" s="172">
        <f t="shared" si="3"/>
        <v>0</v>
      </c>
      <c r="L13" s="172">
        <f t="shared" si="4"/>
        <v>37960.730000000003</v>
      </c>
      <c r="M13" s="172">
        <f t="shared" si="5"/>
        <v>2039.2699999999968</v>
      </c>
      <c r="N13" s="172">
        <v>1540000</v>
      </c>
      <c r="O13" s="172">
        <f t="shared" si="0"/>
        <v>4204000</v>
      </c>
      <c r="P13" s="172">
        <f t="shared" si="6"/>
        <v>2039.2699999999968</v>
      </c>
      <c r="Q13" s="172"/>
      <c r="R13" s="172"/>
      <c r="S13" s="172">
        <f t="shared" si="7"/>
        <v>0</v>
      </c>
      <c r="T13" s="172">
        <f t="shared" si="8"/>
        <v>0</v>
      </c>
      <c r="U13" s="172">
        <f t="shared" si="1"/>
        <v>1540000</v>
      </c>
      <c r="V13" s="172">
        <f t="shared" si="9"/>
        <v>1540000</v>
      </c>
      <c r="W13" s="172"/>
      <c r="X13" s="172"/>
      <c r="Y13" s="172"/>
      <c r="Z13" s="197"/>
      <c r="AA13" s="762" t="s">
        <v>581</v>
      </c>
      <c r="AB13" s="197">
        <v>930000</v>
      </c>
      <c r="AC13" s="189"/>
      <c r="AD13" s="189"/>
      <c r="AE13" s="372"/>
    </row>
    <row r="14" spans="1:31" s="196" customFormat="1" ht="37.200000000000003" customHeight="1">
      <c r="A14" s="197">
        <f t="shared" si="10"/>
        <v>9</v>
      </c>
      <c r="B14" s="197">
        <v>1791</v>
      </c>
      <c r="C14" s="197" t="s">
        <v>89</v>
      </c>
      <c r="D14" s="172">
        <v>570000</v>
      </c>
      <c r="E14" s="172">
        <v>570000</v>
      </c>
      <c r="F14" s="172">
        <f t="shared" si="2"/>
        <v>0</v>
      </c>
      <c r="G14" s="172">
        <v>500000</v>
      </c>
      <c r="H14" s="172">
        <v>404150</v>
      </c>
      <c r="I14" s="172"/>
      <c r="J14" s="172"/>
      <c r="K14" s="172">
        <f t="shared" si="3"/>
        <v>0</v>
      </c>
      <c r="L14" s="172">
        <f t="shared" si="4"/>
        <v>404150</v>
      </c>
      <c r="M14" s="172">
        <f t="shared" si="5"/>
        <v>95850</v>
      </c>
      <c r="N14" s="172"/>
      <c r="O14" s="172">
        <f t="shared" si="0"/>
        <v>70000</v>
      </c>
      <c r="P14" s="172">
        <f t="shared" si="6"/>
        <v>95850</v>
      </c>
      <c r="Q14" s="172"/>
      <c r="R14" s="172"/>
      <c r="S14" s="172">
        <f t="shared" si="7"/>
        <v>0</v>
      </c>
      <c r="T14" s="172">
        <f t="shared" si="8"/>
        <v>0</v>
      </c>
      <c r="U14" s="172">
        <f t="shared" si="1"/>
        <v>0</v>
      </c>
      <c r="V14" s="172">
        <f t="shared" si="9"/>
        <v>0</v>
      </c>
      <c r="W14" s="172"/>
      <c r="X14" s="172"/>
      <c r="Y14" s="172"/>
      <c r="Z14" s="197"/>
      <c r="AA14" s="761" t="s">
        <v>1239</v>
      </c>
      <c r="AB14" s="197">
        <v>930000</v>
      </c>
      <c r="AC14" s="189"/>
      <c r="AD14" s="189"/>
      <c r="AE14" s="372"/>
    </row>
    <row r="15" spans="1:31" s="196" customFormat="1" ht="30" customHeight="1">
      <c r="A15" s="197">
        <f t="shared" si="10"/>
        <v>10</v>
      </c>
      <c r="B15" s="197">
        <v>1801</v>
      </c>
      <c r="C15" s="197" t="s">
        <v>144</v>
      </c>
      <c r="D15" s="172">
        <v>36000000</v>
      </c>
      <c r="E15" s="172">
        <v>36000000</v>
      </c>
      <c r="F15" s="172">
        <f t="shared" si="2"/>
        <v>0</v>
      </c>
      <c r="G15" s="172">
        <v>36000000</v>
      </c>
      <c r="H15" s="172">
        <v>30393685.890000001</v>
      </c>
      <c r="I15" s="172"/>
      <c r="J15" s="172"/>
      <c r="K15" s="172">
        <f t="shared" si="3"/>
        <v>0</v>
      </c>
      <c r="L15" s="172">
        <f t="shared" si="4"/>
        <v>30393685.890000001</v>
      </c>
      <c r="M15" s="172">
        <f t="shared" si="5"/>
        <v>5606314.1099999994</v>
      </c>
      <c r="N15" s="172"/>
      <c r="O15" s="172">
        <f t="shared" si="0"/>
        <v>0</v>
      </c>
      <c r="P15" s="172">
        <f t="shared" si="6"/>
        <v>5606314.1099999994</v>
      </c>
      <c r="Q15" s="172"/>
      <c r="R15" s="172"/>
      <c r="S15" s="172">
        <f t="shared" si="7"/>
        <v>0</v>
      </c>
      <c r="T15" s="172">
        <f t="shared" si="8"/>
        <v>0</v>
      </c>
      <c r="U15" s="172">
        <f t="shared" si="1"/>
        <v>0</v>
      </c>
      <c r="V15" s="172">
        <f t="shared" si="9"/>
        <v>0</v>
      </c>
      <c r="W15" s="172"/>
      <c r="X15" s="172"/>
      <c r="Y15" s="172"/>
      <c r="Z15" s="197"/>
      <c r="AA15" s="761" t="s">
        <v>653</v>
      </c>
      <c r="AB15" s="197">
        <v>930000</v>
      </c>
      <c r="AC15" s="189"/>
      <c r="AD15" s="189"/>
      <c r="AE15" s="372"/>
    </row>
    <row r="16" spans="1:31" s="196" customFormat="1" ht="30" customHeight="1">
      <c r="A16" s="197">
        <f t="shared" si="10"/>
        <v>11</v>
      </c>
      <c r="B16" s="197">
        <v>1983</v>
      </c>
      <c r="C16" s="197" t="s">
        <v>200</v>
      </c>
      <c r="D16" s="172">
        <v>800000</v>
      </c>
      <c r="E16" s="172">
        <v>800000</v>
      </c>
      <c r="F16" s="172">
        <f t="shared" si="2"/>
        <v>0</v>
      </c>
      <c r="G16" s="172">
        <v>100000</v>
      </c>
      <c r="H16" s="172">
        <v>3074</v>
      </c>
      <c r="I16" s="172"/>
      <c r="J16" s="172"/>
      <c r="K16" s="172">
        <f t="shared" si="3"/>
        <v>0</v>
      </c>
      <c r="L16" s="172">
        <f t="shared" si="4"/>
        <v>3074</v>
      </c>
      <c r="M16" s="172">
        <f t="shared" si="5"/>
        <v>96926</v>
      </c>
      <c r="N16" s="172"/>
      <c r="O16" s="172">
        <f t="shared" si="0"/>
        <v>700000</v>
      </c>
      <c r="P16" s="172">
        <f t="shared" si="6"/>
        <v>96926</v>
      </c>
      <c r="Q16" s="172"/>
      <c r="R16" s="172"/>
      <c r="S16" s="172">
        <f t="shared" si="7"/>
        <v>0</v>
      </c>
      <c r="T16" s="172">
        <f t="shared" si="8"/>
        <v>0</v>
      </c>
      <c r="U16" s="172">
        <f t="shared" si="1"/>
        <v>0</v>
      </c>
      <c r="V16" s="172">
        <f t="shared" si="9"/>
        <v>0</v>
      </c>
      <c r="W16" s="172"/>
      <c r="X16" s="172"/>
      <c r="Y16" s="172"/>
      <c r="Z16" s="197"/>
      <c r="AA16" s="762" t="s">
        <v>397</v>
      </c>
      <c r="AB16" s="197">
        <v>930000</v>
      </c>
      <c r="AC16" s="189"/>
      <c r="AD16" s="189"/>
      <c r="AE16" s="372"/>
    </row>
    <row r="17" spans="1:31" s="196" customFormat="1" ht="30" customHeight="1">
      <c r="A17" s="197">
        <f t="shared" si="10"/>
        <v>12</v>
      </c>
      <c r="B17" s="197">
        <v>1985</v>
      </c>
      <c r="C17" s="197" t="s">
        <v>201</v>
      </c>
      <c r="D17" s="172">
        <v>600000</v>
      </c>
      <c r="E17" s="172">
        <v>600000</v>
      </c>
      <c r="F17" s="172">
        <f t="shared" si="2"/>
        <v>0</v>
      </c>
      <c r="G17" s="172">
        <v>100000</v>
      </c>
      <c r="H17" s="172">
        <v>0</v>
      </c>
      <c r="I17" s="172"/>
      <c r="J17" s="172"/>
      <c r="K17" s="172">
        <f t="shared" si="3"/>
        <v>0</v>
      </c>
      <c r="L17" s="172">
        <f t="shared" si="4"/>
        <v>0</v>
      </c>
      <c r="M17" s="172">
        <f t="shared" si="5"/>
        <v>100000</v>
      </c>
      <c r="N17" s="172"/>
      <c r="O17" s="172">
        <f t="shared" si="0"/>
        <v>500000</v>
      </c>
      <c r="P17" s="172">
        <f t="shared" si="6"/>
        <v>100000</v>
      </c>
      <c r="Q17" s="172"/>
      <c r="R17" s="172"/>
      <c r="S17" s="172">
        <f t="shared" si="7"/>
        <v>0</v>
      </c>
      <c r="T17" s="172">
        <f t="shared" si="8"/>
        <v>0</v>
      </c>
      <c r="U17" s="172">
        <f t="shared" si="1"/>
        <v>0</v>
      </c>
      <c r="V17" s="172">
        <f t="shared" si="9"/>
        <v>0</v>
      </c>
      <c r="W17" s="172"/>
      <c r="X17" s="172"/>
      <c r="Y17" s="172"/>
      <c r="Z17" s="197"/>
      <c r="AA17" s="762" t="s">
        <v>399</v>
      </c>
      <c r="AB17" s="197">
        <v>930000</v>
      </c>
      <c r="AC17" s="189"/>
      <c r="AD17" s="189"/>
      <c r="AE17" s="372"/>
    </row>
    <row r="18" spans="1:31" s="196" customFormat="1" ht="30" customHeight="1">
      <c r="A18" s="197">
        <f t="shared" si="10"/>
        <v>13</v>
      </c>
      <c r="B18" s="197">
        <v>1993</v>
      </c>
      <c r="C18" s="197" t="s">
        <v>226</v>
      </c>
      <c r="D18" s="172">
        <v>6000000</v>
      </c>
      <c r="E18" s="172">
        <v>6000000</v>
      </c>
      <c r="F18" s="172">
        <f t="shared" si="2"/>
        <v>0</v>
      </c>
      <c r="G18" s="172">
        <v>2050000</v>
      </c>
      <c r="H18" s="172">
        <v>1104023</v>
      </c>
      <c r="I18" s="172"/>
      <c r="J18" s="172"/>
      <c r="K18" s="172">
        <f t="shared" si="3"/>
        <v>0</v>
      </c>
      <c r="L18" s="172">
        <f t="shared" si="4"/>
        <v>1104023</v>
      </c>
      <c r="M18" s="172">
        <f t="shared" si="5"/>
        <v>945977</v>
      </c>
      <c r="N18" s="172">
        <v>3950000</v>
      </c>
      <c r="O18" s="172">
        <f t="shared" si="0"/>
        <v>0</v>
      </c>
      <c r="P18" s="172">
        <f t="shared" si="6"/>
        <v>945977</v>
      </c>
      <c r="Q18" s="172"/>
      <c r="R18" s="172"/>
      <c r="S18" s="172">
        <f t="shared" si="7"/>
        <v>0</v>
      </c>
      <c r="T18" s="172">
        <f t="shared" si="8"/>
        <v>0</v>
      </c>
      <c r="U18" s="172">
        <f t="shared" si="1"/>
        <v>3950000</v>
      </c>
      <c r="V18" s="172">
        <f t="shared" si="9"/>
        <v>3950000</v>
      </c>
      <c r="W18" s="172"/>
      <c r="X18" s="172"/>
      <c r="Y18" s="172"/>
      <c r="Z18" s="197"/>
      <c r="AA18" s="761" t="s">
        <v>582</v>
      </c>
      <c r="AB18" s="197">
        <v>930000</v>
      </c>
      <c r="AC18" s="189"/>
      <c r="AD18" s="189"/>
      <c r="AE18" s="372"/>
    </row>
    <row r="19" spans="1:31" s="196" customFormat="1" ht="30" customHeight="1">
      <c r="A19" s="197">
        <f t="shared" si="10"/>
        <v>14</v>
      </c>
      <c r="B19" s="197">
        <v>2055</v>
      </c>
      <c r="C19" s="197" t="s">
        <v>568</v>
      </c>
      <c r="D19" s="172">
        <v>220000</v>
      </c>
      <c r="E19" s="172">
        <v>220000</v>
      </c>
      <c r="F19" s="172">
        <f t="shared" si="2"/>
        <v>0</v>
      </c>
      <c r="G19" s="172">
        <v>200000</v>
      </c>
      <c r="H19" s="172">
        <v>61024</v>
      </c>
      <c r="I19" s="172"/>
      <c r="J19" s="172"/>
      <c r="K19" s="172">
        <f t="shared" si="3"/>
        <v>0</v>
      </c>
      <c r="L19" s="172">
        <f t="shared" si="4"/>
        <v>61024</v>
      </c>
      <c r="M19" s="172">
        <f t="shared" si="5"/>
        <v>138976</v>
      </c>
      <c r="N19" s="172"/>
      <c r="O19" s="172">
        <f t="shared" si="0"/>
        <v>20000</v>
      </c>
      <c r="P19" s="172">
        <f t="shared" si="6"/>
        <v>138976</v>
      </c>
      <c r="Q19" s="172"/>
      <c r="R19" s="172"/>
      <c r="S19" s="172">
        <f t="shared" si="7"/>
        <v>0</v>
      </c>
      <c r="T19" s="172">
        <f t="shared" si="8"/>
        <v>0</v>
      </c>
      <c r="U19" s="172">
        <f t="shared" si="1"/>
        <v>0</v>
      </c>
      <c r="V19" s="172">
        <f t="shared" si="9"/>
        <v>0</v>
      </c>
      <c r="W19" s="172"/>
      <c r="X19" s="172"/>
      <c r="Y19" s="172"/>
      <c r="Z19" s="197"/>
      <c r="AA19" s="761" t="s">
        <v>654</v>
      </c>
      <c r="AB19" s="197">
        <v>930000</v>
      </c>
      <c r="AC19" s="189"/>
      <c r="AD19" s="189"/>
      <c r="AE19" s="372"/>
    </row>
    <row r="20" spans="1:31" s="196" customFormat="1" ht="27.6">
      <c r="A20" s="197">
        <f t="shared" si="10"/>
        <v>15</v>
      </c>
      <c r="B20" s="197">
        <v>2056</v>
      </c>
      <c r="C20" s="197" t="s">
        <v>569</v>
      </c>
      <c r="D20" s="172">
        <v>1400000</v>
      </c>
      <c r="E20" s="172">
        <v>1400000</v>
      </c>
      <c r="F20" s="172">
        <f t="shared" si="2"/>
        <v>0</v>
      </c>
      <c r="G20" s="172">
        <v>580000</v>
      </c>
      <c r="H20" s="172">
        <v>334761</v>
      </c>
      <c r="I20" s="172"/>
      <c r="J20" s="172"/>
      <c r="K20" s="172">
        <f t="shared" si="3"/>
        <v>0</v>
      </c>
      <c r="L20" s="172">
        <f t="shared" si="4"/>
        <v>334761</v>
      </c>
      <c r="M20" s="172">
        <f t="shared" si="5"/>
        <v>245239</v>
      </c>
      <c r="N20" s="172">
        <v>400000</v>
      </c>
      <c r="O20" s="172">
        <f t="shared" si="0"/>
        <v>420000</v>
      </c>
      <c r="P20" s="172">
        <f t="shared" si="6"/>
        <v>245239</v>
      </c>
      <c r="Q20" s="172"/>
      <c r="R20" s="172"/>
      <c r="S20" s="172">
        <f t="shared" si="7"/>
        <v>0</v>
      </c>
      <c r="T20" s="172">
        <f t="shared" si="8"/>
        <v>0</v>
      </c>
      <c r="U20" s="172">
        <f t="shared" si="1"/>
        <v>400000</v>
      </c>
      <c r="V20" s="172">
        <f t="shared" si="9"/>
        <v>400000</v>
      </c>
      <c r="W20" s="172"/>
      <c r="X20" s="172"/>
      <c r="Y20" s="172"/>
      <c r="Z20" s="197"/>
      <c r="AA20" s="762" t="s">
        <v>400</v>
      </c>
      <c r="AB20" s="197">
        <v>930000</v>
      </c>
      <c r="AC20" s="189"/>
      <c r="AD20" s="189"/>
      <c r="AE20" s="372"/>
    </row>
    <row r="21" spans="1:31" s="196" customFormat="1" ht="30" customHeight="1">
      <c r="A21" s="197">
        <f t="shared" si="10"/>
        <v>16</v>
      </c>
      <c r="B21" s="197">
        <v>2072</v>
      </c>
      <c r="C21" s="197" t="s">
        <v>817</v>
      </c>
      <c r="D21" s="172">
        <v>100000</v>
      </c>
      <c r="E21" s="172">
        <v>100000</v>
      </c>
      <c r="F21" s="172">
        <f>D21-E21</f>
        <v>0</v>
      </c>
      <c r="G21" s="172">
        <v>100000</v>
      </c>
      <c r="H21" s="172">
        <v>21470</v>
      </c>
      <c r="I21" s="172"/>
      <c r="J21" s="172">
        <v>7195</v>
      </c>
      <c r="K21" s="172">
        <f>SUM(I21:J21)</f>
        <v>7195</v>
      </c>
      <c r="L21" s="172">
        <f>H21+K21</f>
        <v>28665</v>
      </c>
      <c r="M21" s="172">
        <f>P21+S21</f>
        <v>71335</v>
      </c>
      <c r="N21" s="172"/>
      <c r="O21" s="172">
        <f>D21-L21-M21-N21</f>
        <v>0</v>
      </c>
      <c r="P21" s="172">
        <f>G21-L21</f>
        <v>71335</v>
      </c>
      <c r="Q21" s="172"/>
      <c r="R21" s="172"/>
      <c r="S21" s="172">
        <f>SUM(Q21:R21)</f>
        <v>0</v>
      </c>
      <c r="T21" s="172">
        <f>P21-M21+S21</f>
        <v>0</v>
      </c>
      <c r="U21" s="172">
        <f>N21-T21</f>
        <v>0</v>
      </c>
      <c r="V21" s="172">
        <f>U21-W21-Y21-Z21</f>
        <v>0</v>
      </c>
      <c r="W21" s="172"/>
      <c r="X21" s="172"/>
      <c r="Y21" s="172"/>
      <c r="Z21" s="197"/>
      <c r="AA21" s="761" t="s">
        <v>655</v>
      </c>
      <c r="AB21" s="197">
        <v>930000</v>
      </c>
      <c r="AC21" s="189"/>
      <c r="AD21" s="189"/>
      <c r="AE21" s="372"/>
    </row>
    <row r="22" spans="1:31" s="196" customFormat="1" ht="30" customHeight="1">
      <c r="A22" s="197">
        <f t="shared" si="10"/>
        <v>17</v>
      </c>
      <c r="B22" s="197">
        <v>2171</v>
      </c>
      <c r="C22" s="197" t="s">
        <v>1224</v>
      </c>
      <c r="D22" s="172">
        <v>405000</v>
      </c>
      <c r="E22" s="172"/>
      <c r="F22" s="172">
        <f t="shared" si="2"/>
        <v>405000</v>
      </c>
      <c r="G22" s="172"/>
      <c r="H22" s="172"/>
      <c r="I22" s="172"/>
      <c r="J22" s="172"/>
      <c r="K22" s="172">
        <f t="shared" si="3"/>
        <v>0</v>
      </c>
      <c r="L22" s="172">
        <f t="shared" si="4"/>
        <v>0</v>
      </c>
      <c r="M22" s="172">
        <f t="shared" si="5"/>
        <v>0</v>
      </c>
      <c r="N22" s="172">
        <v>405000</v>
      </c>
      <c r="O22" s="172">
        <f t="shared" si="0"/>
        <v>0</v>
      </c>
      <c r="P22" s="172">
        <f t="shared" si="6"/>
        <v>0</v>
      </c>
      <c r="Q22" s="172"/>
      <c r="R22" s="172"/>
      <c r="S22" s="172">
        <f t="shared" si="7"/>
        <v>0</v>
      </c>
      <c r="T22" s="172">
        <f t="shared" si="8"/>
        <v>0</v>
      </c>
      <c r="U22" s="172">
        <f t="shared" si="1"/>
        <v>405000</v>
      </c>
      <c r="V22" s="172">
        <f t="shared" si="9"/>
        <v>405000</v>
      </c>
      <c r="W22" s="172"/>
      <c r="X22" s="172"/>
      <c r="Y22" s="172"/>
      <c r="Z22" s="197"/>
      <c r="AA22" s="761" t="s">
        <v>1355</v>
      </c>
      <c r="AB22" s="197">
        <v>930000</v>
      </c>
      <c r="AC22" s="189"/>
      <c r="AD22" s="189"/>
      <c r="AE22" s="372"/>
    </row>
    <row r="23" spans="1:31" s="200" customFormat="1" ht="30" customHeight="1">
      <c r="A23" s="201">
        <f>A22</f>
        <v>17</v>
      </c>
      <c r="B23" s="201"/>
      <c r="C23" s="204" t="s">
        <v>613</v>
      </c>
      <c r="D23" s="207">
        <f t="shared" ref="D23:Z23" si="11">SUM(D6:D22)</f>
        <v>162104000</v>
      </c>
      <c r="E23" s="207">
        <f t="shared" si="11"/>
        <v>161399000</v>
      </c>
      <c r="F23" s="207">
        <f t="shared" si="11"/>
        <v>705000</v>
      </c>
      <c r="G23" s="207">
        <f t="shared" si="11"/>
        <v>90422525</v>
      </c>
      <c r="H23" s="207">
        <f t="shared" si="11"/>
        <v>69642075.710000008</v>
      </c>
      <c r="I23" s="207">
        <f t="shared" si="11"/>
        <v>0</v>
      </c>
      <c r="J23" s="207">
        <f t="shared" si="11"/>
        <v>7195</v>
      </c>
      <c r="K23" s="207">
        <f t="shared" si="11"/>
        <v>7195</v>
      </c>
      <c r="L23" s="207">
        <f t="shared" si="11"/>
        <v>69649270.710000008</v>
      </c>
      <c r="M23" s="207">
        <f t="shared" si="11"/>
        <v>20823254.290000003</v>
      </c>
      <c r="N23" s="207">
        <f t="shared" si="11"/>
        <v>8924300</v>
      </c>
      <c r="O23" s="207">
        <f t="shared" si="11"/>
        <v>62707175</v>
      </c>
      <c r="P23" s="207">
        <f t="shared" si="11"/>
        <v>20773254.290000003</v>
      </c>
      <c r="Q23" s="207">
        <f t="shared" si="11"/>
        <v>50000</v>
      </c>
      <c r="R23" s="207">
        <f t="shared" si="11"/>
        <v>0</v>
      </c>
      <c r="S23" s="207">
        <f t="shared" si="11"/>
        <v>50000</v>
      </c>
      <c r="T23" s="207">
        <f t="shared" si="11"/>
        <v>0</v>
      </c>
      <c r="U23" s="207">
        <f t="shared" si="11"/>
        <v>8924300</v>
      </c>
      <c r="V23" s="207">
        <f t="shared" si="11"/>
        <v>8924300</v>
      </c>
      <c r="W23" s="207">
        <f t="shared" si="11"/>
        <v>0</v>
      </c>
      <c r="X23" s="207">
        <f t="shared" si="11"/>
        <v>0</v>
      </c>
      <c r="Y23" s="207">
        <f t="shared" si="11"/>
        <v>0</v>
      </c>
      <c r="Z23" s="207">
        <f t="shared" si="11"/>
        <v>0</v>
      </c>
      <c r="AA23" s="201"/>
      <c r="AB23" s="201"/>
      <c r="AC23" s="189"/>
      <c r="AD23" s="189"/>
      <c r="AE23" s="196"/>
    </row>
    <row r="24" spans="1:31" hidden="1">
      <c r="L24" s="193">
        <f>K23+H23</f>
        <v>69649270.710000008</v>
      </c>
      <c r="M24" s="193">
        <f>P24+S23-T23</f>
        <v>20823254.289999992</v>
      </c>
      <c r="P24" s="193">
        <f>G23-L24</f>
        <v>20773254.289999992</v>
      </c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2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4"/>
  <sheetViews>
    <sheetView showZeros="0" rightToLeft="1" zoomScaleNormal="100" workbookViewId="0">
      <pane xSplit="3" ySplit="4" topLeftCell="D16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B1" sqref="B1:B1048576"/>
    </sheetView>
  </sheetViews>
  <sheetFormatPr defaultColWidth="9.109375" defaultRowHeight="13.8"/>
  <cols>
    <col min="1" max="1" width="5.33203125" style="190" customWidth="1"/>
    <col min="2" max="2" width="5.44140625" style="801" customWidth="1"/>
    <col min="3" max="3" width="36.88671875" style="723" customWidth="1"/>
    <col min="4" max="4" width="11.6640625" style="193" customWidth="1"/>
    <col min="5" max="5" width="11.44140625" style="193" hidden="1" customWidth="1"/>
    <col min="6" max="6" width="9.88671875" style="193" hidden="1" customWidth="1"/>
    <col min="7" max="10" width="12.6640625" style="193" hidden="1" customWidth="1"/>
    <col min="11" max="11" width="11.33203125" style="193" hidden="1" customWidth="1"/>
    <col min="12" max="12" width="11" style="193" customWidth="1"/>
    <col min="13" max="13" width="10.44140625" style="193" customWidth="1"/>
    <col min="14" max="14" width="9.5546875" style="193" customWidth="1"/>
    <col min="15" max="15" width="10.6640625" style="193" customWidth="1"/>
    <col min="16" max="17" width="11.109375" style="193" hidden="1" customWidth="1"/>
    <col min="18" max="19" width="12" style="193" hidden="1" customWidth="1"/>
    <col min="20" max="20" width="10.33203125" style="193" customWidth="1"/>
    <col min="21" max="21" width="9.88671875" style="189" customWidth="1"/>
    <col min="22" max="22" width="8.88671875" style="189" customWidth="1"/>
    <col min="23" max="23" width="11.88671875" style="189" hidden="1" customWidth="1"/>
    <col min="24" max="25" width="10.109375" style="189" hidden="1" customWidth="1"/>
    <col min="26" max="26" width="9.6640625" style="189" hidden="1" customWidth="1"/>
    <col min="27" max="27" width="32.6640625" style="723" customWidth="1"/>
    <col min="28" max="28" width="7.88671875" style="189" customWidth="1"/>
    <col min="29" max="29" width="19.44140625" style="189" customWidth="1"/>
    <col min="30" max="30" width="13.109375" style="189" customWidth="1"/>
    <col min="31" max="16384" width="9.109375" style="189"/>
  </cols>
  <sheetData>
    <row r="1" spans="1:31" s="217" customFormat="1" ht="18">
      <c r="A1" s="248"/>
      <c r="B1" s="798"/>
      <c r="C1" s="797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AA1" s="722"/>
      <c r="AC1" s="189"/>
      <c r="AD1" s="189"/>
    </row>
    <row r="2" spans="1:31" ht="18">
      <c r="A2" s="248" t="s">
        <v>584</v>
      </c>
      <c r="B2" s="798"/>
      <c r="C2" s="797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</row>
    <row r="4" spans="1:31" s="218" customFormat="1" ht="86.25" customHeight="1">
      <c r="A4" s="187" t="s">
        <v>0</v>
      </c>
      <c r="B4" s="799" t="s">
        <v>1</v>
      </c>
      <c r="C4" s="187" t="s">
        <v>2</v>
      </c>
      <c r="D4" s="187" t="s">
        <v>3</v>
      </c>
      <c r="E4" s="187" t="s">
        <v>4</v>
      </c>
      <c r="F4" s="187" t="s">
        <v>5</v>
      </c>
      <c r="G4" s="187" t="s">
        <v>6</v>
      </c>
      <c r="H4" s="187" t="s">
        <v>7</v>
      </c>
      <c r="I4" s="187" t="s">
        <v>9</v>
      </c>
      <c r="J4" s="187" t="s">
        <v>215</v>
      </c>
      <c r="K4" s="187" t="s">
        <v>10</v>
      </c>
      <c r="L4" s="187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187" t="s">
        <v>13</v>
      </c>
      <c r="W4" s="187" t="s">
        <v>14</v>
      </c>
      <c r="X4" s="187" t="s">
        <v>15</v>
      </c>
      <c r="Y4" s="187" t="s">
        <v>354</v>
      </c>
      <c r="Z4" s="187" t="s">
        <v>105</v>
      </c>
      <c r="AA4" s="669" t="s">
        <v>410</v>
      </c>
      <c r="AB4" s="187" t="s">
        <v>16</v>
      </c>
      <c r="AC4" s="189"/>
      <c r="AD4" s="189"/>
    </row>
    <row r="5" spans="1:31" s="196" customFormat="1" ht="18.75" customHeight="1">
      <c r="A5" s="197"/>
      <c r="B5" s="724"/>
      <c r="C5" s="404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>
        <f t="shared" ref="O5" si="0">D5-L5-M5-N5</f>
        <v>0</v>
      </c>
      <c r="P5" s="172"/>
      <c r="Q5" s="172"/>
      <c r="R5" s="172"/>
      <c r="S5" s="172"/>
      <c r="T5" s="172">
        <f>P5-M5+R5</f>
        <v>0</v>
      </c>
      <c r="U5" s="172">
        <f t="shared" ref="U5" si="1">N5-T5</f>
        <v>0</v>
      </c>
      <c r="V5" s="172"/>
      <c r="W5" s="172"/>
      <c r="X5" s="172"/>
      <c r="Y5" s="172"/>
      <c r="Z5" s="197"/>
      <c r="AA5" s="404"/>
      <c r="AB5" s="197"/>
      <c r="AC5" s="189"/>
      <c r="AD5" s="189"/>
    </row>
    <row r="6" spans="1:31" s="196" customFormat="1" ht="27.6">
      <c r="A6" s="197">
        <f>1+A5</f>
        <v>1</v>
      </c>
      <c r="B6" s="724">
        <f>'תקציב אגף נכסים וביטוח 2020 '!B6</f>
        <v>470</v>
      </c>
      <c r="C6" s="405" t="str">
        <f>'תקציב אגף נכסים וביטוח 2020 '!C6</f>
        <v>פצוי והפקעה ב-6525/6 הר' 1704</v>
      </c>
      <c r="D6" s="172">
        <f>'תקציב אגף נכסים וביטוח 2020 '!D6</f>
        <v>2130000</v>
      </c>
      <c r="E6" s="172">
        <f>'תקציב אגף נכסים וביטוח 2020 '!E6</f>
        <v>1830000</v>
      </c>
      <c r="F6" s="172">
        <f>'תקציב אגף נכסים וביטוח 2020 '!F6</f>
        <v>300000</v>
      </c>
      <c r="G6" s="172">
        <f>'תקציב אגף נכסים וביטוח 2020 '!G6</f>
        <v>1830000</v>
      </c>
      <c r="H6" s="172">
        <f>'תקציב אגף נכסים וביטוח 2020 '!H6</f>
        <v>1737007.43</v>
      </c>
      <c r="I6" s="172">
        <f>'תקציב אגף נכסים וביטוח 2020 '!I6</f>
        <v>0</v>
      </c>
      <c r="J6" s="172">
        <f>'תקציב אגף נכסים וביטוח 2020 '!J6</f>
        <v>0</v>
      </c>
      <c r="K6" s="172">
        <f>'תקציב אגף נכסים וביטוח 2020 '!K6</f>
        <v>0</v>
      </c>
      <c r="L6" s="172">
        <f>'תקציב אגף נכסים וביטוח 2020 '!L6</f>
        <v>1737007.43</v>
      </c>
      <c r="M6" s="172">
        <f>'תקציב אגף נכסים וביטוח 2020 '!M6</f>
        <v>92992.570000000065</v>
      </c>
      <c r="N6" s="172">
        <f>'תקציב אגף נכסים וביטוח 2020 '!N6</f>
        <v>300000</v>
      </c>
      <c r="O6" s="172">
        <f>'תקציב אגף נכסים וביטוח 2020 '!O6</f>
        <v>0</v>
      </c>
      <c r="P6" s="172">
        <f>'תקציב אגף נכסים וביטוח 2020 '!P6</f>
        <v>92992.570000000065</v>
      </c>
      <c r="Q6" s="172">
        <f>'תקציב אגף נכסים וביטוח 2020 '!Q6</f>
        <v>0</v>
      </c>
      <c r="R6" s="172">
        <f>'תקציב אגף נכסים וביטוח 2020 '!R6</f>
        <v>0</v>
      </c>
      <c r="S6" s="172">
        <f>'תקציב אגף נכסים וביטוח 2020 '!S6</f>
        <v>0</v>
      </c>
      <c r="T6" s="172">
        <f>'תקציב אגף נכסים וביטוח 2020 '!T6</f>
        <v>0</v>
      </c>
      <c r="U6" s="172">
        <f>'תקציב אגף נכסים וביטוח 2020 '!U6</f>
        <v>300000</v>
      </c>
      <c r="V6" s="172">
        <f>'תקציב אגף נכסים וביטוח 2020 '!V6</f>
        <v>300000</v>
      </c>
      <c r="W6" s="172">
        <f>'תקציב אגף נכסים וביטוח 2020 '!W6</f>
        <v>0</v>
      </c>
      <c r="X6" s="172">
        <f>'תקציב אגף נכסים וביטוח 2020 '!X6</f>
        <v>0</v>
      </c>
      <c r="Y6" s="172">
        <f>'תקציב אגף נכסים וביטוח 2020 '!Y6</f>
        <v>0</v>
      </c>
      <c r="Z6" s="172">
        <f>'תקציב אגף נכסים וביטוח 2020 '!Z6</f>
        <v>0</v>
      </c>
      <c r="AA6" s="405" t="str">
        <f>'תקציב אגף נכסים וביטוח 2020 '!AA6</f>
        <v>פיצויי הפקעה בגוש 6525/6 הר/ 1704. טרם שולמו הפיצויים ליתרת בעלי המקרקעין.</v>
      </c>
      <c r="AB6" s="724">
        <f>'תקציב אגף נכסים וביטוח 2020 '!AB6</f>
        <v>935000</v>
      </c>
      <c r="AC6" s="189"/>
      <c r="AD6" s="189"/>
      <c r="AE6" s="372"/>
    </row>
    <row r="7" spans="1:31" s="196" customFormat="1" ht="30" customHeight="1">
      <c r="A7" s="197">
        <f t="shared" ref="A7:A22" si="2">1+A6</f>
        <v>2</v>
      </c>
      <c r="B7" s="724">
        <f>'תקציב אגף נכסים וביטוח 2020 '!B7</f>
        <v>649</v>
      </c>
      <c r="C7" s="405" t="str">
        <f>'תקציב אגף נכסים וביטוח 2020 '!C7</f>
        <v>רכישת חנויות במרכז דגניה</v>
      </c>
      <c r="D7" s="172">
        <f>'תקציב אגף נכסים וביטוח 2020 '!D7</f>
        <v>70000</v>
      </c>
      <c r="E7" s="172">
        <f>'תקציב אגף נכסים וביטוח 2020 '!E7</f>
        <v>70000</v>
      </c>
      <c r="F7" s="172">
        <f>'תקציב אגף נכסים וביטוח 2020 '!F7</f>
        <v>0</v>
      </c>
      <c r="G7" s="172">
        <f>'תקציב אגף נכסים וביטוח 2020 '!G7</f>
        <v>70000</v>
      </c>
      <c r="H7" s="172">
        <f>'תקציב אגף נכסים וביטוח 2020 '!H7</f>
        <v>43111.48</v>
      </c>
      <c r="I7" s="172">
        <f>'תקציב אגף נכסים וביטוח 2020 '!I7</f>
        <v>0</v>
      </c>
      <c r="J7" s="172">
        <f>'תקציב אגף נכסים וביטוח 2020 '!J7</f>
        <v>0</v>
      </c>
      <c r="K7" s="172">
        <f>'תקציב אגף נכסים וביטוח 2020 '!K7</f>
        <v>0</v>
      </c>
      <c r="L7" s="172">
        <f>'תקציב אגף נכסים וביטוח 2020 '!L7</f>
        <v>43111.48</v>
      </c>
      <c r="M7" s="172">
        <f>'תקציב אגף נכסים וביטוח 2020 '!M7</f>
        <v>26888.519999999997</v>
      </c>
      <c r="N7" s="172">
        <f>'תקציב אגף נכסים וביטוח 2020 '!N7</f>
        <v>0</v>
      </c>
      <c r="O7" s="172">
        <f>'תקציב אגף נכסים וביטוח 2020 '!O7</f>
        <v>0</v>
      </c>
      <c r="P7" s="172">
        <f>'תקציב אגף נכסים וביטוח 2020 '!P7</f>
        <v>26888.519999999997</v>
      </c>
      <c r="Q7" s="172">
        <f>'תקציב אגף נכסים וביטוח 2020 '!Q7</f>
        <v>0</v>
      </c>
      <c r="R7" s="172">
        <f>'תקציב אגף נכסים וביטוח 2020 '!R7</f>
        <v>0</v>
      </c>
      <c r="S7" s="172">
        <f>'תקציב אגף נכסים וביטוח 2020 '!S7</f>
        <v>0</v>
      </c>
      <c r="T7" s="172">
        <f>'תקציב אגף נכסים וביטוח 2020 '!T7</f>
        <v>0</v>
      </c>
      <c r="U7" s="172">
        <f>'תקציב אגף נכסים וביטוח 2020 '!U7</f>
        <v>0</v>
      </c>
      <c r="V7" s="172">
        <f>'תקציב אגף נכסים וביטוח 2020 '!V7</f>
        <v>0</v>
      </c>
      <c r="W7" s="172">
        <f>'תקציב אגף נכסים וביטוח 2020 '!W7</f>
        <v>0</v>
      </c>
      <c r="X7" s="172">
        <f>'תקציב אגף נכסים וביטוח 2020 '!X7</f>
        <v>0</v>
      </c>
      <c r="Y7" s="172">
        <f>'תקציב אגף נכסים וביטוח 2020 '!Y7</f>
        <v>0</v>
      </c>
      <c r="Z7" s="172">
        <f>'תקציב אגף נכסים וביטוח 2020 '!Z7</f>
        <v>0</v>
      </c>
      <c r="AA7" s="405" t="str">
        <f>'תקציב אגף נכסים וביטוח 2020 '!AA7</f>
        <v>טרם הסתיים הליך רישום החנויות ע"ש העיריה בפנקסי הרישום.</v>
      </c>
      <c r="AB7" s="724">
        <f>'תקציב אגף נכסים וביטוח 2020 '!AB7</f>
        <v>930000</v>
      </c>
      <c r="AC7" s="189"/>
      <c r="AD7" s="189"/>
      <c r="AE7" s="372"/>
    </row>
    <row r="8" spans="1:31" s="196" customFormat="1" ht="30" customHeight="1">
      <c r="A8" s="197">
        <f t="shared" si="2"/>
        <v>3</v>
      </c>
      <c r="B8" s="724">
        <f>'תקציב אגף נכסים וביטוח 2020 '!B8</f>
        <v>1066</v>
      </c>
      <c r="C8" s="405" t="str">
        <f>'תקציב אגף נכסים וביטוח 2020 '!C8</f>
        <v>בית הרמלין-חלקה 92-גוש 6592</v>
      </c>
      <c r="D8" s="172">
        <f>'תקציב אגף נכסים וביטוח 2020 '!D8</f>
        <v>75000</v>
      </c>
      <c r="E8" s="172">
        <f>'תקציב אגף נכסים וביטוח 2020 '!E8</f>
        <v>75000</v>
      </c>
      <c r="F8" s="172">
        <f>'תקציב אגף נכסים וביטוח 2020 '!F8</f>
        <v>0</v>
      </c>
      <c r="G8" s="172">
        <f>'תקציב אגף נכסים וביטוח 2020 '!G8</f>
        <v>75000</v>
      </c>
      <c r="H8" s="172">
        <f>'תקציב אגף נכסים וביטוח 2020 '!H8</f>
        <v>40172</v>
      </c>
      <c r="I8" s="172">
        <f>'תקציב אגף נכסים וביטוח 2020 '!I8</f>
        <v>0</v>
      </c>
      <c r="J8" s="172">
        <f>'תקציב אגף נכסים וביטוח 2020 '!J8</f>
        <v>0</v>
      </c>
      <c r="K8" s="172">
        <f>'תקציב אגף נכסים וביטוח 2020 '!K8</f>
        <v>0</v>
      </c>
      <c r="L8" s="172">
        <f>'תקציב אגף נכסים וביטוח 2020 '!L8</f>
        <v>40172</v>
      </c>
      <c r="M8" s="172">
        <f>'תקציב אגף נכסים וביטוח 2020 '!M8</f>
        <v>34828</v>
      </c>
      <c r="N8" s="172">
        <f>'תקציב אגף נכסים וביטוח 2020 '!N8</f>
        <v>0</v>
      </c>
      <c r="O8" s="172">
        <f>'תקציב אגף נכסים וביטוח 2020 '!O8</f>
        <v>0</v>
      </c>
      <c r="P8" s="172">
        <f>'תקציב אגף נכסים וביטוח 2020 '!P8</f>
        <v>34828</v>
      </c>
      <c r="Q8" s="172">
        <f>'תקציב אגף נכסים וביטוח 2020 '!Q8</f>
        <v>0</v>
      </c>
      <c r="R8" s="172">
        <f>'תקציב אגף נכסים וביטוח 2020 '!R8</f>
        <v>0</v>
      </c>
      <c r="S8" s="172">
        <f>'תקציב אגף נכסים וביטוח 2020 '!S8</f>
        <v>0</v>
      </c>
      <c r="T8" s="172">
        <f>'תקציב אגף נכסים וביטוח 2020 '!T8</f>
        <v>0</v>
      </c>
      <c r="U8" s="172">
        <f>'תקציב אגף נכסים וביטוח 2020 '!U8</f>
        <v>0</v>
      </c>
      <c r="V8" s="172">
        <f>'תקציב אגף נכסים וביטוח 2020 '!V8</f>
        <v>0</v>
      </c>
      <c r="W8" s="172">
        <f>'תקציב אגף נכסים וביטוח 2020 '!W8</f>
        <v>0</v>
      </c>
      <c r="X8" s="172">
        <f>'תקציב אגף נכסים וביטוח 2020 '!X8</f>
        <v>0</v>
      </c>
      <c r="Y8" s="172">
        <f>'תקציב אגף נכסים וביטוח 2020 '!Y8</f>
        <v>0</v>
      </c>
      <c r="Z8" s="172">
        <f>'תקציב אגף נכסים וביטוח 2020 '!Z8</f>
        <v>0</v>
      </c>
      <c r="AA8" s="405" t="str">
        <f>'תקציב אגף נכסים וביטוח 2020 '!AA8</f>
        <v>טרם הסתיים הליך רישום הנכס ע"ש העיריה בפנקסי הרישום.</v>
      </c>
      <c r="AB8" s="724">
        <f>'תקציב אגף נכסים וביטוח 2020 '!AB8</f>
        <v>935000</v>
      </c>
      <c r="AC8" s="189"/>
      <c r="AD8" s="189"/>
      <c r="AE8" s="372"/>
    </row>
    <row r="9" spans="1:31" s="196" customFormat="1" ht="30" customHeight="1">
      <c r="A9" s="197">
        <f t="shared" si="2"/>
        <v>4</v>
      </c>
      <c r="B9" s="724">
        <f>'תקציב אגף נכסים וביטוח 2020 '!B9</f>
        <v>1177</v>
      </c>
      <c r="C9" s="405" t="str">
        <f>'תקציב אגף נכסים וביטוח 2020 '!C9</f>
        <v>פיצויי הפקעה - פארק הבאסה</v>
      </c>
      <c r="D9" s="172">
        <f>'תקציב אגף נכסים וביטוח 2020 '!D9</f>
        <v>41850000</v>
      </c>
      <c r="E9" s="172">
        <f>'תקציב אגף נכסים וביטוח 2020 '!E9</f>
        <v>41850000</v>
      </c>
      <c r="F9" s="172">
        <f>'תקציב אגף נכסים וביטוח 2020 '!F9</f>
        <v>0</v>
      </c>
      <c r="G9" s="172">
        <f>'תקציב אגף נכסים וביטוח 2020 '!G9</f>
        <v>28957000</v>
      </c>
      <c r="H9" s="172">
        <f>'תקציב אגף נכסים וביטוח 2020 '!H9</f>
        <v>26727455.199999999</v>
      </c>
      <c r="I9" s="172">
        <f>'תקציב אגף נכסים וביטוח 2020 '!I9</f>
        <v>0</v>
      </c>
      <c r="J9" s="172">
        <f>'תקציב אגף נכסים וביטוח 2020 '!J9</f>
        <v>0</v>
      </c>
      <c r="K9" s="172">
        <f>'תקציב אגף נכסים וביטוח 2020 '!K9</f>
        <v>0</v>
      </c>
      <c r="L9" s="172">
        <f>'תקציב אגף נכסים וביטוח 2020 '!L9</f>
        <v>26727455.199999999</v>
      </c>
      <c r="M9" s="172">
        <f>'תקציב אגף נכסים וביטוח 2020 '!M9</f>
        <v>2229544.8000000007</v>
      </c>
      <c r="N9" s="172">
        <f>'תקציב אגף נכסים וביטוח 2020 '!N9</f>
        <v>0</v>
      </c>
      <c r="O9" s="172">
        <f>'תקציב אגף נכסים וביטוח 2020 '!O9</f>
        <v>12893000</v>
      </c>
      <c r="P9" s="172">
        <f>'תקציב אגף נכסים וביטוח 2020 '!P9</f>
        <v>2229544.8000000007</v>
      </c>
      <c r="Q9" s="172">
        <f>'תקציב אגף נכסים וביטוח 2020 '!Q9</f>
        <v>0</v>
      </c>
      <c r="R9" s="172">
        <f>'תקציב אגף נכסים וביטוח 2020 '!R9</f>
        <v>0</v>
      </c>
      <c r="S9" s="172">
        <f>'תקציב אגף נכסים וביטוח 2020 '!S9</f>
        <v>0</v>
      </c>
      <c r="T9" s="172">
        <f>'תקציב אגף נכסים וביטוח 2020 '!T9</f>
        <v>0</v>
      </c>
      <c r="U9" s="172">
        <f>'תקציב אגף נכסים וביטוח 2020 '!U9</f>
        <v>0</v>
      </c>
      <c r="V9" s="172">
        <f>'תקציב אגף נכסים וביטוח 2020 '!V9</f>
        <v>0</v>
      </c>
      <c r="W9" s="172">
        <f>'תקציב אגף נכסים וביטוח 2020 '!W9</f>
        <v>0</v>
      </c>
      <c r="X9" s="172">
        <f>'תקציב אגף נכסים וביטוח 2020 '!X9</f>
        <v>0</v>
      </c>
      <c r="Y9" s="172">
        <f>'תקציב אגף נכסים וביטוח 2020 '!Y9</f>
        <v>0</v>
      </c>
      <c r="Z9" s="172">
        <f>'תקציב אגף נכסים וביטוח 2020 '!Z9</f>
        <v>0</v>
      </c>
      <c r="AA9" s="405" t="str">
        <f>'תקציב אגף נכסים וביטוח 2020 '!AA9</f>
        <v>פיצויי הפקעה בפארק.</v>
      </c>
      <c r="AB9" s="724">
        <f>'תקציב אגף נכסים וביטוח 2020 '!AB9</f>
        <v>930000</v>
      </c>
      <c r="AC9" s="189"/>
      <c r="AD9" s="189"/>
      <c r="AE9" s="372"/>
    </row>
    <row r="10" spans="1:31" s="196" customFormat="1" ht="30" customHeight="1">
      <c r="A10" s="197">
        <f t="shared" si="2"/>
        <v>5</v>
      </c>
      <c r="B10" s="724">
        <f>'תקציב אגף נכסים וביטוח 2020 '!B10</f>
        <v>1258</v>
      </c>
      <c r="C10" s="405" t="str">
        <f>'תקציב אגף נכסים וביטוח 2020 '!C10</f>
        <v>עלויות רכישת מקרקעין</v>
      </c>
      <c r="D10" s="172">
        <f>'תקציב אגף נכסים וביטוח 2020 '!D10</f>
        <v>1400000</v>
      </c>
      <c r="E10" s="172">
        <f>'תקציב אגף נכסים וביטוח 2020 '!E10</f>
        <v>1400000</v>
      </c>
      <c r="F10" s="172">
        <f>'תקציב אגף נכסים וביטוח 2020 '!F10</f>
        <v>0</v>
      </c>
      <c r="G10" s="172">
        <f>'תקציב אגף נכסים וביטוח 2020 '!G10</f>
        <v>900000</v>
      </c>
      <c r="H10" s="172">
        <f>'תקציב אגף נכסים וביטוח 2020 '!H10</f>
        <v>872795.22</v>
      </c>
      <c r="I10" s="172">
        <f>'תקציב אגף נכסים וביטוח 2020 '!I10</f>
        <v>0</v>
      </c>
      <c r="J10" s="172">
        <f>'תקציב אגף נכסים וביטוח 2020 '!J10</f>
        <v>0</v>
      </c>
      <c r="K10" s="172">
        <f>'תקציב אגף נכסים וביטוח 2020 '!K10</f>
        <v>0</v>
      </c>
      <c r="L10" s="172">
        <f>'תקציב אגף נכסים וביטוח 2020 '!L10</f>
        <v>872795.22</v>
      </c>
      <c r="M10" s="172">
        <f>'תקציב אגף נכסים וביטוח 2020 '!M10</f>
        <v>77204.780000000028</v>
      </c>
      <c r="N10" s="172">
        <f>'תקציב אגף נכסים וביטוח 2020 '!N10</f>
        <v>0</v>
      </c>
      <c r="O10" s="172">
        <f>'תקציב אגף נכסים וביטוח 2020 '!O10</f>
        <v>450000</v>
      </c>
      <c r="P10" s="172">
        <f>'תקציב אגף נכסים וביטוח 2020 '!P10</f>
        <v>27204.780000000028</v>
      </c>
      <c r="Q10" s="172">
        <f>'תקציב אגף נכסים וביטוח 2020 '!Q10</f>
        <v>50000</v>
      </c>
      <c r="R10" s="172">
        <f>'תקציב אגף נכסים וביטוח 2020 '!R10</f>
        <v>0</v>
      </c>
      <c r="S10" s="172">
        <f>'תקציב אגף נכסים וביטוח 2020 '!S10</f>
        <v>50000</v>
      </c>
      <c r="T10" s="172">
        <f>'תקציב אגף נכסים וביטוח 2020 '!T10</f>
        <v>0</v>
      </c>
      <c r="U10" s="172">
        <f>'תקציב אגף נכסים וביטוח 2020 '!U10</f>
        <v>0</v>
      </c>
      <c r="V10" s="172">
        <f>'תקציב אגף נכסים וביטוח 2020 '!V10</f>
        <v>0</v>
      </c>
      <c r="W10" s="172">
        <f>'תקציב אגף נכסים וביטוח 2020 '!W10</f>
        <v>0</v>
      </c>
      <c r="X10" s="172">
        <f>'תקציב אגף נכסים וביטוח 2020 '!X10</f>
        <v>0</v>
      </c>
      <c r="Y10" s="172">
        <f>'תקציב אגף נכסים וביטוח 2020 '!Y10</f>
        <v>0</v>
      </c>
      <c r="Z10" s="172">
        <f>'תקציב אגף נכסים וביטוח 2020 '!Z10</f>
        <v>0</v>
      </c>
      <c r="AA10" s="405" t="str">
        <f>'תקציב אגף נכסים וביטוח 2020 '!AA10</f>
        <v>עלויות כלליות בקשר עם רכישת מקרקעין.</v>
      </c>
      <c r="AB10" s="724">
        <f>'תקציב אגף נכסים וביטוח 2020 '!AB10</f>
        <v>930000</v>
      </c>
      <c r="AC10" s="189"/>
      <c r="AD10" s="189"/>
      <c r="AE10" s="372"/>
    </row>
    <row r="11" spans="1:31" s="196" customFormat="1" ht="30" customHeight="1">
      <c r="A11" s="197">
        <f t="shared" si="2"/>
        <v>6</v>
      </c>
      <c r="B11" s="724">
        <f>'תקציב אגף נכסים וביטוח 2020 '!B11</f>
        <v>1330</v>
      </c>
      <c r="C11" s="405" t="str">
        <f>'תקציב אגף נכסים וביטוח 2020 '!C11</f>
        <v>פיצויי הפקעה הר'1941 פארק הבאסה</v>
      </c>
      <c r="D11" s="172">
        <f>'תקציב אגף נכסים וביטוח 2020 '!D11</f>
        <v>60700000</v>
      </c>
      <c r="E11" s="172">
        <f>'תקציב אגף נכסים וביטוח 2020 '!E11</f>
        <v>60700000</v>
      </c>
      <c r="F11" s="172">
        <f>'תקציב אגף נכסים וביטוח 2020 '!F11</f>
        <v>0</v>
      </c>
      <c r="G11" s="172">
        <f>'תקציב אגף נכסים וביטוח 2020 '!G11</f>
        <v>17249825</v>
      </c>
      <c r="H11" s="172">
        <f>'תקציב אגף נכסים וביטוח 2020 '!H11</f>
        <v>6522773.6299999999</v>
      </c>
      <c r="I11" s="172">
        <f>'תקציב אגף נכסים וביטוח 2020 '!I11</f>
        <v>0</v>
      </c>
      <c r="J11" s="172">
        <f>'תקציב אגף נכסים וביטוח 2020 '!J11</f>
        <v>0</v>
      </c>
      <c r="K11" s="172">
        <f>'תקציב אגף נכסים וביטוח 2020 '!K11</f>
        <v>0</v>
      </c>
      <c r="L11" s="172">
        <f>'תקציב אגף נכסים וביטוח 2020 '!L11</f>
        <v>6522773.6299999999</v>
      </c>
      <c r="M11" s="172">
        <f>'תקציב אגף נכסים וביטוח 2020 '!M11</f>
        <v>10727051.370000001</v>
      </c>
      <c r="N11" s="172">
        <f>'תקציב אגף נכסים וביטוח 2020 '!N11</f>
        <v>0</v>
      </c>
      <c r="O11" s="172">
        <f>'תקציב אגף נכסים וביטוח 2020 '!O11</f>
        <v>43450175</v>
      </c>
      <c r="P11" s="172">
        <f>'תקציב אגף נכסים וביטוח 2020 '!P11</f>
        <v>10727051.370000001</v>
      </c>
      <c r="Q11" s="172">
        <f>'תקציב אגף נכסים וביטוח 2020 '!Q11</f>
        <v>0</v>
      </c>
      <c r="R11" s="172">
        <f>'תקציב אגף נכסים וביטוח 2020 '!R11</f>
        <v>0</v>
      </c>
      <c r="S11" s="172">
        <f>'תקציב אגף נכסים וביטוח 2020 '!S11</f>
        <v>0</v>
      </c>
      <c r="T11" s="172">
        <f>'תקציב אגף נכסים וביטוח 2020 '!T11</f>
        <v>0</v>
      </c>
      <c r="U11" s="172">
        <f>'תקציב אגף נכסים וביטוח 2020 '!U11</f>
        <v>0</v>
      </c>
      <c r="V11" s="172">
        <f>'תקציב אגף נכסים וביטוח 2020 '!V11</f>
        <v>0</v>
      </c>
      <c r="W11" s="172">
        <f>'תקציב אגף נכסים וביטוח 2020 '!W11</f>
        <v>0</v>
      </c>
      <c r="X11" s="172">
        <f>'תקציב אגף נכסים וביטוח 2020 '!X11</f>
        <v>0</v>
      </c>
      <c r="Y11" s="172">
        <f>'תקציב אגף נכסים וביטוח 2020 '!Y11</f>
        <v>0</v>
      </c>
      <c r="Z11" s="172">
        <f>'תקציב אגף נכסים וביטוח 2020 '!Z11</f>
        <v>0</v>
      </c>
      <c r="AA11" s="405" t="str">
        <f>'תקציב אגף נכסים וביטוח 2020 '!AA11</f>
        <v>פיצויי הפקעה בפארק תוכנית הר' 1941.</v>
      </c>
      <c r="AB11" s="724">
        <f>'תקציב אגף נכסים וביטוח 2020 '!AB11</f>
        <v>930000</v>
      </c>
      <c r="AC11" s="189"/>
      <c r="AD11" s="189"/>
      <c r="AE11" s="372"/>
    </row>
    <row r="12" spans="1:31" s="196" customFormat="1" ht="55.2">
      <c r="A12" s="197">
        <f t="shared" si="2"/>
        <v>7</v>
      </c>
      <c r="B12" s="724">
        <f>'תקציב אגף נכסים וביטוח 2020 '!B12</f>
        <v>1369</v>
      </c>
      <c r="C12" s="405" t="str">
        <f>'תקציב אגף נכסים וביטוח 2020 '!C12</f>
        <v>פיצויי הפקעה גוש 6525 חל' 130,131</v>
      </c>
      <c r="D12" s="172">
        <f>'תקציב אגף נכסים וביטוח 2020 '!D12</f>
        <v>4000000</v>
      </c>
      <c r="E12" s="172">
        <f>'תקציב אגף נכסים וביטוח 2020 '!E12</f>
        <v>4000000</v>
      </c>
      <c r="F12" s="172">
        <f>'תקציב אגף נכסים וביטוח 2020 '!F12</f>
        <v>0</v>
      </c>
      <c r="G12" s="172">
        <f>'תקציב אגף נכסים וביטוח 2020 '!G12</f>
        <v>1670700</v>
      </c>
      <c r="H12" s="172">
        <f>'תקציב אגף נכסים וביטוח 2020 '!H12</f>
        <v>1338612.1299999999</v>
      </c>
      <c r="I12" s="172">
        <f>'תקציב אגף נכסים וביטוח 2020 '!I12</f>
        <v>0</v>
      </c>
      <c r="J12" s="172">
        <f>'תקציב אגף נכסים וביטוח 2020 '!J12</f>
        <v>0</v>
      </c>
      <c r="K12" s="172">
        <f>'תקציב אגף נכסים וביטוח 2020 '!K12</f>
        <v>0</v>
      </c>
      <c r="L12" s="172">
        <f>'תקציב אגף נכסים וביטוח 2020 '!L12</f>
        <v>1338612.1299999999</v>
      </c>
      <c r="M12" s="172">
        <f>'תקציב אגף נכסים וביטוח 2020 '!M12</f>
        <v>332087.87000000011</v>
      </c>
      <c r="N12" s="172">
        <f>'תקציב אגף נכסים וביטוח 2020 '!N12</f>
        <v>2329300</v>
      </c>
      <c r="O12" s="172">
        <f>'תקציב אגף נכסים וביטוח 2020 '!O12</f>
        <v>0</v>
      </c>
      <c r="P12" s="172">
        <f>'תקציב אגף נכסים וביטוח 2020 '!P12</f>
        <v>332087.87000000011</v>
      </c>
      <c r="Q12" s="172">
        <f>'תקציב אגף נכסים וביטוח 2020 '!Q12</f>
        <v>0</v>
      </c>
      <c r="R12" s="172">
        <f>'תקציב אגף נכסים וביטוח 2020 '!R12</f>
        <v>0</v>
      </c>
      <c r="S12" s="172">
        <f>'תקציב אגף נכסים וביטוח 2020 '!S12</f>
        <v>0</v>
      </c>
      <c r="T12" s="172">
        <f>'תקציב אגף נכסים וביטוח 2020 '!T12</f>
        <v>0</v>
      </c>
      <c r="U12" s="172">
        <f>'תקציב אגף נכסים וביטוח 2020 '!U12</f>
        <v>2329300</v>
      </c>
      <c r="V12" s="172">
        <f>'תקציב אגף נכסים וביטוח 2020 '!V12</f>
        <v>2329300</v>
      </c>
      <c r="W12" s="172">
        <f>'תקציב אגף נכסים וביטוח 2020 '!W12</f>
        <v>0</v>
      </c>
      <c r="X12" s="172">
        <f>'תקציב אגף נכסים וביטוח 2020 '!X12</f>
        <v>0</v>
      </c>
      <c r="Y12" s="172">
        <f>'תקציב אגף נכסים וביטוח 2020 '!Y12</f>
        <v>0</v>
      </c>
      <c r="Z12" s="172">
        <f>'תקציב אגף נכסים וביטוח 2020 '!Z12</f>
        <v>0</v>
      </c>
      <c r="AA12" s="405" t="str">
        <f>'תקציב אגף נכסים וביטוח 2020 '!AA12</f>
        <v>פיצויי הפקעה בגוש 6525 חלקות 130,131 הר/ 1704. טרם שולמו הפיצויים ליתרת בעלי המקרקעין. טרם הסתיים ההליך המשפטי.</v>
      </c>
      <c r="AB12" s="724">
        <f>'תקציב אגף נכסים וביטוח 2020 '!AB12</f>
        <v>930000</v>
      </c>
      <c r="AC12" s="189"/>
      <c r="AD12" s="189"/>
      <c r="AE12" s="372"/>
    </row>
    <row r="13" spans="1:31" s="196" customFormat="1" ht="41.4">
      <c r="A13" s="197">
        <f t="shared" si="2"/>
        <v>8</v>
      </c>
      <c r="B13" s="724">
        <f>'תקציב אגף נכסים וביטוח 2020 '!B13</f>
        <v>1704</v>
      </c>
      <c r="C13" s="405" t="str">
        <f>'תקציב אגף נכסים וביטוח 2020 '!C13</f>
        <v>תביעה פינוי גוש 6521 רחמים</v>
      </c>
      <c r="D13" s="172">
        <f>'תקציב אגף נכסים וביטוח 2020 '!D13</f>
        <v>5784000</v>
      </c>
      <c r="E13" s="172">
        <f>'תקציב אגף נכסים וביטוח 2020 '!E13</f>
        <v>5784000</v>
      </c>
      <c r="F13" s="172">
        <f>'תקציב אגף נכסים וביטוח 2020 '!F13</f>
        <v>0</v>
      </c>
      <c r="G13" s="172">
        <f>'תקציב אגף נכסים וביטוח 2020 '!G13</f>
        <v>40000</v>
      </c>
      <c r="H13" s="172">
        <f>'תקציב אגף נכסים וביטוח 2020 '!H13</f>
        <v>37960.730000000003</v>
      </c>
      <c r="I13" s="172">
        <f>'תקציב אגף נכסים וביטוח 2020 '!I13</f>
        <v>0</v>
      </c>
      <c r="J13" s="172">
        <f>'תקציב אגף נכסים וביטוח 2020 '!J13</f>
        <v>0</v>
      </c>
      <c r="K13" s="172">
        <f>'תקציב אגף נכסים וביטוח 2020 '!K13</f>
        <v>0</v>
      </c>
      <c r="L13" s="172">
        <f>'תקציב אגף נכסים וביטוח 2020 '!L13</f>
        <v>37960.730000000003</v>
      </c>
      <c r="M13" s="172">
        <f>'תקציב אגף נכסים וביטוח 2020 '!M13</f>
        <v>2039.2699999999968</v>
      </c>
      <c r="N13" s="172">
        <f>'תקציב אגף נכסים וביטוח 2020 '!N13</f>
        <v>1540000</v>
      </c>
      <c r="O13" s="172">
        <f>'תקציב אגף נכסים וביטוח 2020 '!O13</f>
        <v>4204000</v>
      </c>
      <c r="P13" s="172">
        <f>'תקציב אגף נכסים וביטוח 2020 '!P13</f>
        <v>2039.2699999999968</v>
      </c>
      <c r="Q13" s="172">
        <f>'תקציב אגף נכסים וביטוח 2020 '!Q13</f>
        <v>0</v>
      </c>
      <c r="R13" s="172">
        <f>'תקציב אגף נכסים וביטוח 2020 '!R13</f>
        <v>0</v>
      </c>
      <c r="S13" s="172">
        <f>'תקציב אגף נכסים וביטוח 2020 '!S13</f>
        <v>0</v>
      </c>
      <c r="T13" s="172">
        <f>'תקציב אגף נכסים וביטוח 2020 '!T13</f>
        <v>0</v>
      </c>
      <c r="U13" s="172">
        <f>'תקציב אגף נכסים וביטוח 2020 '!U13</f>
        <v>1540000</v>
      </c>
      <c r="V13" s="172">
        <f>'תקציב אגף נכסים וביטוח 2020 '!V13</f>
        <v>1540000</v>
      </c>
      <c r="W13" s="172">
        <f>'תקציב אגף נכסים וביטוח 2020 '!W13</f>
        <v>0</v>
      </c>
      <c r="X13" s="172">
        <f>'תקציב אגף נכסים וביטוח 2020 '!X13</f>
        <v>0</v>
      </c>
      <c r="Y13" s="172">
        <f>'תקציב אגף נכסים וביטוח 2020 '!Y13</f>
        <v>0</v>
      </c>
      <c r="Z13" s="172">
        <f>'תקציב אגף נכסים וביטוח 2020 '!Z13</f>
        <v>0</v>
      </c>
      <c r="AA13" s="405" t="str">
        <f>'תקציב אגף נכסים וביטוח 2020 '!AA13</f>
        <v>עלויות בקשר עם תביעה של פינוי נכס גוש 6521 חלק' 21-23, 67-68. משפחת רחמים. טרם הסתיים ההליך המשפטי.</v>
      </c>
      <c r="AB13" s="724">
        <f>'תקציב אגף נכסים וביטוח 2020 '!AB13</f>
        <v>930000</v>
      </c>
      <c r="AC13" s="189"/>
      <c r="AD13" s="189"/>
      <c r="AE13" s="372"/>
    </row>
    <row r="14" spans="1:31" s="196" customFormat="1" ht="37.200000000000003" customHeight="1">
      <c r="A14" s="197">
        <f t="shared" si="2"/>
        <v>9</v>
      </c>
      <c r="B14" s="724">
        <f>'תקציב אגף נכסים וביטוח 2020 '!B14</f>
        <v>1791</v>
      </c>
      <c r="C14" s="405" t="str">
        <f>'תקציב אגף נכסים וביטוח 2020 '!C14</f>
        <v>שיפוץ ב"מ ספריה+חניון גוש 6532 -346</v>
      </c>
      <c r="D14" s="172">
        <f>'תקציב אגף נכסים וביטוח 2020 '!D14</f>
        <v>570000</v>
      </c>
      <c r="E14" s="172">
        <f>'תקציב אגף נכסים וביטוח 2020 '!E14</f>
        <v>570000</v>
      </c>
      <c r="F14" s="172">
        <f>'תקציב אגף נכסים וביטוח 2020 '!F14</f>
        <v>0</v>
      </c>
      <c r="G14" s="172">
        <f>'תקציב אגף נכסים וביטוח 2020 '!G14</f>
        <v>500000</v>
      </c>
      <c r="H14" s="172">
        <f>'תקציב אגף נכסים וביטוח 2020 '!H14</f>
        <v>404150</v>
      </c>
      <c r="I14" s="172">
        <f>'תקציב אגף נכסים וביטוח 2020 '!I14</f>
        <v>0</v>
      </c>
      <c r="J14" s="172">
        <f>'תקציב אגף נכסים וביטוח 2020 '!J14</f>
        <v>0</v>
      </c>
      <c r="K14" s="172">
        <f>'תקציב אגף נכסים וביטוח 2020 '!K14</f>
        <v>0</v>
      </c>
      <c r="L14" s="172">
        <f>'תקציב אגף נכסים וביטוח 2020 '!L14</f>
        <v>404150</v>
      </c>
      <c r="M14" s="172">
        <f>'תקציב אגף נכסים וביטוח 2020 '!M14</f>
        <v>95850</v>
      </c>
      <c r="N14" s="172">
        <f>'תקציב אגף נכסים וביטוח 2020 '!N14</f>
        <v>0</v>
      </c>
      <c r="O14" s="172">
        <f>'תקציב אגף נכסים וביטוח 2020 '!O14</f>
        <v>70000</v>
      </c>
      <c r="P14" s="172">
        <f>'תקציב אגף נכסים וביטוח 2020 '!P14</f>
        <v>95850</v>
      </c>
      <c r="Q14" s="172">
        <f>'תקציב אגף נכסים וביטוח 2020 '!Q14</f>
        <v>0</v>
      </c>
      <c r="R14" s="172">
        <f>'תקציב אגף נכסים וביטוח 2020 '!R14</f>
        <v>0</v>
      </c>
      <c r="S14" s="172">
        <f>'תקציב אגף נכסים וביטוח 2020 '!S14</f>
        <v>0</v>
      </c>
      <c r="T14" s="172">
        <f>'תקציב אגף נכסים וביטוח 2020 '!T14</f>
        <v>0</v>
      </c>
      <c r="U14" s="172">
        <f>'תקציב אגף נכסים וביטוח 2020 '!U14</f>
        <v>0</v>
      </c>
      <c r="V14" s="172">
        <f>'תקציב אגף נכסים וביטוח 2020 '!V14</f>
        <v>0</v>
      </c>
      <c r="W14" s="172">
        <f>'תקציב אגף נכסים וביטוח 2020 '!W14</f>
        <v>0</v>
      </c>
      <c r="X14" s="172">
        <f>'תקציב אגף נכסים וביטוח 2020 '!X14</f>
        <v>0</v>
      </c>
      <c r="Y14" s="172">
        <f>'תקציב אגף נכסים וביטוח 2020 '!Y14</f>
        <v>0</v>
      </c>
      <c r="Z14" s="172">
        <f>'תקציב אגף נכסים וביטוח 2020 '!Z14</f>
        <v>0</v>
      </c>
      <c r="AA14" s="405" t="str">
        <f>'תקציב אגף נכסים וביטוח 2020 '!AA14</f>
        <v>שיפוץ חלקי של בית משותף בו מצויים הספריה והחניון בבעלות העיריה. סוקולוב 56.</v>
      </c>
      <c r="AB14" s="724">
        <f>'תקציב אגף נכסים וביטוח 2020 '!AB14</f>
        <v>930000</v>
      </c>
      <c r="AC14" s="189"/>
      <c r="AD14" s="189"/>
      <c r="AE14" s="372"/>
    </row>
    <row r="15" spans="1:31" s="196" customFormat="1" ht="30" customHeight="1">
      <c r="A15" s="197">
        <f t="shared" si="2"/>
        <v>10</v>
      </c>
      <c r="B15" s="724">
        <f>'תקציב אגף נכסים וביטוח 2020 '!B15</f>
        <v>1801</v>
      </c>
      <c r="C15" s="405" t="str">
        <f>'תקציב אגף נכסים וביטוח 2020 '!C15</f>
        <v>פיצויי הפקעה פארק הבאסה - פס"ד</v>
      </c>
      <c r="D15" s="172">
        <f>'תקציב אגף נכסים וביטוח 2020 '!D15</f>
        <v>36000000</v>
      </c>
      <c r="E15" s="172">
        <f>'תקציב אגף נכסים וביטוח 2020 '!E15</f>
        <v>36000000</v>
      </c>
      <c r="F15" s="172">
        <f>'תקציב אגף נכסים וביטוח 2020 '!F15</f>
        <v>0</v>
      </c>
      <c r="G15" s="172">
        <f>'תקציב אגף נכסים וביטוח 2020 '!G15</f>
        <v>36000000</v>
      </c>
      <c r="H15" s="172">
        <f>'תקציב אגף נכסים וביטוח 2020 '!H15</f>
        <v>30393685.890000001</v>
      </c>
      <c r="I15" s="172">
        <f>'תקציב אגף נכסים וביטוח 2020 '!I15</f>
        <v>0</v>
      </c>
      <c r="J15" s="172">
        <f>'תקציב אגף נכסים וביטוח 2020 '!J15</f>
        <v>0</v>
      </c>
      <c r="K15" s="172">
        <f>'תקציב אגף נכסים וביטוח 2020 '!K15</f>
        <v>0</v>
      </c>
      <c r="L15" s="172">
        <f>'תקציב אגף נכסים וביטוח 2020 '!L15</f>
        <v>30393685.890000001</v>
      </c>
      <c r="M15" s="172">
        <f>'תקציב אגף נכסים וביטוח 2020 '!M15</f>
        <v>5606314.1099999994</v>
      </c>
      <c r="N15" s="172">
        <f>'תקציב אגף נכסים וביטוח 2020 '!N15</f>
        <v>0</v>
      </c>
      <c r="O15" s="172">
        <f>'תקציב אגף נכסים וביטוח 2020 '!O15</f>
        <v>0</v>
      </c>
      <c r="P15" s="172">
        <f>'תקציב אגף נכסים וביטוח 2020 '!P15</f>
        <v>5606314.1099999994</v>
      </c>
      <c r="Q15" s="172">
        <f>'תקציב אגף נכסים וביטוח 2020 '!Q15</f>
        <v>0</v>
      </c>
      <c r="R15" s="172">
        <f>'תקציב אגף נכסים וביטוח 2020 '!R15</f>
        <v>0</v>
      </c>
      <c r="S15" s="172">
        <f>'תקציב אגף נכסים וביטוח 2020 '!S15</f>
        <v>0</v>
      </c>
      <c r="T15" s="172">
        <f>'תקציב אגף נכסים וביטוח 2020 '!T15</f>
        <v>0</v>
      </c>
      <c r="U15" s="172">
        <f>'תקציב אגף נכסים וביטוח 2020 '!U15</f>
        <v>0</v>
      </c>
      <c r="V15" s="172">
        <f>'תקציב אגף נכסים וביטוח 2020 '!V15</f>
        <v>0</v>
      </c>
      <c r="W15" s="172">
        <f>'תקציב אגף נכסים וביטוח 2020 '!W15</f>
        <v>0</v>
      </c>
      <c r="X15" s="172">
        <f>'תקציב אגף נכסים וביטוח 2020 '!X15</f>
        <v>0</v>
      </c>
      <c r="Y15" s="172">
        <f>'תקציב אגף נכסים וביטוח 2020 '!Y15</f>
        <v>0</v>
      </c>
      <c r="Z15" s="172">
        <f>'תקציב אגף נכסים וביטוח 2020 '!Z15</f>
        <v>0</v>
      </c>
      <c r="AA15" s="405" t="str">
        <f>'תקציב אגף נכסים וביטוח 2020 '!AA15</f>
        <v>פיצויי הפקעה בעקבות פס"ד. טרם הושלם הדיון מול רשויות המס.</v>
      </c>
      <c r="AB15" s="724">
        <f>'תקציב אגף נכסים וביטוח 2020 '!AB15</f>
        <v>930000</v>
      </c>
      <c r="AC15" s="189"/>
      <c r="AD15" s="189"/>
      <c r="AE15" s="372"/>
    </row>
    <row r="16" spans="1:31" s="196" customFormat="1" ht="30" customHeight="1">
      <c r="A16" s="197">
        <f t="shared" si="2"/>
        <v>11</v>
      </c>
      <c r="B16" s="724">
        <f>'תקציב אגף נכסים וביטוח 2020 '!B16</f>
        <v>1983</v>
      </c>
      <c r="C16" s="405" t="str">
        <f>'תקציב אגף נכסים וביטוח 2020 '!C16</f>
        <v>פיצויי הפקעה פטריאלי 6524/21,22</v>
      </c>
      <c r="D16" s="172">
        <f>'תקציב אגף נכסים וביטוח 2020 '!D16</f>
        <v>800000</v>
      </c>
      <c r="E16" s="172">
        <f>'תקציב אגף נכסים וביטוח 2020 '!E16</f>
        <v>800000</v>
      </c>
      <c r="F16" s="172">
        <f>'תקציב אגף נכסים וביטוח 2020 '!F16</f>
        <v>0</v>
      </c>
      <c r="G16" s="172">
        <f>'תקציב אגף נכסים וביטוח 2020 '!G16</f>
        <v>100000</v>
      </c>
      <c r="H16" s="172">
        <f>'תקציב אגף נכסים וביטוח 2020 '!H16</f>
        <v>3074</v>
      </c>
      <c r="I16" s="172">
        <f>'תקציב אגף נכסים וביטוח 2020 '!I16</f>
        <v>0</v>
      </c>
      <c r="J16" s="172">
        <f>'תקציב אגף נכסים וביטוח 2020 '!J16</f>
        <v>0</v>
      </c>
      <c r="K16" s="172">
        <f>'תקציב אגף נכסים וביטוח 2020 '!K16</f>
        <v>0</v>
      </c>
      <c r="L16" s="172">
        <f>'תקציב אגף נכסים וביטוח 2020 '!L16</f>
        <v>3074</v>
      </c>
      <c r="M16" s="172">
        <f>'תקציב אגף נכסים וביטוח 2020 '!M16</f>
        <v>96926</v>
      </c>
      <c r="N16" s="172">
        <f>'תקציב אגף נכסים וביטוח 2020 '!N16</f>
        <v>0</v>
      </c>
      <c r="O16" s="172">
        <f>'תקציב אגף נכסים וביטוח 2020 '!O16</f>
        <v>700000</v>
      </c>
      <c r="P16" s="172">
        <f>'תקציב אגף נכסים וביטוח 2020 '!P16</f>
        <v>96926</v>
      </c>
      <c r="Q16" s="172">
        <f>'תקציב אגף נכסים וביטוח 2020 '!Q16</f>
        <v>0</v>
      </c>
      <c r="R16" s="172">
        <f>'תקציב אגף נכסים וביטוח 2020 '!R16</f>
        <v>0</v>
      </c>
      <c r="S16" s="172">
        <f>'תקציב אגף נכסים וביטוח 2020 '!S16</f>
        <v>0</v>
      </c>
      <c r="T16" s="172">
        <f>'תקציב אגף נכסים וביטוח 2020 '!T16</f>
        <v>0</v>
      </c>
      <c r="U16" s="172">
        <f>'תקציב אגף נכסים וביטוח 2020 '!U16</f>
        <v>0</v>
      </c>
      <c r="V16" s="172">
        <f>'תקציב אגף נכסים וביטוח 2020 '!V16</f>
        <v>0</v>
      </c>
      <c r="W16" s="172">
        <f>'תקציב אגף נכסים וביטוח 2020 '!W16</f>
        <v>0</v>
      </c>
      <c r="X16" s="172">
        <f>'תקציב אגף נכסים וביטוח 2020 '!X16</f>
        <v>0</v>
      </c>
      <c r="Y16" s="172">
        <f>'תקציב אגף נכסים וביטוח 2020 '!Y16</f>
        <v>0</v>
      </c>
      <c r="Z16" s="172">
        <f>'תקציב אגף נכסים וביטוח 2020 '!Z16</f>
        <v>0</v>
      </c>
      <c r="AA16" s="405" t="str">
        <f>'תקציב אגף נכסים וביטוח 2020 '!AA16</f>
        <v>פיצויי הפקעה נכס גוש 6524/21,22 פטריאלי.</v>
      </c>
      <c r="AB16" s="724">
        <f>'תקציב אגף נכסים וביטוח 2020 '!AB16</f>
        <v>930000</v>
      </c>
      <c r="AC16" s="189"/>
      <c r="AD16" s="189"/>
      <c r="AE16" s="372"/>
    </row>
    <row r="17" spans="1:31" s="196" customFormat="1" ht="30" customHeight="1">
      <c r="A17" s="197">
        <f t="shared" si="2"/>
        <v>12</v>
      </c>
      <c r="B17" s="724">
        <f>'תקציב אגף נכסים וביטוח 2020 '!B17</f>
        <v>1985</v>
      </c>
      <c r="C17" s="405" t="str">
        <f>'תקציב אגף נכסים וביטוח 2020 '!C17</f>
        <v>פיצויי הפקעה הרשקוביץ שושנה 6524/58,68</v>
      </c>
      <c r="D17" s="172">
        <f>'תקציב אגף נכסים וביטוח 2020 '!D17</f>
        <v>600000</v>
      </c>
      <c r="E17" s="172">
        <f>'תקציב אגף נכסים וביטוח 2020 '!E17</f>
        <v>600000</v>
      </c>
      <c r="F17" s="172">
        <f>'תקציב אגף נכסים וביטוח 2020 '!F17</f>
        <v>0</v>
      </c>
      <c r="G17" s="172">
        <f>'תקציב אגף נכסים וביטוח 2020 '!G17</f>
        <v>100000</v>
      </c>
      <c r="H17" s="172">
        <f>'תקציב אגף נכסים וביטוח 2020 '!H17</f>
        <v>0</v>
      </c>
      <c r="I17" s="172">
        <f>'תקציב אגף נכסים וביטוח 2020 '!I17</f>
        <v>0</v>
      </c>
      <c r="J17" s="172">
        <f>'תקציב אגף נכסים וביטוח 2020 '!J17</f>
        <v>0</v>
      </c>
      <c r="K17" s="172">
        <f>'תקציב אגף נכסים וביטוח 2020 '!K17</f>
        <v>0</v>
      </c>
      <c r="L17" s="172">
        <f>'תקציב אגף נכסים וביטוח 2020 '!L17</f>
        <v>0</v>
      </c>
      <c r="M17" s="172">
        <f>'תקציב אגף נכסים וביטוח 2020 '!M17</f>
        <v>100000</v>
      </c>
      <c r="N17" s="172">
        <f>'תקציב אגף נכסים וביטוח 2020 '!N17</f>
        <v>0</v>
      </c>
      <c r="O17" s="172">
        <f>'תקציב אגף נכסים וביטוח 2020 '!O17</f>
        <v>500000</v>
      </c>
      <c r="P17" s="172">
        <f>'תקציב אגף נכסים וביטוח 2020 '!P17</f>
        <v>100000</v>
      </c>
      <c r="Q17" s="172">
        <f>'תקציב אגף נכסים וביטוח 2020 '!Q17</f>
        <v>0</v>
      </c>
      <c r="R17" s="172">
        <f>'תקציב אגף נכסים וביטוח 2020 '!R17</f>
        <v>0</v>
      </c>
      <c r="S17" s="172">
        <f>'תקציב אגף נכסים וביטוח 2020 '!S17</f>
        <v>0</v>
      </c>
      <c r="T17" s="172">
        <f>'תקציב אגף נכסים וביטוח 2020 '!T17</f>
        <v>0</v>
      </c>
      <c r="U17" s="172">
        <f>'תקציב אגף נכסים וביטוח 2020 '!U17</f>
        <v>0</v>
      </c>
      <c r="V17" s="172">
        <f>'תקציב אגף נכסים וביטוח 2020 '!V17</f>
        <v>0</v>
      </c>
      <c r="W17" s="172">
        <f>'תקציב אגף נכסים וביטוח 2020 '!W17</f>
        <v>0</v>
      </c>
      <c r="X17" s="172">
        <f>'תקציב אגף נכסים וביטוח 2020 '!X17</f>
        <v>0</v>
      </c>
      <c r="Y17" s="172">
        <f>'תקציב אגף נכסים וביטוח 2020 '!Y17</f>
        <v>0</v>
      </c>
      <c r="Z17" s="172">
        <f>'תקציב אגף נכסים וביטוח 2020 '!Z17</f>
        <v>0</v>
      </c>
      <c r="AA17" s="405" t="str">
        <f>'תקציב אגף נכסים וביטוח 2020 '!AA17</f>
        <v>פיצויי הפקעה נכס גוש 6524/58,68 הרשקוביץ שושנה.</v>
      </c>
      <c r="AB17" s="724">
        <f>'תקציב אגף נכסים וביטוח 2020 '!AB17</f>
        <v>930000</v>
      </c>
      <c r="AC17" s="189"/>
      <c r="AD17" s="189"/>
      <c r="AE17" s="372"/>
    </row>
    <row r="18" spans="1:31" s="196" customFormat="1" ht="30" customHeight="1">
      <c r="A18" s="197">
        <f t="shared" si="2"/>
        <v>13</v>
      </c>
      <c r="B18" s="724">
        <f>'תקציב אגף נכסים וביטוח 2020 '!B18</f>
        <v>1993</v>
      </c>
      <c r="C18" s="405" t="str">
        <f>'תקציב אגף נכסים וביטוח 2020 '!C18</f>
        <v>בניה עצמית ליד המתחם הבינתחומי</v>
      </c>
      <c r="D18" s="172">
        <f>'תקציב אגף נכסים וביטוח 2020 '!D18</f>
        <v>6000000</v>
      </c>
      <c r="E18" s="172">
        <f>'תקציב אגף נכסים וביטוח 2020 '!E18</f>
        <v>6000000</v>
      </c>
      <c r="F18" s="172">
        <f>'תקציב אגף נכסים וביטוח 2020 '!F18</f>
        <v>0</v>
      </c>
      <c r="G18" s="172">
        <f>'תקציב אגף נכסים וביטוח 2020 '!G18</f>
        <v>2050000</v>
      </c>
      <c r="H18" s="172">
        <f>'תקציב אגף נכסים וביטוח 2020 '!H18</f>
        <v>1104023</v>
      </c>
      <c r="I18" s="172">
        <f>'תקציב אגף נכסים וביטוח 2020 '!I18</f>
        <v>0</v>
      </c>
      <c r="J18" s="172">
        <f>'תקציב אגף נכסים וביטוח 2020 '!J18</f>
        <v>0</v>
      </c>
      <c r="K18" s="172">
        <f>'תקציב אגף נכסים וביטוח 2020 '!K18</f>
        <v>0</v>
      </c>
      <c r="L18" s="172">
        <f>'תקציב אגף נכסים וביטוח 2020 '!L18</f>
        <v>1104023</v>
      </c>
      <c r="M18" s="172">
        <f>'תקציב אגף נכסים וביטוח 2020 '!M18</f>
        <v>945977</v>
      </c>
      <c r="N18" s="172">
        <f>'תקציב אגף נכסים וביטוח 2020 '!N18</f>
        <v>3950000</v>
      </c>
      <c r="O18" s="172">
        <f>'תקציב אגף נכסים וביטוח 2020 '!O18</f>
        <v>0</v>
      </c>
      <c r="P18" s="172">
        <f>'תקציב אגף נכסים וביטוח 2020 '!P18</f>
        <v>945977</v>
      </c>
      <c r="Q18" s="172">
        <f>'תקציב אגף נכסים וביטוח 2020 '!Q18</f>
        <v>0</v>
      </c>
      <c r="R18" s="172">
        <f>'תקציב אגף נכסים וביטוח 2020 '!R18</f>
        <v>0</v>
      </c>
      <c r="S18" s="172">
        <f>'תקציב אגף נכסים וביטוח 2020 '!S18</f>
        <v>0</v>
      </c>
      <c r="T18" s="172">
        <f>'תקציב אגף נכסים וביטוח 2020 '!T18</f>
        <v>0</v>
      </c>
      <c r="U18" s="172">
        <f>'תקציב אגף נכסים וביטוח 2020 '!U18</f>
        <v>3950000</v>
      </c>
      <c r="V18" s="172">
        <f>'תקציב אגף נכסים וביטוח 2020 '!V18</f>
        <v>3950000</v>
      </c>
      <c r="W18" s="172">
        <f>'תקציב אגף נכסים וביטוח 2020 '!W18</f>
        <v>0</v>
      </c>
      <c r="X18" s="172">
        <f>'תקציב אגף נכסים וביטוח 2020 '!X18</f>
        <v>0</v>
      </c>
      <c r="Y18" s="172">
        <f>'תקציב אגף נכסים וביטוח 2020 '!Y18</f>
        <v>0</v>
      </c>
      <c r="Z18" s="172">
        <f>'תקציב אגף נכסים וביטוח 2020 '!Z18</f>
        <v>0</v>
      </c>
      <c r="AA18" s="405" t="str">
        <f>'תקציב אגף נכסים וביטוח 2020 '!AA18</f>
        <v>פרויקט בניה עצמית בו לעיריה 3 יח"ד בבית מגורים משותף.</v>
      </c>
      <c r="AB18" s="724">
        <f>'תקציב אגף נכסים וביטוח 2020 '!AB18</f>
        <v>930000</v>
      </c>
      <c r="AC18" s="189"/>
      <c r="AD18" s="189"/>
      <c r="AE18" s="372"/>
    </row>
    <row r="19" spans="1:31" s="196" customFormat="1" ht="30" customHeight="1">
      <c r="A19" s="197">
        <f t="shared" si="2"/>
        <v>14</v>
      </c>
      <c r="B19" s="724">
        <f>'תקציב אגף נכסים וביטוח 2020 '!B19</f>
        <v>2055</v>
      </c>
      <c r="C19" s="405" t="str">
        <f>'תקציב אגף נכסים וביטוח 2020 '!C19</f>
        <v>פיצויי הפקעה הר' 1940 6664/105</v>
      </c>
      <c r="D19" s="172">
        <f>'תקציב אגף נכסים וביטוח 2020 '!D19</f>
        <v>220000</v>
      </c>
      <c r="E19" s="172">
        <f>'תקציב אגף נכסים וביטוח 2020 '!E19</f>
        <v>220000</v>
      </c>
      <c r="F19" s="172">
        <f>'תקציב אגף נכסים וביטוח 2020 '!F19</f>
        <v>0</v>
      </c>
      <c r="G19" s="172">
        <f>'תקציב אגף נכסים וביטוח 2020 '!G19</f>
        <v>200000</v>
      </c>
      <c r="H19" s="172">
        <f>'תקציב אגף נכסים וביטוח 2020 '!H19</f>
        <v>61024</v>
      </c>
      <c r="I19" s="172">
        <f>'תקציב אגף נכסים וביטוח 2020 '!I19</f>
        <v>0</v>
      </c>
      <c r="J19" s="172">
        <f>'תקציב אגף נכסים וביטוח 2020 '!J19</f>
        <v>0</v>
      </c>
      <c r="K19" s="172">
        <f>'תקציב אגף נכסים וביטוח 2020 '!K19</f>
        <v>0</v>
      </c>
      <c r="L19" s="172">
        <f>'תקציב אגף נכסים וביטוח 2020 '!L19</f>
        <v>61024</v>
      </c>
      <c r="M19" s="172">
        <f>'תקציב אגף נכסים וביטוח 2020 '!M19</f>
        <v>138976</v>
      </c>
      <c r="N19" s="172">
        <f>'תקציב אגף נכסים וביטוח 2020 '!N19</f>
        <v>0</v>
      </c>
      <c r="O19" s="172">
        <f>'תקציב אגף נכסים וביטוח 2020 '!O19</f>
        <v>20000</v>
      </c>
      <c r="P19" s="172">
        <f>'תקציב אגף נכסים וביטוח 2020 '!P19</f>
        <v>138976</v>
      </c>
      <c r="Q19" s="172">
        <f>'תקציב אגף נכסים וביטוח 2020 '!Q19</f>
        <v>0</v>
      </c>
      <c r="R19" s="172">
        <f>'תקציב אגף נכסים וביטוח 2020 '!R19</f>
        <v>0</v>
      </c>
      <c r="S19" s="172">
        <f>'תקציב אגף נכסים וביטוח 2020 '!S19</f>
        <v>0</v>
      </c>
      <c r="T19" s="172">
        <f>'תקציב אגף נכסים וביטוח 2020 '!T19</f>
        <v>0</v>
      </c>
      <c r="U19" s="172">
        <f>'תקציב אגף נכסים וביטוח 2020 '!U19</f>
        <v>0</v>
      </c>
      <c r="V19" s="172">
        <f>'תקציב אגף נכסים וביטוח 2020 '!V19</f>
        <v>0</v>
      </c>
      <c r="W19" s="172">
        <f>'תקציב אגף נכסים וביטוח 2020 '!W19</f>
        <v>0</v>
      </c>
      <c r="X19" s="172">
        <f>'תקציב אגף נכסים וביטוח 2020 '!X19</f>
        <v>0</v>
      </c>
      <c r="Y19" s="172">
        <f>'תקציב אגף נכסים וביטוח 2020 '!Y19</f>
        <v>0</v>
      </c>
      <c r="Z19" s="172">
        <f>'תקציב אגף נכסים וביטוח 2020 '!Z19</f>
        <v>0</v>
      </c>
      <c r="AA19" s="405" t="str">
        <f>'תקציב אגף נכסים וביטוח 2020 '!AA19</f>
        <v>תשלום פיצויי הפקעה בקשר עם תוכנית  הר' 1940 6664/105.</v>
      </c>
      <c r="AB19" s="724">
        <f>'תקציב אגף נכסים וביטוח 2020 '!AB19</f>
        <v>930000</v>
      </c>
      <c r="AC19" s="189"/>
      <c r="AD19" s="189"/>
      <c r="AE19" s="372"/>
    </row>
    <row r="20" spans="1:31" s="196" customFormat="1" ht="27.6">
      <c r="A20" s="197">
        <f t="shared" si="2"/>
        <v>15</v>
      </c>
      <c r="B20" s="724">
        <f>'תקציב אגף נכסים וביטוח 2020 '!B20</f>
        <v>2056</v>
      </c>
      <c r="C20" s="405" t="str">
        <f>'תקציב אגף נכסים וביטוח 2020 '!C20</f>
        <v>פיצויי הפקעה הר'1929 6424/52</v>
      </c>
      <c r="D20" s="172">
        <f>'תקציב אגף נכסים וביטוח 2020 '!D20</f>
        <v>1400000</v>
      </c>
      <c r="E20" s="172">
        <f>'תקציב אגף נכסים וביטוח 2020 '!E20</f>
        <v>1400000</v>
      </c>
      <c r="F20" s="172">
        <f>'תקציב אגף נכסים וביטוח 2020 '!F20</f>
        <v>0</v>
      </c>
      <c r="G20" s="172">
        <f>'תקציב אגף נכסים וביטוח 2020 '!G20</f>
        <v>580000</v>
      </c>
      <c r="H20" s="172">
        <f>'תקציב אגף נכסים וביטוח 2020 '!H20</f>
        <v>334761</v>
      </c>
      <c r="I20" s="172">
        <f>'תקציב אגף נכסים וביטוח 2020 '!I20</f>
        <v>0</v>
      </c>
      <c r="J20" s="172">
        <f>'תקציב אגף נכסים וביטוח 2020 '!J20</f>
        <v>0</v>
      </c>
      <c r="K20" s="172">
        <f>'תקציב אגף נכסים וביטוח 2020 '!K20</f>
        <v>0</v>
      </c>
      <c r="L20" s="172">
        <f>'תקציב אגף נכסים וביטוח 2020 '!L20</f>
        <v>334761</v>
      </c>
      <c r="M20" s="172">
        <f>'תקציב אגף נכסים וביטוח 2020 '!M20</f>
        <v>245239</v>
      </c>
      <c r="N20" s="172">
        <f>'תקציב אגף נכסים וביטוח 2020 '!N20</f>
        <v>400000</v>
      </c>
      <c r="O20" s="172">
        <f>'תקציב אגף נכסים וביטוח 2020 '!O20</f>
        <v>420000</v>
      </c>
      <c r="P20" s="172">
        <f>'תקציב אגף נכסים וביטוח 2020 '!P20</f>
        <v>245239</v>
      </c>
      <c r="Q20" s="172">
        <f>'תקציב אגף נכסים וביטוח 2020 '!Q20</f>
        <v>0</v>
      </c>
      <c r="R20" s="172">
        <f>'תקציב אגף נכסים וביטוח 2020 '!R20</f>
        <v>0</v>
      </c>
      <c r="S20" s="172">
        <f>'תקציב אגף נכסים וביטוח 2020 '!S20</f>
        <v>0</v>
      </c>
      <c r="T20" s="172">
        <f>'תקציב אגף נכסים וביטוח 2020 '!T20</f>
        <v>0</v>
      </c>
      <c r="U20" s="172">
        <f>'תקציב אגף נכסים וביטוח 2020 '!U20</f>
        <v>400000</v>
      </c>
      <c r="V20" s="172">
        <f>'תקציב אגף נכסים וביטוח 2020 '!V20</f>
        <v>400000</v>
      </c>
      <c r="W20" s="172">
        <f>'תקציב אגף נכסים וביטוח 2020 '!W20</f>
        <v>0</v>
      </c>
      <c r="X20" s="172">
        <f>'תקציב אגף נכסים וביטוח 2020 '!X20</f>
        <v>0</v>
      </c>
      <c r="Y20" s="172">
        <f>'תקציב אגף נכסים וביטוח 2020 '!Y20</f>
        <v>0</v>
      </c>
      <c r="Z20" s="172">
        <f>'תקציב אגף נכסים וביטוח 2020 '!Z20</f>
        <v>0</v>
      </c>
      <c r="AA20" s="405" t="str">
        <f>'תקציב אגף נכסים וביטוח 2020 '!AA20</f>
        <v>פיצויי הפקעה נכס הר' 1982,1929 גוש 6524/52. הרחבת ז'בוטינסקי ושטח הפארק.</v>
      </c>
      <c r="AB20" s="724">
        <f>'תקציב אגף נכסים וביטוח 2020 '!AB20</f>
        <v>930000</v>
      </c>
      <c r="AC20" s="189"/>
      <c r="AD20" s="189"/>
      <c r="AE20" s="372"/>
    </row>
    <row r="21" spans="1:31" s="196" customFormat="1" ht="30" customHeight="1">
      <c r="A21" s="197">
        <f t="shared" si="2"/>
        <v>16</v>
      </c>
      <c r="B21" s="724">
        <f>'תקציב אגף נכסים וביטוח 2020 '!B21</f>
        <v>2072</v>
      </c>
      <c r="C21" s="405" t="str">
        <f>'תקציב אגף נכסים וביטוח 2020 '!C21</f>
        <v>הכנת תצ"ר רישום זכויות תבע 574א</v>
      </c>
      <c r="D21" s="172">
        <f>'תקציב אגף נכסים וביטוח 2020 '!D21</f>
        <v>100000</v>
      </c>
      <c r="E21" s="172">
        <f>'תקציב אגף נכסים וביטוח 2020 '!E21</f>
        <v>100000</v>
      </c>
      <c r="F21" s="172">
        <f>'תקציב אגף נכסים וביטוח 2020 '!F21</f>
        <v>0</v>
      </c>
      <c r="G21" s="172">
        <f>'תקציב אגף נכסים וביטוח 2020 '!G21</f>
        <v>100000</v>
      </c>
      <c r="H21" s="172">
        <f>'תקציב אגף נכסים וביטוח 2020 '!H21</f>
        <v>21470</v>
      </c>
      <c r="I21" s="172">
        <f>'תקציב אגף נכסים וביטוח 2020 '!I21</f>
        <v>0</v>
      </c>
      <c r="J21" s="172">
        <f>'תקציב אגף נכסים וביטוח 2020 '!J21</f>
        <v>7195</v>
      </c>
      <c r="K21" s="172">
        <f>'תקציב אגף נכסים וביטוח 2020 '!K21</f>
        <v>7195</v>
      </c>
      <c r="L21" s="172">
        <f>'תקציב אגף נכסים וביטוח 2020 '!L21</f>
        <v>28665</v>
      </c>
      <c r="M21" s="172">
        <f>'תקציב אגף נכסים וביטוח 2020 '!M21</f>
        <v>71335</v>
      </c>
      <c r="N21" s="172">
        <f>'תקציב אגף נכסים וביטוח 2020 '!N21</f>
        <v>0</v>
      </c>
      <c r="O21" s="172">
        <f>'תקציב אגף נכסים וביטוח 2020 '!O21</f>
        <v>0</v>
      </c>
      <c r="P21" s="172">
        <f>'תקציב אגף נכסים וביטוח 2020 '!P21</f>
        <v>71335</v>
      </c>
      <c r="Q21" s="172">
        <f>'תקציב אגף נכסים וביטוח 2020 '!Q21</f>
        <v>0</v>
      </c>
      <c r="R21" s="172">
        <f>'תקציב אגף נכסים וביטוח 2020 '!R21</f>
        <v>0</v>
      </c>
      <c r="S21" s="172">
        <f>'תקציב אגף נכסים וביטוח 2020 '!S21</f>
        <v>0</v>
      </c>
      <c r="T21" s="172">
        <f>'תקציב אגף נכסים וביטוח 2020 '!T21</f>
        <v>0</v>
      </c>
      <c r="U21" s="172">
        <f>'תקציב אגף נכסים וביטוח 2020 '!U21</f>
        <v>0</v>
      </c>
      <c r="V21" s="172">
        <f>'תקציב אגף נכסים וביטוח 2020 '!V21</f>
        <v>0</v>
      </c>
      <c r="W21" s="172">
        <f>'תקציב אגף נכסים וביטוח 2020 '!W21</f>
        <v>0</v>
      </c>
      <c r="X21" s="172">
        <f>'תקציב אגף נכסים וביטוח 2020 '!X21</f>
        <v>0</v>
      </c>
      <c r="Y21" s="172">
        <f>'תקציב אגף נכסים וביטוח 2020 '!Y21</f>
        <v>0</v>
      </c>
      <c r="Z21" s="172">
        <f>'תקציב אגף נכסים וביטוח 2020 '!Z21</f>
        <v>0</v>
      </c>
      <c r="AA21" s="405" t="str">
        <f>'תקציב אגף נכסים וביטוח 2020 '!AA21</f>
        <v>הכנת תוכנית לצרכי רישום מתחם מלון דניאל.</v>
      </c>
      <c r="AB21" s="724">
        <f>'תקציב אגף נכסים וביטוח 2020 '!AB21</f>
        <v>930000</v>
      </c>
      <c r="AC21" s="189"/>
      <c r="AD21" s="189"/>
      <c r="AE21" s="372"/>
    </row>
    <row r="22" spans="1:31" s="196" customFormat="1" ht="30" customHeight="1">
      <c r="A22" s="197">
        <f t="shared" si="2"/>
        <v>17</v>
      </c>
      <c r="B22" s="724">
        <f>'תקציב אגף נכסים וביטוח 2020 '!B22</f>
        <v>2171</v>
      </c>
      <c r="C22" s="405" t="str">
        <f>'תקציב אגף נכסים וביטוח 2020 '!C22</f>
        <v>רכישת זכויות דיירות מוגנת חנות (קראוזר) מרכז מסחרי נוף ים גוש 6670 חל' 269</v>
      </c>
      <c r="D22" s="172">
        <f>'תקציב אגף נכסים וביטוח 2020 '!D22</f>
        <v>405000</v>
      </c>
      <c r="E22" s="172">
        <f>'תקציב אגף נכסים וביטוח 2020 '!E22</f>
        <v>0</v>
      </c>
      <c r="F22" s="172">
        <f>'תקציב אגף נכסים וביטוח 2020 '!F22</f>
        <v>405000</v>
      </c>
      <c r="G22" s="172">
        <f>'תקציב אגף נכסים וביטוח 2020 '!G22</f>
        <v>0</v>
      </c>
      <c r="H22" s="172">
        <f>'תקציב אגף נכסים וביטוח 2020 '!H22</f>
        <v>0</v>
      </c>
      <c r="I22" s="172">
        <f>'תקציב אגף נכסים וביטוח 2020 '!I22</f>
        <v>0</v>
      </c>
      <c r="J22" s="172">
        <f>'תקציב אגף נכסים וביטוח 2020 '!J22</f>
        <v>0</v>
      </c>
      <c r="K22" s="172">
        <f>'תקציב אגף נכסים וביטוח 2020 '!K22</f>
        <v>0</v>
      </c>
      <c r="L22" s="172">
        <f>'תקציב אגף נכסים וביטוח 2020 '!L22</f>
        <v>0</v>
      </c>
      <c r="M22" s="172">
        <f>'תקציב אגף נכסים וביטוח 2020 '!M22</f>
        <v>0</v>
      </c>
      <c r="N22" s="172">
        <f>'תקציב אגף נכסים וביטוח 2020 '!N22</f>
        <v>405000</v>
      </c>
      <c r="O22" s="172">
        <f>'תקציב אגף נכסים וביטוח 2020 '!O22</f>
        <v>0</v>
      </c>
      <c r="P22" s="172">
        <f>'תקציב אגף נכסים וביטוח 2020 '!P22</f>
        <v>0</v>
      </c>
      <c r="Q22" s="172">
        <f>'תקציב אגף נכסים וביטוח 2020 '!Q22</f>
        <v>0</v>
      </c>
      <c r="R22" s="172">
        <f>'תקציב אגף נכסים וביטוח 2020 '!R22</f>
        <v>0</v>
      </c>
      <c r="S22" s="172">
        <f>'תקציב אגף נכסים וביטוח 2020 '!S22</f>
        <v>0</v>
      </c>
      <c r="T22" s="172">
        <f>'תקציב אגף נכסים וביטוח 2020 '!T22</f>
        <v>0</v>
      </c>
      <c r="U22" s="172">
        <f>'תקציב אגף נכסים וביטוח 2020 '!U22</f>
        <v>405000</v>
      </c>
      <c r="V22" s="172">
        <f>'תקציב אגף נכסים וביטוח 2020 '!V22</f>
        <v>405000</v>
      </c>
      <c r="W22" s="172">
        <f>'תקציב אגף נכסים וביטוח 2020 '!W22</f>
        <v>0</v>
      </c>
      <c r="X22" s="172">
        <f>'תקציב אגף נכסים וביטוח 2020 '!X22</f>
        <v>0</v>
      </c>
      <c r="Y22" s="172">
        <f>'תקציב אגף נכסים וביטוח 2020 '!Y22</f>
        <v>0</v>
      </c>
      <c r="Z22" s="172">
        <f>'תקציב אגף נכסים וביטוח 2020 '!Z22</f>
        <v>0</v>
      </c>
      <c r="AA22" s="405" t="str">
        <f>'תקציב אגף נכסים וביטוח 2020 '!AA22</f>
        <v>רכישת זכויות דיירת מוגנת בנכס-חנות מרכז מסחרי נוף ים.</v>
      </c>
      <c r="AB22" s="724">
        <f>'תקציב אגף נכסים וביטוח 2020 '!AB22</f>
        <v>930000</v>
      </c>
      <c r="AC22" s="189"/>
      <c r="AD22" s="189"/>
      <c r="AE22" s="372"/>
    </row>
    <row r="23" spans="1:31" s="200" customFormat="1" ht="30" customHeight="1">
      <c r="A23" s="201">
        <f>A22</f>
        <v>17</v>
      </c>
      <c r="B23" s="800"/>
      <c r="C23" s="221" t="s">
        <v>696</v>
      </c>
      <c r="D23" s="207">
        <f t="shared" ref="D23:Z23" si="3">SUM(D6:D22)</f>
        <v>162104000</v>
      </c>
      <c r="E23" s="207">
        <f t="shared" si="3"/>
        <v>161399000</v>
      </c>
      <c r="F23" s="207">
        <f t="shared" si="3"/>
        <v>705000</v>
      </c>
      <c r="G23" s="207">
        <f t="shared" si="3"/>
        <v>90422525</v>
      </c>
      <c r="H23" s="207">
        <f t="shared" si="3"/>
        <v>69642075.710000008</v>
      </c>
      <c r="I23" s="207">
        <f t="shared" si="3"/>
        <v>0</v>
      </c>
      <c r="J23" s="207">
        <f t="shared" si="3"/>
        <v>7195</v>
      </c>
      <c r="K23" s="207">
        <f t="shared" si="3"/>
        <v>7195</v>
      </c>
      <c r="L23" s="207">
        <f t="shared" si="3"/>
        <v>69649270.710000008</v>
      </c>
      <c r="M23" s="207">
        <f t="shared" si="3"/>
        <v>20823254.290000003</v>
      </c>
      <c r="N23" s="207">
        <f t="shared" si="3"/>
        <v>8924300</v>
      </c>
      <c r="O23" s="207">
        <f t="shared" si="3"/>
        <v>62707175</v>
      </c>
      <c r="P23" s="207">
        <f t="shared" si="3"/>
        <v>20773254.290000003</v>
      </c>
      <c r="Q23" s="207">
        <f t="shared" si="3"/>
        <v>50000</v>
      </c>
      <c r="R23" s="207">
        <f t="shared" si="3"/>
        <v>0</v>
      </c>
      <c r="S23" s="207">
        <f t="shared" si="3"/>
        <v>50000</v>
      </c>
      <c r="T23" s="207">
        <f t="shared" si="3"/>
        <v>0</v>
      </c>
      <c r="U23" s="207">
        <f t="shared" si="3"/>
        <v>8924300</v>
      </c>
      <c r="V23" s="207">
        <f t="shared" si="3"/>
        <v>8924300</v>
      </c>
      <c r="W23" s="207">
        <f t="shared" si="3"/>
        <v>0</v>
      </c>
      <c r="X23" s="207">
        <f t="shared" si="3"/>
        <v>0</v>
      </c>
      <c r="Y23" s="207">
        <f t="shared" si="3"/>
        <v>0</v>
      </c>
      <c r="Z23" s="207">
        <f t="shared" si="3"/>
        <v>0</v>
      </c>
      <c r="AA23" s="187"/>
      <c r="AB23" s="201"/>
      <c r="AC23" s="189"/>
      <c r="AD23" s="189"/>
      <c r="AE23" s="196"/>
    </row>
    <row r="24" spans="1:31">
      <c r="L24" s="193">
        <f>K23+H23</f>
        <v>69649270.710000008</v>
      </c>
      <c r="M24" s="193">
        <f>P24+S23-T23</f>
        <v>20823254.289999992</v>
      </c>
      <c r="P24" s="193">
        <f>G23-L24</f>
        <v>20773254.289999992</v>
      </c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2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5"/>
  <sheetViews>
    <sheetView rightToLeft="1" tabSelected="1" topLeftCell="A16" zoomScaleNormal="100" workbookViewId="0">
      <selection activeCell="Q24" sqref="Q24"/>
    </sheetView>
  </sheetViews>
  <sheetFormatPr defaultColWidth="9.109375" defaultRowHeight="13.8"/>
  <cols>
    <col min="1" max="3" width="4.109375" style="274" customWidth="1"/>
    <col min="4" max="4" width="34.88671875" style="274" customWidth="1"/>
    <col min="5" max="5" width="30.44140625" style="274" customWidth="1"/>
    <col min="6" max="6" width="10.88671875" style="274" customWidth="1"/>
    <col min="7" max="16384" width="9.109375" style="274"/>
  </cols>
  <sheetData>
    <row r="3" spans="1:8" ht="21">
      <c r="A3" s="273"/>
      <c r="C3" s="275" t="s">
        <v>341</v>
      </c>
      <c r="D3" s="273"/>
      <c r="E3" s="273"/>
      <c r="F3" s="273"/>
    </row>
    <row r="4" spans="1:8" ht="21.6" thickBot="1">
      <c r="A4" s="273"/>
      <c r="C4" s="275"/>
      <c r="D4" s="273"/>
      <c r="E4" s="273"/>
      <c r="F4" s="273"/>
    </row>
    <row r="5" spans="1:8" ht="16.2" thickBot="1">
      <c r="A5" s="273"/>
      <c r="B5" s="276" t="s">
        <v>227</v>
      </c>
      <c r="C5" s="273" t="s">
        <v>1351</v>
      </c>
      <c r="D5" s="273"/>
      <c r="E5" s="273"/>
      <c r="F5" s="277">
        <f>'תקציב מינהל כללי 2020 '!U15</f>
        <v>8924955</v>
      </c>
    </row>
    <row r="6" spans="1:8" ht="15.6">
      <c r="B6" s="276"/>
      <c r="C6" s="273"/>
      <c r="D6" s="273"/>
      <c r="E6" s="273"/>
      <c r="F6" s="273"/>
      <c r="G6" s="273"/>
      <c r="H6" s="273"/>
    </row>
    <row r="7" spans="1:8" ht="15.6">
      <c r="B7" s="276" t="s">
        <v>227</v>
      </c>
      <c r="C7" s="273" t="s">
        <v>365</v>
      </c>
      <c r="D7" s="273"/>
      <c r="E7" s="273"/>
      <c r="F7" s="273"/>
    </row>
    <row r="8" spans="1:8" ht="16.2" thickBot="1">
      <c r="B8" s="273"/>
      <c r="C8" s="273"/>
      <c r="D8" s="273"/>
      <c r="E8" s="273"/>
      <c r="F8" s="273"/>
      <c r="G8" s="273"/>
      <c r="H8" s="273"/>
    </row>
    <row r="9" spans="1:8" ht="15.6">
      <c r="D9" s="286" t="s">
        <v>366</v>
      </c>
      <c r="E9" s="287" t="s">
        <v>367</v>
      </c>
      <c r="F9" s="288" t="s">
        <v>369</v>
      </c>
      <c r="G9" s="273"/>
      <c r="H9" s="273"/>
    </row>
    <row r="10" spans="1:8" ht="15.6">
      <c r="C10" s="276"/>
      <c r="D10" s="280" t="s">
        <v>13</v>
      </c>
      <c r="E10" s="289">
        <f>'תקציב מינהל כללי 2020 '!V15</f>
        <v>2455926</v>
      </c>
      <c r="F10" s="297">
        <f>E10/$E$12</f>
        <v>0.2751751689504317</v>
      </c>
      <c r="G10" s="273"/>
      <c r="H10" s="273"/>
    </row>
    <row r="11" spans="1:8" ht="15.6">
      <c r="C11" s="276"/>
      <c r="D11" s="280" t="s">
        <v>14</v>
      </c>
      <c r="E11" s="289">
        <f>'תקציב מינהל כללי 2020 '!W15</f>
        <v>6469029</v>
      </c>
      <c r="F11" s="297">
        <f>E11/$E$12</f>
        <v>0.7248248310495683</v>
      </c>
      <c r="G11" s="273"/>
      <c r="H11" s="273"/>
    </row>
    <row r="12" spans="1:8" ht="16.2" thickBot="1">
      <c r="C12" s="276"/>
      <c r="D12" s="283" t="s">
        <v>120</v>
      </c>
      <c r="E12" s="291">
        <f>SUM(E10:E11)</f>
        <v>8924955</v>
      </c>
      <c r="F12" s="163">
        <f>SUM(F10:F11)</f>
        <v>1</v>
      </c>
      <c r="G12" s="273"/>
      <c r="H12" s="273"/>
    </row>
    <row r="13" spans="1:8" ht="15.6">
      <c r="C13" s="276"/>
      <c r="D13" s="279"/>
      <c r="E13" s="300"/>
      <c r="F13" s="303"/>
      <c r="G13" s="273"/>
      <c r="H13" s="273"/>
    </row>
    <row r="14" spans="1:8" ht="15.6">
      <c r="C14" s="276"/>
      <c r="D14" s="279"/>
      <c r="E14" s="300"/>
      <c r="F14" s="303"/>
      <c r="G14" s="273"/>
      <c r="H14" s="273"/>
    </row>
    <row r="15" spans="1:8" ht="15.6">
      <c r="B15" s="276"/>
      <c r="C15" s="273"/>
      <c r="D15" s="273"/>
      <c r="E15" s="273"/>
      <c r="F15" s="273"/>
    </row>
    <row r="16" spans="1:8" ht="15.6">
      <c r="B16" s="276" t="s">
        <v>227</v>
      </c>
      <c r="C16" s="273" t="s">
        <v>924</v>
      </c>
      <c r="D16" s="273"/>
      <c r="F16" s="273"/>
      <c r="G16" s="273"/>
      <c r="H16" s="273"/>
    </row>
    <row r="17" spans="2:8" ht="15.6">
      <c r="C17" s="273" t="s">
        <v>898</v>
      </c>
      <c r="D17" s="273"/>
      <c r="E17" s="273"/>
      <c r="F17" s="273"/>
    </row>
    <row r="18" spans="2:8" ht="15.6">
      <c r="B18" s="276"/>
      <c r="C18" s="273" t="s">
        <v>389</v>
      </c>
      <c r="D18" s="273"/>
      <c r="E18" s="273"/>
      <c r="F18" s="273"/>
      <c r="G18" s="273"/>
      <c r="H18" s="273"/>
    </row>
    <row r="19" spans="2:8" ht="15.6">
      <c r="B19" s="276"/>
      <c r="C19" s="273"/>
      <c r="D19" s="273"/>
      <c r="E19" s="273"/>
      <c r="F19" s="273"/>
      <c r="G19" s="273"/>
      <c r="H19" s="273"/>
    </row>
    <row r="20" spans="2:8" ht="15.6">
      <c r="C20" s="446" t="s">
        <v>1505</v>
      </c>
      <c r="D20" s="448"/>
    </row>
    <row r="35" spans="3:3">
      <c r="C35" s="447"/>
    </row>
  </sheetData>
  <sortState ref="C20">
    <sortCondition ref="C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"/>
  <sheetViews>
    <sheetView showZeros="0" rightToLeft="1" tabSelected="1" zoomScaleNormal="100" workbookViewId="0">
      <pane xSplit="3" ySplit="4" topLeftCell="D9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4.77734375" style="191" customWidth="1"/>
    <col min="3" max="3" width="26.5546875" style="191" customWidth="1"/>
    <col min="4" max="5" width="10" style="192" customWidth="1"/>
    <col min="6" max="6" width="9.6640625" style="192" customWidth="1"/>
    <col min="7" max="11" width="9.6640625" style="192" hidden="1" customWidth="1"/>
    <col min="12" max="15" width="9.6640625" style="192" customWidth="1"/>
    <col min="16" max="19" width="9.6640625" style="192" hidden="1" customWidth="1"/>
    <col min="20" max="20" width="9.6640625" style="192" customWidth="1"/>
    <col min="21" max="23" width="9.6640625" style="191" customWidth="1"/>
    <col min="24" max="25" width="11.88671875" style="191" hidden="1" customWidth="1"/>
    <col min="26" max="26" width="12.6640625" style="191" hidden="1" customWidth="1"/>
    <col min="27" max="27" width="31.44140625" style="210" customWidth="1"/>
    <col min="28" max="28" width="7.88671875" style="191" hidden="1" customWidth="1"/>
    <col min="29" max="29" width="9.109375" style="191" customWidth="1"/>
    <col min="30" max="30" width="25.109375" style="210" customWidth="1"/>
    <col min="31" max="31" width="21.109375" style="331" customWidth="1"/>
    <col min="32" max="32" width="15.109375" style="331" customWidth="1"/>
    <col min="33" max="33" width="11.5546875" style="331" customWidth="1"/>
    <col min="34" max="34" width="9.109375" style="191" customWidth="1"/>
    <col min="35" max="16384" width="9.109375" style="191"/>
  </cols>
  <sheetData>
    <row r="1" spans="1:34" s="331" customFormat="1">
      <c r="A1" s="824"/>
      <c r="B1" s="824"/>
      <c r="C1" s="824"/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  <c r="P1" s="824"/>
      <c r="Q1" s="824"/>
      <c r="R1" s="824"/>
      <c r="S1" s="824"/>
      <c r="T1" s="824"/>
      <c r="U1" s="824"/>
      <c r="V1" s="824"/>
      <c r="W1" s="824"/>
      <c r="X1" s="373"/>
      <c r="Y1" s="373"/>
      <c r="AA1" s="332"/>
      <c r="AD1" s="210"/>
    </row>
    <row r="2" spans="1:34">
      <c r="A2" s="329" t="s">
        <v>341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4" spans="1:34" s="366" customFormat="1" ht="86.25" customHeight="1">
      <c r="A4" s="221" t="s">
        <v>0</v>
      </c>
      <c r="B4" s="221" t="s">
        <v>1</v>
      </c>
      <c r="C4" s="221" t="s">
        <v>2</v>
      </c>
      <c r="D4" s="221" t="s">
        <v>3</v>
      </c>
      <c r="E4" s="221" t="s">
        <v>4</v>
      </c>
      <c r="F4" s="221" t="s">
        <v>5</v>
      </c>
      <c r="G4" s="221" t="s">
        <v>6</v>
      </c>
      <c r="H4" s="221" t="s">
        <v>7</v>
      </c>
      <c r="I4" s="221" t="s">
        <v>9</v>
      </c>
      <c r="J4" s="221" t="s">
        <v>215</v>
      </c>
      <c r="K4" s="221" t="s">
        <v>10</v>
      </c>
      <c r="L4" s="221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221" t="s">
        <v>13</v>
      </c>
      <c r="W4" s="221" t="s">
        <v>14</v>
      </c>
      <c r="X4" s="221" t="s">
        <v>15</v>
      </c>
      <c r="Y4" s="221" t="s">
        <v>354</v>
      </c>
      <c r="Z4" s="221" t="s">
        <v>105</v>
      </c>
      <c r="AA4" s="645" t="s">
        <v>410</v>
      </c>
      <c r="AB4" s="221" t="s">
        <v>16</v>
      </c>
      <c r="AD4" s="210"/>
      <c r="AE4" s="331"/>
      <c r="AF4" s="331"/>
      <c r="AG4" s="331"/>
    </row>
    <row r="5" spans="1:34" s="202" customFormat="1" ht="18.75" customHeigh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>
        <f t="shared" ref="O5:O12" si="0">D5-L5-M5-N5</f>
        <v>0</v>
      </c>
      <c r="P5" s="199"/>
      <c r="Q5" s="199"/>
      <c r="R5" s="199"/>
      <c r="S5" s="199"/>
      <c r="T5" s="199"/>
      <c r="U5" s="199">
        <f t="shared" ref="U5:U12" si="1">N5-T5</f>
        <v>0</v>
      </c>
      <c r="V5" s="199"/>
      <c r="W5" s="199"/>
      <c r="X5" s="199"/>
      <c r="Y5" s="199"/>
      <c r="Z5" s="198"/>
      <c r="AA5" s="198"/>
      <c r="AB5" s="198"/>
      <c r="AD5" s="210"/>
      <c r="AE5" s="331"/>
      <c r="AF5" s="331"/>
      <c r="AG5" s="331"/>
    </row>
    <row r="6" spans="1:34" s="5" customFormat="1" ht="55.2">
      <c r="A6" s="3">
        <v>1</v>
      </c>
      <c r="B6" s="3">
        <v>529</v>
      </c>
      <c r="C6" s="3" t="s">
        <v>80</v>
      </c>
      <c r="D6" s="4">
        <f>650000+50000</f>
        <v>700000</v>
      </c>
      <c r="E6" s="4">
        <v>650000</v>
      </c>
      <c r="F6" s="4">
        <f t="shared" ref="F6:F12" si="2">D6-E6</f>
        <v>50000</v>
      </c>
      <c r="G6" s="4">
        <v>650000</v>
      </c>
      <c r="H6" s="4">
        <v>511920.77</v>
      </c>
      <c r="I6" s="4"/>
      <c r="J6" s="4"/>
      <c r="K6" s="4">
        <f t="shared" ref="K6:K12" si="3">SUM(I6:J6)</f>
        <v>0</v>
      </c>
      <c r="L6" s="4">
        <f t="shared" ref="L6:L12" si="4">H6+K6</f>
        <v>511920.77</v>
      </c>
      <c r="M6" s="4">
        <f t="shared" ref="M6:M13" si="5">P6+S6</f>
        <v>138079.22999999998</v>
      </c>
      <c r="N6" s="4">
        <v>50000</v>
      </c>
      <c r="O6" s="4">
        <f t="shared" si="0"/>
        <v>0</v>
      </c>
      <c r="P6" s="4">
        <f t="shared" ref="P6:P12" si="6">G6-L6</f>
        <v>138079.22999999998</v>
      </c>
      <c r="Q6" s="4"/>
      <c r="R6" s="4"/>
      <c r="S6" s="4">
        <f t="shared" ref="S6:S12" si="7">SUM(Q6:R6)</f>
        <v>0</v>
      </c>
      <c r="T6" s="4">
        <f t="shared" ref="T6:T12" si="8">P6-M6+S6</f>
        <v>0</v>
      </c>
      <c r="U6" s="4">
        <f t="shared" si="1"/>
        <v>50000</v>
      </c>
      <c r="V6" s="4">
        <f>U6-W6-Y6-Z6</f>
        <v>50000</v>
      </c>
      <c r="W6" s="4"/>
      <c r="X6" s="4"/>
      <c r="Y6" s="4"/>
      <c r="Z6" s="4"/>
      <c r="AA6" s="198" t="s">
        <v>577</v>
      </c>
      <c r="AB6" s="3">
        <v>840000</v>
      </c>
      <c r="AD6" s="210"/>
      <c r="AE6" s="40"/>
      <c r="AF6" s="14"/>
      <c r="AG6" s="14"/>
      <c r="AH6" s="14"/>
    </row>
    <row r="7" spans="1:34" s="5" customFormat="1" ht="41.4">
      <c r="A7" s="198">
        <f>A6+1</f>
        <v>2</v>
      </c>
      <c r="B7" s="3">
        <v>1032</v>
      </c>
      <c r="C7" s="3" t="s">
        <v>188</v>
      </c>
      <c r="D7" s="4">
        <v>40500000</v>
      </c>
      <c r="E7" s="4">
        <v>40500000</v>
      </c>
      <c r="F7" s="4">
        <f t="shared" si="2"/>
        <v>0</v>
      </c>
      <c r="G7" s="4">
        <v>29360000</v>
      </c>
      <c r="H7" s="4">
        <v>25078870</v>
      </c>
      <c r="I7" s="4"/>
      <c r="J7" s="4">
        <v>2159342.71</v>
      </c>
      <c r="K7" s="4">
        <f t="shared" si="3"/>
        <v>2159342.71</v>
      </c>
      <c r="L7" s="4">
        <f t="shared" si="4"/>
        <v>27238212.710000001</v>
      </c>
      <c r="M7" s="4">
        <f t="shared" si="5"/>
        <v>2671787.2899999991</v>
      </c>
      <c r="N7" s="4">
        <f>10900000-1500000-4400000-2000000</f>
        <v>3000000</v>
      </c>
      <c r="O7" s="4">
        <f t="shared" si="0"/>
        <v>7590000</v>
      </c>
      <c r="P7" s="4">
        <f t="shared" si="6"/>
        <v>2121787.2899999991</v>
      </c>
      <c r="Q7" s="4">
        <v>550000</v>
      </c>
      <c r="R7" s="4"/>
      <c r="S7" s="4">
        <f t="shared" si="7"/>
        <v>550000</v>
      </c>
      <c r="T7" s="4">
        <f t="shared" si="8"/>
        <v>0</v>
      </c>
      <c r="U7" s="4">
        <f t="shared" si="1"/>
        <v>3000000</v>
      </c>
      <c r="V7" s="4">
        <f t="shared" ref="V7:V12" si="9">U7-Z7-W7-Y7</f>
        <v>1500000</v>
      </c>
      <c r="W7" s="4">
        <f>500000+500000+500000</f>
        <v>1500000</v>
      </c>
      <c r="X7" s="4"/>
      <c r="Y7" s="4"/>
      <c r="Z7" s="3"/>
      <c r="AA7" s="198" t="s">
        <v>1352</v>
      </c>
      <c r="AB7" s="3">
        <v>742000</v>
      </c>
      <c r="AC7" s="32"/>
      <c r="AD7" s="210"/>
      <c r="AE7" s="40"/>
      <c r="AF7" s="331"/>
      <c r="AG7" s="331"/>
      <c r="AH7" s="56"/>
    </row>
    <row r="8" spans="1:34" s="202" customFormat="1" ht="27.6">
      <c r="A8" s="198">
        <f t="shared" ref="A8:A14" si="10">A7+1</f>
        <v>3</v>
      </c>
      <c r="B8" s="198">
        <v>1130</v>
      </c>
      <c r="C8" s="198" t="s">
        <v>36</v>
      </c>
      <c r="D8" s="199">
        <v>16000000</v>
      </c>
      <c r="E8" s="199">
        <v>16000000</v>
      </c>
      <c r="F8" s="199">
        <f t="shared" si="2"/>
        <v>0</v>
      </c>
      <c r="G8" s="199">
        <v>13481894</v>
      </c>
      <c r="H8" s="199">
        <v>12201057.67</v>
      </c>
      <c r="I8" s="199">
        <v>68955.83</v>
      </c>
      <c r="J8" s="199">
        <v>768332.26</v>
      </c>
      <c r="K8" s="4">
        <f t="shared" si="3"/>
        <v>837288.09</v>
      </c>
      <c r="L8" s="4">
        <f t="shared" si="4"/>
        <v>13038345.76</v>
      </c>
      <c r="M8" s="4">
        <f t="shared" si="5"/>
        <v>443548.24000000022</v>
      </c>
      <c r="N8" s="4">
        <v>500000</v>
      </c>
      <c r="O8" s="4">
        <f t="shared" si="0"/>
        <v>2018106</v>
      </c>
      <c r="P8" s="4">
        <f t="shared" si="6"/>
        <v>443548.24000000022</v>
      </c>
      <c r="Q8" s="4"/>
      <c r="R8" s="4"/>
      <c r="S8" s="4">
        <f t="shared" si="7"/>
        <v>0</v>
      </c>
      <c r="T8" s="4">
        <f t="shared" si="8"/>
        <v>0</v>
      </c>
      <c r="U8" s="4">
        <f t="shared" si="1"/>
        <v>500000</v>
      </c>
      <c r="V8" s="4">
        <f t="shared" si="9"/>
        <v>0</v>
      </c>
      <c r="W8" s="4">
        <f>250000+250000</f>
        <v>500000</v>
      </c>
      <c r="X8" s="4"/>
      <c r="Y8" s="4"/>
      <c r="Z8" s="3"/>
      <c r="AA8" s="198" t="s">
        <v>1353</v>
      </c>
      <c r="AB8" s="198">
        <v>742000</v>
      </c>
      <c r="AD8" s="210"/>
      <c r="AE8" s="40"/>
      <c r="AF8" s="331"/>
      <c r="AG8" s="331"/>
      <c r="AH8" s="56"/>
    </row>
    <row r="9" spans="1:34" s="202" customFormat="1" ht="27.6">
      <c r="A9" s="198">
        <f t="shared" si="10"/>
        <v>4</v>
      </c>
      <c r="B9" s="198">
        <v>1259</v>
      </c>
      <c r="C9" s="198" t="s">
        <v>72</v>
      </c>
      <c r="D9" s="199">
        <v>5460000</v>
      </c>
      <c r="E9" s="199">
        <v>5460000</v>
      </c>
      <c r="F9" s="199">
        <f t="shared" si="2"/>
        <v>0</v>
      </c>
      <c r="G9" s="199">
        <v>3610000</v>
      </c>
      <c r="H9" s="199">
        <v>3414383.32</v>
      </c>
      <c r="I9" s="199"/>
      <c r="J9" s="199">
        <v>46683.76</v>
      </c>
      <c r="K9" s="4">
        <f t="shared" si="3"/>
        <v>46683.76</v>
      </c>
      <c r="L9" s="4">
        <f t="shared" si="4"/>
        <v>3461067.0799999996</v>
      </c>
      <c r="M9" s="4">
        <f t="shared" si="5"/>
        <v>148932.92000000039</v>
      </c>
      <c r="N9" s="4">
        <f>350000+150000</f>
        <v>500000</v>
      </c>
      <c r="O9" s="4">
        <f t="shared" si="0"/>
        <v>1350000</v>
      </c>
      <c r="P9" s="4">
        <f t="shared" si="6"/>
        <v>148932.92000000039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500000</v>
      </c>
      <c r="V9" s="4">
        <f t="shared" si="9"/>
        <v>0</v>
      </c>
      <c r="W9" s="4">
        <f>350000+150000</f>
        <v>500000</v>
      </c>
      <c r="X9" s="4"/>
      <c r="Y9" s="4"/>
      <c r="Z9" s="3"/>
      <c r="AA9" s="198" t="s">
        <v>394</v>
      </c>
      <c r="AB9" s="198">
        <v>760000</v>
      </c>
      <c r="AD9" s="210"/>
      <c r="AE9" s="40"/>
      <c r="AF9" s="331"/>
      <c r="AG9" s="331"/>
      <c r="AH9" s="56"/>
    </row>
    <row r="10" spans="1:34" s="202" customFormat="1" ht="27.6">
      <c r="A10" s="198">
        <f t="shared" si="10"/>
        <v>5</v>
      </c>
      <c r="B10" s="198">
        <v>1260</v>
      </c>
      <c r="C10" s="198" t="s">
        <v>73</v>
      </c>
      <c r="D10" s="199">
        <v>8608000</v>
      </c>
      <c r="E10" s="199">
        <v>8608000</v>
      </c>
      <c r="F10" s="199">
        <f t="shared" si="2"/>
        <v>0</v>
      </c>
      <c r="G10" s="199">
        <v>8108000</v>
      </c>
      <c r="H10" s="199">
        <v>7840760</v>
      </c>
      <c r="I10" s="199"/>
      <c r="J10" s="199">
        <v>30712.5</v>
      </c>
      <c r="K10" s="4">
        <f t="shared" si="3"/>
        <v>30712.5</v>
      </c>
      <c r="L10" s="4">
        <f t="shared" si="4"/>
        <v>7871472.5</v>
      </c>
      <c r="M10" s="4">
        <f t="shared" si="5"/>
        <v>236527.5</v>
      </c>
      <c r="N10" s="4">
        <v>500000</v>
      </c>
      <c r="O10" s="4">
        <f t="shared" si="0"/>
        <v>0</v>
      </c>
      <c r="P10" s="4">
        <f t="shared" si="6"/>
        <v>236527.5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500000</v>
      </c>
      <c r="V10" s="4">
        <f t="shared" si="9"/>
        <v>0</v>
      </c>
      <c r="W10" s="4">
        <f>250000+250000</f>
        <v>500000</v>
      </c>
      <c r="X10" s="4"/>
      <c r="Y10" s="4"/>
      <c r="Z10" s="3"/>
      <c r="AA10" s="198" t="s">
        <v>395</v>
      </c>
      <c r="AB10" s="198">
        <v>760000</v>
      </c>
      <c r="AD10" s="210"/>
      <c r="AE10" s="40"/>
      <c r="AF10" s="331"/>
      <c r="AG10" s="331"/>
      <c r="AH10" s="56"/>
    </row>
    <row r="11" spans="1:34" s="202" customFormat="1" ht="41.4">
      <c r="A11" s="198">
        <f t="shared" si="10"/>
        <v>6</v>
      </c>
      <c r="B11" s="198">
        <v>1422</v>
      </c>
      <c r="C11" s="198" t="s">
        <v>74</v>
      </c>
      <c r="D11" s="199">
        <v>30257000</v>
      </c>
      <c r="E11" s="199">
        <v>30257000</v>
      </c>
      <c r="F11" s="199">
        <f t="shared" si="2"/>
        <v>0</v>
      </c>
      <c r="G11" s="199">
        <v>14182000</v>
      </c>
      <c r="H11" s="199">
        <v>7257000</v>
      </c>
      <c r="I11" s="199"/>
      <c r="J11" s="199"/>
      <c r="K11" s="4">
        <f t="shared" si="3"/>
        <v>0</v>
      </c>
      <c r="L11" s="4">
        <f t="shared" si="4"/>
        <v>7257000</v>
      </c>
      <c r="M11" s="4">
        <f t="shared" si="5"/>
        <v>6925000</v>
      </c>
      <c r="N11" s="4"/>
      <c r="O11" s="4">
        <f t="shared" si="0"/>
        <v>16075000</v>
      </c>
      <c r="P11" s="4">
        <f t="shared" si="6"/>
        <v>6925000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0</v>
      </c>
      <c r="V11" s="4">
        <f t="shared" si="9"/>
        <v>0</v>
      </c>
      <c r="W11" s="4"/>
      <c r="X11" s="4"/>
      <c r="Y11" s="4"/>
      <c r="Z11" s="3"/>
      <c r="AA11" s="198" t="s">
        <v>646</v>
      </c>
      <c r="AB11" s="198">
        <v>730000</v>
      </c>
      <c r="AD11" s="210"/>
      <c r="AE11" s="40"/>
      <c r="AF11" s="331"/>
      <c r="AG11" s="331"/>
      <c r="AH11" s="56"/>
    </row>
    <row r="12" spans="1:34" s="202" customFormat="1" ht="27.6">
      <c r="A12" s="198">
        <f t="shared" si="10"/>
        <v>7</v>
      </c>
      <c r="B12" s="198">
        <v>1688</v>
      </c>
      <c r="C12" s="198" t="s">
        <v>75</v>
      </c>
      <c r="D12" s="199">
        <v>15133000</v>
      </c>
      <c r="E12" s="199">
        <v>15133000</v>
      </c>
      <c r="F12" s="199">
        <f t="shared" si="2"/>
        <v>0</v>
      </c>
      <c r="G12" s="199">
        <v>15133000</v>
      </c>
      <c r="H12" s="199">
        <v>15133000</v>
      </c>
      <c r="I12" s="199"/>
      <c r="J12" s="199"/>
      <c r="K12" s="4">
        <f t="shared" si="3"/>
        <v>0</v>
      </c>
      <c r="L12" s="4">
        <f t="shared" si="4"/>
        <v>15133000</v>
      </c>
      <c r="M12" s="4">
        <f t="shared" si="5"/>
        <v>0</v>
      </c>
      <c r="N12" s="4"/>
      <c r="O12" s="4">
        <f t="shared" si="0"/>
        <v>0</v>
      </c>
      <c r="P12" s="4">
        <f t="shared" si="6"/>
        <v>0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0</v>
      </c>
      <c r="V12" s="4">
        <f t="shared" si="9"/>
        <v>0</v>
      </c>
      <c r="W12" s="4"/>
      <c r="X12" s="4"/>
      <c r="Y12" s="4"/>
      <c r="Z12" s="3"/>
      <c r="AA12" s="198" t="s">
        <v>647</v>
      </c>
      <c r="AB12" s="198">
        <v>990000</v>
      </c>
      <c r="AD12" s="210"/>
      <c r="AE12" s="40"/>
      <c r="AF12" s="331"/>
      <c r="AG12" s="331"/>
      <c r="AH12" s="56"/>
    </row>
    <row r="13" spans="1:34" s="202" customFormat="1" ht="41.4">
      <c r="A13" s="198">
        <f t="shared" si="10"/>
        <v>8</v>
      </c>
      <c r="B13" s="198">
        <v>1986</v>
      </c>
      <c r="C13" s="198" t="s">
        <v>202</v>
      </c>
      <c r="D13" s="199">
        <v>3368727</v>
      </c>
      <c r="E13" s="199">
        <v>3368727</v>
      </c>
      <c r="F13" s="199">
        <f>D13-E13</f>
        <v>0</v>
      </c>
      <c r="G13" s="199">
        <v>3368727</v>
      </c>
      <c r="H13" s="199">
        <v>3251011.39</v>
      </c>
      <c r="I13" s="199"/>
      <c r="J13" s="199">
        <v>100000.01</v>
      </c>
      <c r="K13" s="4">
        <f>SUM(I13:J13)</f>
        <v>100000.01</v>
      </c>
      <c r="L13" s="4">
        <f>H13+K13</f>
        <v>3351011.4</v>
      </c>
      <c r="M13" s="4">
        <f t="shared" si="5"/>
        <v>17715.600000000093</v>
      </c>
      <c r="N13" s="4"/>
      <c r="O13" s="4">
        <f>D13-L13-M13-N13</f>
        <v>0</v>
      </c>
      <c r="P13" s="4">
        <f>G13-L13</f>
        <v>17715.600000000093</v>
      </c>
      <c r="Q13" s="4"/>
      <c r="R13" s="4"/>
      <c r="S13" s="4">
        <f>SUM(Q13:R13)</f>
        <v>0</v>
      </c>
      <c r="T13" s="4">
        <f>P13-M13+S13</f>
        <v>0</v>
      </c>
      <c r="U13" s="4">
        <f>N13-T13</f>
        <v>0</v>
      </c>
      <c r="V13" s="4">
        <f>U13-Z13-W13-Y13</f>
        <v>0</v>
      </c>
      <c r="W13" s="4"/>
      <c r="X13" s="4"/>
      <c r="Y13" s="4"/>
      <c r="Z13" s="3"/>
      <c r="AA13" s="198" t="s">
        <v>1354</v>
      </c>
      <c r="AB13" s="198">
        <v>742000</v>
      </c>
      <c r="AC13" s="203"/>
      <c r="AD13" s="210"/>
      <c r="AE13" s="40"/>
      <c r="AF13" s="331"/>
      <c r="AG13" s="331"/>
      <c r="AH13" s="56"/>
    </row>
    <row r="14" spans="1:34" s="202" customFormat="1" ht="55.2">
      <c r="A14" s="198">
        <f t="shared" si="10"/>
        <v>9</v>
      </c>
      <c r="B14" s="198">
        <v>2100</v>
      </c>
      <c r="C14" s="198" t="s">
        <v>644</v>
      </c>
      <c r="D14" s="199">
        <f>10000000-1000000-125045</f>
        <v>8874955</v>
      </c>
      <c r="E14" s="199">
        <v>10000000</v>
      </c>
      <c r="F14" s="199">
        <f>D14-E14</f>
        <v>-1125045</v>
      </c>
      <c r="G14" s="199">
        <v>4500000</v>
      </c>
      <c r="H14" s="199">
        <v>308288.88</v>
      </c>
      <c r="I14" s="199"/>
      <c r="J14" s="199">
        <v>495591.66</v>
      </c>
      <c r="K14" s="199">
        <f>SUM(I14:J14)</f>
        <v>495591.66</v>
      </c>
      <c r="L14" s="199">
        <f>H14+K14</f>
        <v>803880.54</v>
      </c>
      <c r="M14" s="4">
        <f>P14+S14-30971-94074</f>
        <v>3571074.46</v>
      </c>
      <c r="N14" s="199">
        <f>5000000-500000</f>
        <v>4500000</v>
      </c>
      <c r="O14" s="199">
        <f>D14-L14-M14-N14</f>
        <v>0</v>
      </c>
      <c r="P14" s="199">
        <f>G14-L14</f>
        <v>3696119.46</v>
      </c>
      <c r="Q14" s="199"/>
      <c r="R14" s="199"/>
      <c r="S14" s="199">
        <f>SUM(Q14:R14)</f>
        <v>0</v>
      </c>
      <c r="T14" s="199">
        <f>P14-M14+S14</f>
        <v>125045</v>
      </c>
      <c r="U14" s="199">
        <f>N14-T14</f>
        <v>4374955</v>
      </c>
      <c r="V14" s="199">
        <f>U14-W14-Y14-Z14</f>
        <v>905926</v>
      </c>
      <c r="W14" s="199">
        <f>2500000+500000+500000-30971</f>
        <v>3469029</v>
      </c>
      <c r="X14" s="199"/>
      <c r="Y14" s="199"/>
      <c r="Z14" s="198"/>
      <c r="AA14" s="198" t="s">
        <v>645</v>
      </c>
      <c r="AB14" s="198">
        <v>742000</v>
      </c>
      <c r="AD14" s="210"/>
      <c r="AE14" s="331"/>
      <c r="AF14" s="331"/>
      <c r="AG14" s="331"/>
    </row>
    <row r="15" spans="1:34" s="203" customFormat="1" ht="19.95" customHeight="1">
      <c r="A15" s="204">
        <f>A14</f>
        <v>9</v>
      </c>
      <c r="B15" s="204"/>
      <c r="C15" s="204" t="s">
        <v>617</v>
      </c>
      <c r="D15" s="206">
        <f t="shared" ref="D15:Z15" si="11">SUM(D6:D14)</f>
        <v>128901682</v>
      </c>
      <c r="E15" s="206">
        <f t="shared" si="11"/>
        <v>129976727</v>
      </c>
      <c r="F15" s="206">
        <f t="shared" si="11"/>
        <v>-1075045</v>
      </c>
      <c r="G15" s="206">
        <f t="shared" si="11"/>
        <v>92393621</v>
      </c>
      <c r="H15" s="206">
        <f t="shared" si="11"/>
        <v>74996292.029999986</v>
      </c>
      <c r="I15" s="206">
        <f t="shared" si="11"/>
        <v>68955.83</v>
      </c>
      <c r="J15" s="206">
        <f t="shared" si="11"/>
        <v>3600662.8999999994</v>
      </c>
      <c r="K15" s="206">
        <f t="shared" si="11"/>
        <v>3669618.7299999995</v>
      </c>
      <c r="L15" s="206">
        <f t="shared" si="11"/>
        <v>78665910.760000005</v>
      </c>
      <c r="M15" s="206">
        <f t="shared" si="11"/>
        <v>14152665.239999998</v>
      </c>
      <c r="N15" s="206">
        <f t="shared" si="11"/>
        <v>9050000</v>
      </c>
      <c r="O15" s="206">
        <f t="shared" si="11"/>
        <v>27033106</v>
      </c>
      <c r="P15" s="206">
        <f t="shared" si="11"/>
        <v>13727710.239999998</v>
      </c>
      <c r="Q15" s="206">
        <f t="shared" si="11"/>
        <v>550000</v>
      </c>
      <c r="R15" s="206">
        <f t="shared" si="11"/>
        <v>0</v>
      </c>
      <c r="S15" s="206">
        <f t="shared" si="11"/>
        <v>550000</v>
      </c>
      <c r="T15" s="206">
        <f t="shared" si="11"/>
        <v>125045</v>
      </c>
      <c r="U15" s="206">
        <f t="shared" si="11"/>
        <v>8924955</v>
      </c>
      <c r="V15" s="206">
        <f t="shared" si="11"/>
        <v>2455926</v>
      </c>
      <c r="W15" s="206">
        <f t="shared" si="11"/>
        <v>6469029</v>
      </c>
      <c r="X15" s="206">
        <f t="shared" si="11"/>
        <v>0</v>
      </c>
      <c r="Y15" s="206">
        <f t="shared" si="11"/>
        <v>0</v>
      </c>
      <c r="Z15" s="206">
        <f t="shared" si="11"/>
        <v>0</v>
      </c>
      <c r="AA15" s="204"/>
      <c r="AB15" s="204"/>
      <c r="AD15" s="210"/>
      <c r="AE15" s="331"/>
      <c r="AF15" s="331"/>
      <c r="AG15" s="331"/>
      <c r="AH15" s="56"/>
    </row>
    <row r="16" spans="1:34" hidden="1">
      <c r="L16" s="192">
        <f>K15+H15</f>
        <v>78665910.75999999</v>
      </c>
      <c r="M16" s="192">
        <f>P16+S15-T15</f>
        <v>14152665.24000001</v>
      </c>
      <c r="P16" s="192">
        <f>G15-L16</f>
        <v>13727710.24000001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A4">
    <cfRule type="cellIs" dxfId="22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drawing r:id="rId2"/>
  <legacyDrawing r:id="rId3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1"/>
  <sheetViews>
    <sheetView showZeros="0" rightToLeft="1" zoomScaleNormal="100" workbookViewId="0">
      <pane xSplit="3" ySplit="4" topLeftCell="D5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A11" sqref="A11:XFD11"/>
    </sheetView>
  </sheetViews>
  <sheetFormatPr defaultColWidth="9.109375" defaultRowHeight="18"/>
  <cols>
    <col min="1" max="1" width="3.33203125" style="333" customWidth="1"/>
    <col min="2" max="2" width="5.33203125" style="191" customWidth="1"/>
    <col min="3" max="3" width="26.5546875" style="191" customWidth="1"/>
    <col min="4" max="4" width="11.33203125" style="192" customWidth="1"/>
    <col min="5" max="5" width="11.109375" style="192" hidden="1" customWidth="1"/>
    <col min="6" max="6" width="10" style="192" hidden="1" customWidth="1"/>
    <col min="7" max="10" width="12.6640625" style="192" hidden="1" customWidth="1"/>
    <col min="11" max="11" width="11.33203125" style="192" hidden="1" customWidth="1"/>
    <col min="12" max="12" width="10.33203125" style="192" customWidth="1"/>
    <col min="13" max="13" width="10.109375" style="192" customWidth="1"/>
    <col min="14" max="14" width="10.33203125" style="192" customWidth="1"/>
    <col min="15" max="15" width="10" style="192" customWidth="1"/>
    <col min="16" max="17" width="11.109375" style="192" hidden="1" customWidth="1"/>
    <col min="18" max="19" width="12" style="192" hidden="1" customWidth="1"/>
    <col min="20" max="20" width="8.88671875" style="192" customWidth="1"/>
    <col min="21" max="21" width="10" style="191" customWidth="1"/>
    <col min="22" max="22" width="9.6640625" style="191" customWidth="1"/>
    <col min="23" max="23" width="9.5546875" style="191" customWidth="1"/>
    <col min="24" max="25" width="11.88671875" style="191" hidden="1" customWidth="1"/>
    <col min="26" max="26" width="12.6640625" style="191" hidden="1" customWidth="1"/>
    <col min="27" max="27" width="31.44140625" style="396" customWidth="1"/>
    <col min="28" max="28" width="7.88671875" style="191" customWidth="1"/>
    <col min="29" max="29" width="9.109375" style="191" customWidth="1"/>
    <col min="30" max="30" width="25.109375" style="210" customWidth="1"/>
    <col min="31" max="31" width="21.109375" style="331" customWidth="1"/>
    <col min="32" max="32" width="15.109375" style="331" customWidth="1"/>
    <col min="33" max="33" width="11.5546875" style="331" customWidth="1"/>
    <col min="34" max="34" width="9.109375" style="191" customWidth="1"/>
    <col min="35" max="16384" width="9.109375" style="191"/>
  </cols>
  <sheetData>
    <row r="1" spans="1:34" s="331" customFormat="1">
      <c r="A1" s="824"/>
      <c r="B1" s="824"/>
      <c r="C1" s="824"/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  <c r="P1" s="824"/>
      <c r="Q1" s="824"/>
      <c r="R1" s="824"/>
      <c r="S1" s="824"/>
      <c r="T1" s="824"/>
      <c r="U1" s="824"/>
      <c r="V1" s="824"/>
      <c r="W1" s="824"/>
      <c r="X1" s="373"/>
      <c r="Y1" s="373"/>
      <c r="AA1" s="403"/>
      <c r="AD1" s="210"/>
    </row>
    <row r="2" spans="1:34">
      <c r="A2" s="329" t="s">
        <v>341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4" spans="1:34" s="366" customFormat="1" ht="86.25" customHeight="1">
      <c r="A4" s="221" t="s">
        <v>0</v>
      </c>
      <c r="B4" s="221" t="s">
        <v>1</v>
      </c>
      <c r="C4" s="221" t="s">
        <v>2</v>
      </c>
      <c r="D4" s="221" t="s">
        <v>3</v>
      </c>
      <c r="E4" s="221" t="s">
        <v>4</v>
      </c>
      <c r="F4" s="221" t="s">
        <v>5</v>
      </c>
      <c r="G4" s="221" t="s">
        <v>6</v>
      </c>
      <c r="H4" s="221" t="s">
        <v>7</v>
      </c>
      <c r="I4" s="221" t="s">
        <v>9</v>
      </c>
      <c r="J4" s="221" t="s">
        <v>215</v>
      </c>
      <c r="K4" s="221" t="s">
        <v>10</v>
      </c>
      <c r="L4" s="221" t="s">
        <v>11</v>
      </c>
      <c r="M4" s="10" t="s">
        <v>918</v>
      </c>
      <c r="N4" s="10" t="s">
        <v>919</v>
      </c>
      <c r="O4" s="10" t="s">
        <v>920</v>
      </c>
      <c r="P4" s="10" t="s">
        <v>12</v>
      </c>
      <c r="Q4" s="10" t="s">
        <v>925</v>
      </c>
      <c r="R4" s="10" t="s">
        <v>926</v>
      </c>
      <c r="S4" s="10" t="s">
        <v>927</v>
      </c>
      <c r="T4" s="10" t="s">
        <v>921</v>
      </c>
      <c r="U4" s="10" t="s">
        <v>922</v>
      </c>
      <c r="V4" s="221" t="s">
        <v>13</v>
      </c>
      <c r="W4" s="221" t="s">
        <v>14</v>
      </c>
      <c r="X4" s="221" t="s">
        <v>15</v>
      </c>
      <c r="Y4" s="221" t="s">
        <v>354</v>
      </c>
      <c r="Z4" s="221" t="s">
        <v>105</v>
      </c>
      <c r="AA4" s="645" t="s">
        <v>410</v>
      </c>
      <c r="AB4" s="221" t="s">
        <v>16</v>
      </c>
      <c r="AD4" s="210"/>
      <c r="AE4" s="331"/>
      <c r="AF4" s="331"/>
      <c r="AG4" s="331"/>
    </row>
    <row r="5" spans="1:34" s="202" customFormat="1" ht="18.75" customHeight="1">
      <c r="A5" s="198"/>
      <c r="B5" s="198"/>
      <c r="C5" s="198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>
        <f t="shared" ref="O5" si="0">D5-L5-M5-N5</f>
        <v>0</v>
      </c>
      <c r="P5" s="199"/>
      <c r="Q5" s="199"/>
      <c r="R5" s="199"/>
      <c r="S5" s="199"/>
      <c r="T5" s="199"/>
      <c r="U5" s="199">
        <f t="shared" ref="U5" si="1">N5-T5</f>
        <v>0</v>
      </c>
      <c r="V5" s="199"/>
      <c r="W5" s="199"/>
      <c r="X5" s="199"/>
      <c r="Y5" s="199"/>
      <c r="Z5" s="198"/>
      <c r="AA5" s="397"/>
      <c r="AB5" s="198"/>
      <c r="AD5" s="210"/>
      <c r="AE5" s="331"/>
      <c r="AF5" s="331"/>
      <c r="AG5" s="331"/>
    </row>
    <row r="6" spans="1:34" s="5" customFormat="1" ht="41.4">
      <c r="A6" s="198">
        <f>A5+1</f>
        <v>1</v>
      </c>
      <c r="B6" s="198">
        <v>1422</v>
      </c>
      <c r="C6" s="198" t="s">
        <v>74</v>
      </c>
      <c r="D6" s="4">
        <f>'תקציב מינהל כללי 2020 '!D11</f>
        <v>30257000</v>
      </c>
      <c r="E6" s="4">
        <f>'תקציב מינהל כללי 2020 '!E11</f>
        <v>30257000</v>
      </c>
      <c r="F6" s="4">
        <f>'תקציב מינהל כללי 2020 '!F11</f>
        <v>0</v>
      </c>
      <c r="G6" s="4">
        <f>'תקציב מינהל כללי 2020 '!G11</f>
        <v>14182000</v>
      </c>
      <c r="H6" s="4">
        <f>'תקציב מינהל כללי 2020 '!H11</f>
        <v>7257000</v>
      </c>
      <c r="I6" s="4">
        <f>'תקציב מינהל כללי 2020 '!I11</f>
        <v>0</v>
      </c>
      <c r="J6" s="4">
        <f>'תקציב מינהל כללי 2020 '!J11</f>
        <v>0</v>
      </c>
      <c r="K6" s="4">
        <f>'תקציב מינהל כללי 2020 '!K11</f>
        <v>0</v>
      </c>
      <c r="L6" s="4">
        <f>'תקציב מינהל כללי 2020 '!L11</f>
        <v>7257000</v>
      </c>
      <c r="M6" s="4">
        <f>'תקציב מינהל כללי 2020 '!M11</f>
        <v>6925000</v>
      </c>
      <c r="N6" s="4">
        <f>'תקציב מינהל כללי 2020 '!N11</f>
        <v>0</v>
      </c>
      <c r="O6" s="4">
        <f>'תקציב מינהל כללי 2020 '!O11</f>
        <v>16075000</v>
      </c>
      <c r="P6" s="4">
        <f>'תקציב מינהל כללי 2020 '!P11</f>
        <v>6925000</v>
      </c>
      <c r="Q6" s="4">
        <f>'תקציב מינהל כללי 2020 '!Q11</f>
        <v>0</v>
      </c>
      <c r="R6" s="4">
        <f>'תקציב מינהל כללי 2020 '!R11</f>
        <v>0</v>
      </c>
      <c r="S6" s="4">
        <f>'תקציב מינהל כללי 2020 '!S11</f>
        <v>0</v>
      </c>
      <c r="T6" s="4">
        <f>'תקציב מינהל כללי 2020 '!T11</f>
        <v>0</v>
      </c>
      <c r="U6" s="4">
        <f>'תקציב מינהל כללי 2020 '!U11</f>
        <v>0</v>
      </c>
      <c r="V6" s="4">
        <f>'תקציב מינהל כללי 2020 '!V11</f>
        <v>0</v>
      </c>
      <c r="W6" s="4">
        <f>'תקציב מינהל כללי 2020 '!W11</f>
        <v>0</v>
      </c>
      <c r="X6" s="4">
        <f>'תקציב מינהל כללי 2020 '!X11</f>
        <v>0</v>
      </c>
      <c r="Y6" s="4">
        <f>'תקציב מינהל כללי 2020 '!Y11</f>
        <v>0</v>
      </c>
      <c r="Z6" s="4">
        <f>'תקציב מינהל כללי 2020 '!Z11</f>
        <v>0</v>
      </c>
      <c r="AA6" s="87" t="str">
        <f>'תקציב מינהל כללי 2020 '!AA11</f>
        <v>הפרשה לתביעות תלויות בעקבות הנחיית אגף הביקורת של משה"פ במסגרת הדוחות הכספיים.</v>
      </c>
      <c r="AB6" s="706">
        <f>'תקציב מינהל כללי 2020 '!AB11</f>
        <v>730000</v>
      </c>
      <c r="AC6" s="202"/>
      <c r="AD6" s="210"/>
      <c r="AE6" s="40"/>
      <c r="AF6" s="331"/>
      <c r="AG6" s="331"/>
      <c r="AH6" s="56"/>
    </row>
    <row r="7" spans="1:34" s="84" customFormat="1">
      <c r="A7" s="339"/>
      <c r="B7" s="339"/>
      <c r="C7" s="339" t="s">
        <v>690</v>
      </c>
      <c r="D7" s="88">
        <f>SUM(D6)</f>
        <v>30257000</v>
      </c>
      <c r="E7" s="88">
        <f t="shared" ref="E7:W7" si="2">SUM(E6)</f>
        <v>30257000</v>
      </c>
      <c r="F7" s="88">
        <f t="shared" si="2"/>
        <v>0</v>
      </c>
      <c r="G7" s="88">
        <f t="shared" si="2"/>
        <v>14182000</v>
      </c>
      <c r="H7" s="88">
        <f t="shared" si="2"/>
        <v>7257000</v>
      </c>
      <c r="I7" s="88">
        <f t="shared" si="2"/>
        <v>0</v>
      </c>
      <c r="J7" s="88">
        <f t="shared" si="2"/>
        <v>0</v>
      </c>
      <c r="K7" s="88">
        <f t="shared" si="2"/>
        <v>0</v>
      </c>
      <c r="L7" s="88">
        <f t="shared" si="2"/>
        <v>7257000</v>
      </c>
      <c r="M7" s="88">
        <f t="shared" si="2"/>
        <v>6925000</v>
      </c>
      <c r="N7" s="88">
        <f t="shared" si="2"/>
        <v>0</v>
      </c>
      <c r="O7" s="88">
        <f t="shared" si="2"/>
        <v>16075000</v>
      </c>
      <c r="P7" s="88">
        <f t="shared" si="2"/>
        <v>6925000</v>
      </c>
      <c r="Q7" s="88">
        <f t="shared" si="2"/>
        <v>0</v>
      </c>
      <c r="R7" s="88">
        <f t="shared" si="2"/>
        <v>0</v>
      </c>
      <c r="S7" s="88">
        <f t="shared" si="2"/>
        <v>0</v>
      </c>
      <c r="T7" s="88">
        <f t="shared" si="2"/>
        <v>0</v>
      </c>
      <c r="U7" s="88">
        <f t="shared" si="2"/>
        <v>0</v>
      </c>
      <c r="V7" s="88">
        <f t="shared" si="2"/>
        <v>0</v>
      </c>
      <c r="W7" s="88">
        <f t="shared" si="2"/>
        <v>0</v>
      </c>
      <c r="X7" s="88"/>
      <c r="Y7" s="88"/>
      <c r="Z7" s="88"/>
      <c r="AA7" s="410"/>
      <c r="AB7" s="725"/>
      <c r="AC7" s="411"/>
      <c r="AD7" s="412"/>
      <c r="AE7" s="413"/>
      <c r="AF7" s="414"/>
      <c r="AG7" s="414"/>
      <c r="AH7" s="415"/>
    </row>
    <row r="8" spans="1:34" s="5" customFormat="1" ht="41.4">
      <c r="A8" s="198">
        <f>A6+1</f>
        <v>2</v>
      </c>
      <c r="B8" s="3">
        <v>1032</v>
      </c>
      <c r="C8" s="3" t="s">
        <v>188</v>
      </c>
      <c r="D8" s="4">
        <f>'תקציב מינהל כללי 2020 '!D7</f>
        <v>40500000</v>
      </c>
      <c r="E8" s="4">
        <f>'תקציב מינהל כללי 2020 '!E7</f>
        <v>40500000</v>
      </c>
      <c r="F8" s="4">
        <f>'תקציב מינהל כללי 2020 '!F7</f>
        <v>0</v>
      </c>
      <c r="G8" s="4">
        <f>'תקציב מינהל כללי 2020 '!G7</f>
        <v>29360000</v>
      </c>
      <c r="H8" s="4">
        <f>'תקציב מינהל כללי 2020 '!H7</f>
        <v>25078870</v>
      </c>
      <c r="I8" s="4">
        <f>'תקציב מינהל כללי 2020 '!I7</f>
        <v>0</v>
      </c>
      <c r="J8" s="4">
        <f>'תקציב מינהל כללי 2020 '!J7</f>
        <v>2159342.71</v>
      </c>
      <c r="K8" s="4">
        <f>'תקציב מינהל כללי 2020 '!K7</f>
        <v>2159342.71</v>
      </c>
      <c r="L8" s="4">
        <f>'תקציב מינהל כללי 2020 '!L7</f>
        <v>27238212.710000001</v>
      </c>
      <c r="M8" s="4">
        <f>'תקציב מינהל כללי 2020 '!M7</f>
        <v>2671787.2899999991</v>
      </c>
      <c r="N8" s="4">
        <f>'תקציב מינהל כללי 2020 '!N7</f>
        <v>3000000</v>
      </c>
      <c r="O8" s="4">
        <f>'תקציב מינהל כללי 2020 '!O7</f>
        <v>7590000</v>
      </c>
      <c r="P8" s="4">
        <f>'תקציב מינהל כללי 2020 '!P7</f>
        <v>2121787.2899999991</v>
      </c>
      <c r="Q8" s="4">
        <f>'תקציב מינהל כללי 2020 '!Q7</f>
        <v>550000</v>
      </c>
      <c r="R8" s="4">
        <f>'תקציב מינהל כללי 2020 '!R7</f>
        <v>0</v>
      </c>
      <c r="S8" s="4">
        <f>'תקציב מינהל כללי 2020 '!S7</f>
        <v>550000</v>
      </c>
      <c r="T8" s="4">
        <f>'תקציב מינהל כללי 2020 '!T7</f>
        <v>0</v>
      </c>
      <c r="U8" s="4">
        <f>'תקציב מינהל כללי 2020 '!U7</f>
        <v>3000000</v>
      </c>
      <c r="V8" s="4">
        <f>'תקציב מינהל כללי 2020 '!V7</f>
        <v>1500000</v>
      </c>
      <c r="W8" s="4">
        <f>'תקציב מינהל כללי 2020 '!W7</f>
        <v>1500000</v>
      </c>
      <c r="X8" s="4">
        <f>'תקציב מינהל כללי 2020 '!X7</f>
        <v>0</v>
      </c>
      <c r="Y8" s="4">
        <f>'תקציב מינהל כללי 2020 '!Y7</f>
        <v>0</v>
      </c>
      <c r="Z8" s="4">
        <f>'תקציב מינהל כללי 2020 '!Z7</f>
        <v>0</v>
      </c>
      <c r="AA8" s="87" t="str">
        <f>'תקציב מינהל כללי 2020 '!AA7</f>
        <v xml:space="preserve">עבודות הנגשה של מוס"ח ומבני ציבור כנדרש עפ"י החוק במסגרת תוכנית רב שנתית. </v>
      </c>
      <c r="AB8" s="706">
        <f>'תקציב מינהל כללי 2020 '!AB7</f>
        <v>742000</v>
      </c>
      <c r="AC8" s="32"/>
      <c r="AD8" s="210"/>
      <c r="AE8" s="40"/>
      <c r="AF8" s="331"/>
      <c r="AG8" s="331"/>
      <c r="AH8" s="56"/>
    </row>
    <row r="9" spans="1:34" s="202" customFormat="1" ht="27.6">
      <c r="A9" s="198">
        <f>A8+1</f>
        <v>3</v>
      </c>
      <c r="B9" s="198">
        <v>1130</v>
      </c>
      <c r="C9" s="198" t="s">
        <v>36</v>
      </c>
      <c r="D9" s="4">
        <f>'תקציב מינהל כללי 2020 '!D8</f>
        <v>16000000</v>
      </c>
      <c r="E9" s="4">
        <f>'תקציב מינהל כללי 2020 '!E8</f>
        <v>16000000</v>
      </c>
      <c r="F9" s="4">
        <f>'תקציב מינהל כללי 2020 '!F8</f>
        <v>0</v>
      </c>
      <c r="G9" s="4">
        <f>'תקציב מינהל כללי 2020 '!G8</f>
        <v>13481894</v>
      </c>
      <c r="H9" s="4">
        <f>'תקציב מינהל כללי 2020 '!H8</f>
        <v>12201057.67</v>
      </c>
      <c r="I9" s="4">
        <f>'תקציב מינהל כללי 2020 '!I8</f>
        <v>68955.83</v>
      </c>
      <c r="J9" s="4">
        <f>'תקציב מינהל כללי 2020 '!J8</f>
        <v>768332.26</v>
      </c>
      <c r="K9" s="4">
        <f>'תקציב מינהל כללי 2020 '!K8</f>
        <v>837288.09</v>
      </c>
      <c r="L9" s="4">
        <f>'תקציב מינהל כללי 2020 '!L8</f>
        <v>13038345.76</v>
      </c>
      <c r="M9" s="4">
        <f>'תקציב מינהל כללי 2020 '!M8</f>
        <v>443548.24000000022</v>
      </c>
      <c r="N9" s="4">
        <f>'תקציב מינהל כללי 2020 '!N8</f>
        <v>500000</v>
      </c>
      <c r="O9" s="4">
        <f>'תקציב מינהל כללי 2020 '!O8</f>
        <v>2018106</v>
      </c>
      <c r="P9" s="4">
        <f>'תקציב מינהל כללי 2020 '!P8</f>
        <v>443548.24000000022</v>
      </c>
      <c r="Q9" s="4">
        <f>'תקציב מינהל כללי 2020 '!Q8</f>
        <v>0</v>
      </c>
      <c r="R9" s="4">
        <f>'תקציב מינהל כללי 2020 '!R8</f>
        <v>0</v>
      </c>
      <c r="S9" s="4">
        <f>'תקציב מינהל כללי 2020 '!S8</f>
        <v>0</v>
      </c>
      <c r="T9" s="4">
        <f>'תקציב מינהל כללי 2020 '!T8</f>
        <v>0</v>
      </c>
      <c r="U9" s="4">
        <f>'תקציב מינהל כללי 2020 '!U8</f>
        <v>500000</v>
      </c>
      <c r="V9" s="4">
        <f>'תקציב מינהל כללי 2020 '!V8</f>
        <v>0</v>
      </c>
      <c r="W9" s="4">
        <f>'תקציב מינהל כללי 2020 '!W8</f>
        <v>500000</v>
      </c>
      <c r="X9" s="4">
        <f>'תקציב מינהל כללי 2020 '!X8</f>
        <v>0</v>
      </c>
      <c r="Y9" s="4">
        <f>'תקציב מינהל כללי 2020 '!Y8</f>
        <v>0</v>
      </c>
      <c r="Z9" s="4">
        <f>'תקציב מינהל כללי 2020 '!Z8</f>
        <v>0</v>
      </c>
      <c r="AA9" s="87" t="str">
        <f>'תקציב מינהל כללי 2020 '!AA8</f>
        <v xml:space="preserve">מסגרת עבודות של  פרויקטים תחבורתיים עפ"י החלטות ועדת תנועה ופניות הציבור. </v>
      </c>
      <c r="AB9" s="706">
        <f>'תקציב מינהל כללי 2020 '!AB8</f>
        <v>742000</v>
      </c>
      <c r="AD9" s="210"/>
      <c r="AE9" s="40"/>
      <c r="AF9" s="331"/>
      <c r="AG9" s="331"/>
      <c r="AH9" s="56"/>
    </row>
    <row r="10" spans="1:34" s="202" customFormat="1" ht="41.4">
      <c r="A10" s="198">
        <f>A9+1</f>
        <v>4</v>
      </c>
      <c r="B10" s="198">
        <v>1986</v>
      </c>
      <c r="C10" s="198" t="s">
        <v>202</v>
      </c>
      <c r="D10" s="4">
        <f>'תקציב מינהל כללי 2020 '!D13</f>
        <v>3368727</v>
      </c>
      <c r="E10" s="4">
        <f>'תקציב מינהל כללי 2020 '!E13</f>
        <v>3368727</v>
      </c>
      <c r="F10" s="4">
        <f>'תקציב מינהל כללי 2020 '!F13</f>
        <v>0</v>
      </c>
      <c r="G10" s="4">
        <f>'תקציב מינהל כללי 2020 '!G13</f>
        <v>3368727</v>
      </c>
      <c r="H10" s="4">
        <f>'תקציב מינהל כללי 2020 '!H13</f>
        <v>3251011.39</v>
      </c>
      <c r="I10" s="4">
        <f>'תקציב מינהל כללי 2020 '!I13</f>
        <v>0</v>
      </c>
      <c r="J10" s="4">
        <f>'תקציב מינהל כללי 2020 '!J13</f>
        <v>100000.01</v>
      </c>
      <c r="K10" s="4">
        <f>'תקציב מינהל כללי 2020 '!K13</f>
        <v>100000.01</v>
      </c>
      <c r="L10" s="4">
        <f>'תקציב מינהל כללי 2020 '!L13</f>
        <v>3351011.4</v>
      </c>
      <c r="M10" s="4">
        <f>'תקציב מינהל כללי 2020 '!M13</f>
        <v>17715.600000000093</v>
      </c>
      <c r="N10" s="4">
        <f>'תקציב מינהל כללי 2020 '!N13</f>
        <v>0</v>
      </c>
      <c r="O10" s="4">
        <f>'תקציב מינהל כללי 2020 '!O13</f>
        <v>0</v>
      </c>
      <c r="P10" s="4">
        <f>'תקציב מינהל כללי 2020 '!P13</f>
        <v>17715.600000000093</v>
      </c>
      <c r="Q10" s="4">
        <f>'תקציב מינהל כללי 2020 '!Q13</f>
        <v>0</v>
      </c>
      <c r="R10" s="4">
        <f>'תקציב מינהל כללי 2020 '!R13</f>
        <v>0</v>
      </c>
      <c r="S10" s="4">
        <f>'תקציב מינהל כללי 2020 '!S13</f>
        <v>0</v>
      </c>
      <c r="T10" s="4">
        <f>'תקציב מינהל כללי 2020 '!T13</f>
        <v>0</v>
      </c>
      <c r="U10" s="4">
        <f>'תקציב מינהל כללי 2020 '!U13</f>
        <v>0</v>
      </c>
      <c r="V10" s="4">
        <f>'תקציב מינהל כללי 2020 '!V13</f>
        <v>0</v>
      </c>
      <c r="W10" s="4">
        <f>'תקציב מינהל כללי 2020 '!W13</f>
        <v>0</v>
      </c>
      <c r="X10" s="4">
        <f>'תקציב מינהל כללי 2020 '!X13</f>
        <v>0</v>
      </c>
      <c r="Y10" s="4">
        <f>'תקציב מינהל כללי 2020 '!Y13</f>
        <v>0</v>
      </c>
      <c r="Z10" s="4">
        <f>'תקציב מינהל כללי 2020 '!Z13</f>
        <v>0</v>
      </c>
      <c r="AA10" s="87" t="str">
        <f>'תקציב מינהל כללי 2020 '!AA13</f>
        <v>עב' פיתוח דחופות בלתי צפויות, מימוני ביניים, לביצוע עפ"י החלטות הנהלת העיר. שנים 2018/2019. ממתין לחן סופי.</v>
      </c>
      <c r="AB10" s="706">
        <f>'תקציב מינהל כללי 2020 '!AB13</f>
        <v>742000</v>
      </c>
      <c r="AC10" s="203"/>
      <c r="AD10" s="210"/>
      <c r="AE10" s="40"/>
      <c r="AF10" s="331"/>
      <c r="AG10" s="331"/>
      <c r="AH10" s="56"/>
    </row>
    <row r="11" spans="1:34" s="202" customFormat="1" ht="55.2">
      <c r="A11" s="198">
        <f>A10+1</f>
        <v>5</v>
      </c>
      <c r="B11" s="198">
        <v>2100</v>
      </c>
      <c r="C11" s="198" t="s">
        <v>644</v>
      </c>
      <c r="D11" s="4">
        <f>'תקציב מינהל כללי 2020 '!D14</f>
        <v>8874955</v>
      </c>
      <c r="E11" s="4">
        <f>'תקציב מינהל כללי 2020 '!E14</f>
        <v>10000000</v>
      </c>
      <c r="F11" s="4">
        <f>'תקציב מינהל כללי 2020 '!F14</f>
        <v>-1125045</v>
      </c>
      <c r="G11" s="4">
        <f>'תקציב מינהל כללי 2020 '!G14</f>
        <v>4500000</v>
      </c>
      <c r="H11" s="4">
        <f>'תקציב מינהל כללי 2020 '!H14</f>
        <v>308288.88</v>
      </c>
      <c r="I11" s="4">
        <f>'תקציב מינהל כללי 2020 '!I14</f>
        <v>0</v>
      </c>
      <c r="J11" s="4">
        <f>'תקציב מינהל כללי 2020 '!J14</f>
        <v>495591.66</v>
      </c>
      <c r="K11" s="4">
        <f>'תקציב מינהל כללי 2020 '!K14</f>
        <v>495591.66</v>
      </c>
      <c r="L11" s="4">
        <f>'תקציב מינהל כללי 2020 '!L14</f>
        <v>803880.54</v>
      </c>
      <c r="M11" s="4">
        <f>'תקציב מינהל כללי 2020 '!M14</f>
        <v>3571074.46</v>
      </c>
      <c r="N11" s="4">
        <f>'תקציב מינהל כללי 2020 '!N14</f>
        <v>4500000</v>
      </c>
      <c r="O11" s="4">
        <f>'תקציב מינהל כללי 2020 '!O14</f>
        <v>0</v>
      </c>
      <c r="P11" s="4">
        <f>'תקציב מינהל כללי 2020 '!P14</f>
        <v>3696119.46</v>
      </c>
      <c r="Q11" s="4">
        <f>'תקציב מינהל כללי 2020 '!Q14</f>
        <v>0</v>
      </c>
      <c r="R11" s="4">
        <f>'תקציב מינהל כללי 2020 '!R14</f>
        <v>0</v>
      </c>
      <c r="S11" s="4">
        <f>'תקציב מינהל כללי 2020 '!S14</f>
        <v>0</v>
      </c>
      <c r="T11" s="4">
        <f>'תקציב מינהל כללי 2020 '!T14</f>
        <v>125045</v>
      </c>
      <c r="U11" s="4">
        <f>'תקציב מינהל כללי 2020 '!U14</f>
        <v>4374955</v>
      </c>
      <c r="V11" s="4">
        <f>'תקציב מינהל כללי 2020 '!V14</f>
        <v>905926</v>
      </c>
      <c r="W11" s="4">
        <f>'תקציב מינהל כללי 2020 '!W14</f>
        <v>3469029</v>
      </c>
      <c r="X11" s="4">
        <f>'תקציב מינהל כללי 2020 '!X14</f>
        <v>0</v>
      </c>
      <c r="Y11" s="4">
        <f>'תקציב מינהל כללי 2020 '!Y14</f>
        <v>0</v>
      </c>
      <c r="Z11" s="4">
        <f>'תקציב מינהל כללי 2020 '!Z14</f>
        <v>0</v>
      </c>
      <c r="AA11" s="87" t="str">
        <f>'תקציב מינהל כללי 2020 '!AA14</f>
        <v>עב' פיתוח דחופות בלתי צפויות, מימוני ביניים, שיתעוררו במהלך השנה ויבוצעו עפ"י החלטות הנהלת העיר. שנים 2019/2020.</v>
      </c>
      <c r="AB11" s="706">
        <f>'תקציב מינהל כללי 2020 '!AB14</f>
        <v>742000</v>
      </c>
      <c r="AD11" s="210"/>
      <c r="AE11" s="331"/>
      <c r="AF11" s="331"/>
      <c r="AG11" s="331"/>
    </row>
    <row r="12" spans="1:34" s="411" customFormat="1">
      <c r="A12" s="339"/>
      <c r="B12" s="339"/>
      <c r="C12" s="339" t="s">
        <v>691</v>
      </c>
      <c r="D12" s="88">
        <f>SUM(D8:D11)</f>
        <v>68743682</v>
      </c>
      <c r="E12" s="88">
        <f t="shared" ref="E12:Z12" si="3">SUM(E8:E11)</f>
        <v>69868727</v>
      </c>
      <c r="F12" s="88">
        <f t="shared" si="3"/>
        <v>-1125045</v>
      </c>
      <c r="G12" s="88">
        <f t="shared" si="3"/>
        <v>50710621</v>
      </c>
      <c r="H12" s="88">
        <f t="shared" si="3"/>
        <v>40839227.940000005</v>
      </c>
      <c r="I12" s="88">
        <f t="shared" si="3"/>
        <v>68955.83</v>
      </c>
      <c r="J12" s="88">
        <f t="shared" si="3"/>
        <v>3523266.6399999997</v>
      </c>
      <c r="K12" s="88">
        <f t="shared" si="3"/>
        <v>3592222.4699999997</v>
      </c>
      <c r="L12" s="88">
        <f t="shared" si="3"/>
        <v>44431450.409999996</v>
      </c>
      <c r="M12" s="88">
        <f t="shared" si="3"/>
        <v>6704125.5899999999</v>
      </c>
      <c r="N12" s="88">
        <f t="shared" si="3"/>
        <v>8000000</v>
      </c>
      <c r="O12" s="88">
        <f t="shared" si="3"/>
        <v>9608106</v>
      </c>
      <c r="P12" s="88">
        <f t="shared" si="3"/>
        <v>6279170.5899999999</v>
      </c>
      <c r="Q12" s="88">
        <f t="shared" si="3"/>
        <v>550000</v>
      </c>
      <c r="R12" s="88">
        <f t="shared" si="3"/>
        <v>0</v>
      </c>
      <c r="S12" s="88">
        <f t="shared" si="3"/>
        <v>550000</v>
      </c>
      <c r="T12" s="88">
        <f t="shared" si="3"/>
        <v>125045</v>
      </c>
      <c r="U12" s="88">
        <f t="shared" si="3"/>
        <v>7874955</v>
      </c>
      <c r="V12" s="88">
        <f t="shared" si="3"/>
        <v>2405926</v>
      </c>
      <c r="W12" s="88">
        <f t="shared" si="3"/>
        <v>5469029</v>
      </c>
      <c r="X12" s="88">
        <f t="shared" si="3"/>
        <v>0</v>
      </c>
      <c r="Y12" s="88">
        <f t="shared" si="3"/>
        <v>0</v>
      </c>
      <c r="Z12" s="88">
        <f t="shared" si="3"/>
        <v>0</v>
      </c>
      <c r="AA12" s="410"/>
      <c r="AB12" s="725"/>
      <c r="AD12" s="412"/>
      <c r="AE12" s="414"/>
      <c r="AF12" s="414"/>
      <c r="AG12" s="414"/>
    </row>
    <row r="13" spans="1:34" s="202" customFormat="1" ht="27.6">
      <c r="A13" s="198">
        <f>A11+1</f>
        <v>6</v>
      </c>
      <c r="B13" s="198">
        <v>1259</v>
      </c>
      <c r="C13" s="198" t="s">
        <v>72</v>
      </c>
      <c r="D13" s="4">
        <f>'תקציב מינהל כללי 2020 '!D9</f>
        <v>5460000</v>
      </c>
      <c r="E13" s="4">
        <f>'תקציב מינהל כללי 2020 '!E9</f>
        <v>5460000</v>
      </c>
      <c r="F13" s="4">
        <f>'תקציב מינהל כללי 2020 '!F9</f>
        <v>0</v>
      </c>
      <c r="G13" s="4">
        <f>'תקציב מינהל כללי 2020 '!G9</f>
        <v>3610000</v>
      </c>
      <c r="H13" s="4">
        <f>'תקציב מינהל כללי 2020 '!H9</f>
        <v>3414383.32</v>
      </c>
      <c r="I13" s="4">
        <f>'תקציב מינהל כללי 2020 '!I9</f>
        <v>0</v>
      </c>
      <c r="J13" s="4">
        <f>'תקציב מינהל כללי 2020 '!J9</f>
        <v>46683.76</v>
      </c>
      <c r="K13" s="4">
        <f>'תקציב מינהל כללי 2020 '!K9</f>
        <v>46683.76</v>
      </c>
      <c r="L13" s="4">
        <f>'תקציב מינהל כללי 2020 '!L9</f>
        <v>3461067.0799999996</v>
      </c>
      <c r="M13" s="4">
        <f>'תקציב מינהל כללי 2020 '!M9</f>
        <v>148932.92000000039</v>
      </c>
      <c r="N13" s="4">
        <f>'תקציב מינהל כללי 2020 '!N9</f>
        <v>500000</v>
      </c>
      <c r="O13" s="4">
        <f>'תקציב מינהל כללי 2020 '!O9</f>
        <v>1350000</v>
      </c>
      <c r="P13" s="4">
        <f>'תקציב מינהל כללי 2020 '!P9</f>
        <v>148932.92000000039</v>
      </c>
      <c r="Q13" s="4">
        <f>'תקציב מינהל כללי 2020 '!Q9</f>
        <v>0</v>
      </c>
      <c r="R13" s="4">
        <f>'תקציב מינהל כללי 2020 '!R9</f>
        <v>0</v>
      </c>
      <c r="S13" s="4">
        <f>'תקציב מינהל כללי 2020 '!S9</f>
        <v>0</v>
      </c>
      <c r="T13" s="4">
        <f>'תקציב מינהל כללי 2020 '!T9</f>
        <v>0</v>
      </c>
      <c r="U13" s="4">
        <f>'תקציב מינהל כללי 2020 '!U9</f>
        <v>500000</v>
      </c>
      <c r="V13" s="4">
        <f>'תקציב מינהל כללי 2020 '!V9</f>
        <v>0</v>
      </c>
      <c r="W13" s="4">
        <f>'תקציב מינהל כללי 2020 '!W9</f>
        <v>500000</v>
      </c>
      <c r="X13" s="4">
        <f>'תקציב מינהל כללי 2020 '!X9</f>
        <v>0</v>
      </c>
      <c r="Y13" s="4">
        <f>'תקציב מינהל כללי 2020 '!Y9</f>
        <v>0</v>
      </c>
      <c r="Z13" s="4">
        <f>'תקציב מינהל כללי 2020 '!Z9</f>
        <v>0</v>
      </c>
      <c r="AA13" s="87" t="str">
        <f>'תקציב מינהל כללי 2020 '!AA9</f>
        <v>מדידת נכסים בעת ביצוע עב' פיתוח לצורך חיוב הנכסים עפ"י שטחם בפועל.</v>
      </c>
      <c r="AB13" s="706">
        <f>'תקציב מינהל כללי 2020 '!AB9</f>
        <v>760000</v>
      </c>
      <c r="AD13" s="210"/>
      <c r="AE13" s="40"/>
      <c r="AF13" s="331"/>
      <c r="AG13" s="331"/>
      <c r="AH13" s="56"/>
    </row>
    <row r="14" spans="1:34" s="202" customFormat="1" ht="27.6">
      <c r="A14" s="198">
        <f>A13+1</f>
        <v>7</v>
      </c>
      <c r="B14" s="198">
        <v>1260</v>
      </c>
      <c r="C14" s="198" t="s">
        <v>73</v>
      </c>
      <c r="D14" s="4">
        <f>'תקציב מינהל כללי 2020 '!D10</f>
        <v>8608000</v>
      </c>
      <c r="E14" s="4">
        <f>'תקציב מינהל כללי 2020 '!E10</f>
        <v>8608000</v>
      </c>
      <c r="F14" s="4">
        <f>'תקציב מינהל כללי 2020 '!F10</f>
        <v>0</v>
      </c>
      <c r="G14" s="4">
        <f>'תקציב מינהל כללי 2020 '!G10</f>
        <v>8108000</v>
      </c>
      <c r="H14" s="4">
        <f>'תקציב מינהל כללי 2020 '!H10</f>
        <v>7840760</v>
      </c>
      <c r="I14" s="4">
        <f>'תקציב מינהל כללי 2020 '!I10</f>
        <v>0</v>
      </c>
      <c r="J14" s="4">
        <f>'תקציב מינהל כללי 2020 '!J10</f>
        <v>30712.5</v>
      </c>
      <c r="K14" s="4">
        <f>'תקציב מינהל כללי 2020 '!K10</f>
        <v>30712.5</v>
      </c>
      <c r="L14" s="4">
        <f>'תקציב מינהל כללי 2020 '!L10</f>
        <v>7871472.5</v>
      </c>
      <c r="M14" s="4">
        <f>'תקציב מינהל כללי 2020 '!M10</f>
        <v>236527.5</v>
      </c>
      <c r="N14" s="4">
        <f>'תקציב מינהל כללי 2020 '!N10</f>
        <v>500000</v>
      </c>
      <c r="O14" s="4">
        <f>'תקציב מינהל כללי 2020 '!O10</f>
        <v>0</v>
      </c>
      <c r="P14" s="4">
        <f>'תקציב מינהל כללי 2020 '!P10</f>
        <v>236527.5</v>
      </c>
      <c r="Q14" s="4">
        <f>'תקציב מינהל כללי 2020 '!Q10</f>
        <v>0</v>
      </c>
      <c r="R14" s="4">
        <f>'תקציב מינהל כללי 2020 '!R10</f>
        <v>0</v>
      </c>
      <c r="S14" s="4">
        <f>'תקציב מינהל כללי 2020 '!S10</f>
        <v>0</v>
      </c>
      <c r="T14" s="4">
        <f>'תקציב מינהל כללי 2020 '!T10</f>
        <v>0</v>
      </c>
      <c r="U14" s="4">
        <f>'תקציב מינהל כללי 2020 '!U10</f>
        <v>500000</v>
      </c>
      <c r="V14" s="4">
        <f>'תקציב מינהל כללי 2020 '!V10</f>
        <v>0</v>
      </c>
      <c r="W14" s="4">
        <f>'תקציב מינהל כללי 2020 '!W10</f>
        <v>500000</v>
      </c>
      <c r="X14" s="4">
        <f>'תקציב מינהל כללי 2020 '!X10</f>
        <v>0</v>
      </c>
      <c r="Y14" s="4">
        <f>'תקציב מינהל כללי 2020 '!Y10</f>
        <v>0</v>
      </c>
      <c r="Z14" s="4">
        <f>'תקציב מינהל כללי 2020 '!Z10</f>
        <v>0</v>
      </c>
      <c r="AA14" s="87" t="str">
        <f>'תקציב מינהל כללי 2020 '!AA10</f>
        <v>בדיקת תשלומי היטלי פיתוח בגין נכסים בעת ביצוע עב' פיתוח.</v>
      </c>
      <c r="AB14" s="706">
        <f>'תקציב מינהל כללי 2020 '!AB10</f>
        <v>760000</v>
      </c>
      <c r="AD14" s="210"/>
      <c r="AE14" s="40"/>
      <c r="AF14" s="331"/>
      <c r="AG14" s="331"/>
      <c r="AH14" s="56"/>
    </row>
    <row r="15" spans="1:34" s="411" customFormat="1">
      <c r="A15" s="339"/>
      <c r="B15" s="339"/>
      <c r="C15" s="339" t="s">
        <v>692</v>
      </c>
      <c r="D15" s="88">
        <f>SUM(D13:D14)</f>
        <v>14068000</v>
      </c>
      <c r="E15" s="88">
        <f t="shared" ref="E15:U15" si="4">SUM(E13:E14)</f>
        <v>14068000</v>
      </c>
      <c r="F15" s="88">
        <f t="shared" si="4"/>
        <v>0</v>
      </c>
      <c r="G15" s="88">
        <f t="shared" si="4"/>
        <v>11718000</v>
      </c>
      <c r="H15" s="88">
        <f t="shared" si="4"/>
        <v>11255143.32</v>
      </c>
      <c r="I15" s="88">
        <f t="shared" si="4"/>
        <v>0</v>
      </c>
      <c r="J15" s="88">
        <f t="shared" si="4"/>
        <v>77396.260000000009</v>
      </c>
      <c r="K15" s="88">
        <f t="shared" si="4"/>
        <v>77396.260000000009</v>
      </c>
      <c r="L15" s="88">
        <f t="shared" si="4"/>
        <v>11332539.58</v>
      </c>
      <c r="M15" s="88">
        <f t="shared" si="4"/>
        <v>385460.42000000039</v>
      </c>
      <c r="N15" s="88">
        <f t="shared" si="4"/>
        <v>1000000</v>
      </c>
      <c r="O15" s="88">
        <f t="shared" si="4"/>
        <v>1350000</v>
      </c>
      <c r="P15" s="88">
        <f t="shared" si="4"/>
        <v>385460.42000000039</v>
      </c>
      <c r="Q15" s="88">
        <f t="shared" si="4"/>
        <v>0</v>
      </c>
      <c r="R15" s="88">
        <f t="shared" si="4"/>
        <v>0</v>
      </c>
      <c r="S15" s="88">
        <f t="shared" si="4"/>
        <v>0</v>
      </c>
      <c r="T15" s="88">
        <f t="shared" si="4"/>
        <v>0</v>
      </c>
      <c r="U15" s="88">
        <f t="shared" si="4"/>
        <v>1000000</v>
      </c>
      <c r="V15" s="88">
        <f t="shared" ref="V15" si="5">SUM(V13:V14)</f>
        <v>0</v>
      </c>
      <c r="W15" s="88">
        <f t="shared" ref="W15" si="6">SUM(W13:W14)</f>
        <v>1000000</v>
      </c>
      <c r="X15" s="88">
        <f t="shared" ref="X15" si="7">SUM(X13:X14)</f>
        <v>0</v>
      </c>
      <c r="Y15" s="88">
        <f t="shared" ref="Y15" si="8">SUM(Y13:Y14)</f>
        <v>0</v>
      </c>
      <c r="Z15" s="88">
        <f t="shared" ref="Z15" si="9">SUM(Z13:Z14)</f>
        <v>0</v>
      </c>
      <c r="AA15" s="410"/>
      <c r="AB15" s="725"/>
      <c r="AD15" s="412"/>
      <c r="AE15" s="413"/>
      <c r="AF15" s="414"/>
      <c r="AG15" s="414"/>
      <c r="AH15" s="415"/>
    </row>
    <row r="16" spans="1:34" s="202" customFormat="1" ht="55.2">
      <c r="A16" s="3">
        <f>A14+1</f>
        <v>8</v>
      </c>
      <c r="B16" s="3">
        <v>529</v>
      </c>
      <c r="C16" s="3" t="s">
        <v>80</v>
      </c>
      <c r="D16" s="4">
        <f>'תקציב מינהל כללי 2020 '!D6</f>
        <v>700000</v>
      </c>
      <c r="E16" s="4">
        <f>'תקציב מינהל כללי 2020 '!E6</f>
        <v>650000</v>
      </c>
      <c r="F16" s="4">
        <f>'תקציב מינהל כללי 2020 '!F6</f>
        <v>50000</v>
      </c>
      <c r="G16" s="4">
        <f>'תקציב מינהל כללי 2020 '!G6</f>
        <v>650000</v>
      </c>
      <c r="H16" s="4">
        <f>'תקציב מינהל כללי 2020 '!H6</f>
        <v>511920.77</v>
      </c>
      <c r="I16" s="4">
        <f>'תקציב מינהל כללי 2020 '!I6</f>
        <v>0</v>
      </c>
      <c r="J16" s="4">
        <f>'תקציב מינהל כללי 2020 '!J6</f>
        <v>0</v>
      </c>
      <c r="K16" s="4">
        <f>'תקציב מינהל כללי 2020 '!K6</f>
        <v>0</v>
      </c>
      <c r="L16" s="4">
        <f>'תקציב מינהל כללי 2020 '!L6</f>
        <v>511920.77</v>
      </c>
      <c r="M16" s="4">
        <f>'תקציב מינהל כללי 2020 '!M6</f>
        <v>138079.22999999998</v>
      </c>
      <c r="N16" s="4">
        <f>'תקציב מינהל כללי 2020 '!N6</f>
        <v>50000</v>
      </c>
      <c r="O16" s="4">
        <f>'תקציב מינהל כללי 2020 '!O6</f>
        <v>0</v>
      </c>
      <c r="P16" s="4">
        <f>'תקציב מינהל כללי 2020 '!P6</f>
        <v>138079.22999999998</v>
      </c>
      <c r="Q16" s="4">
        <f>'תקציב מינהל כללי 2020 '!Q6</f>
        <v>0</v>
      </c>
      <c r="R16" s="4">
        <f>'תקציב מינהל כללי 2020 '!R6</f>
        <v>0</v>
      </c>
      <c r="S16" s="4">
        <f>'תקציב מינהל כללי 2020 '!S6</f>
        <v>0</v>
      </c>
      <c r="T16" s="4">
        <f>'תקציב מינהל כללי 2020 '!T6</f>
        <v>0</v>
      </c>
      <c r="U16" s="4">
        <f>'תקציב מינהל כללי 2020 '!U6</f>
        <v>50000</v>
      </c>
      <c r="V16" s="4">
        <f>'תקציב מינהל כללי 2020 '!V6</f>
        <v>50000</v>
      </c>
      <c r="W16" s="4">
        <f>'תקציב מינהל כללי 2020 '!W6</f>
        <v>0</v>
      </c>
      <c r="X16" s="4">
        <f>'תקציב מינהל כללי 2020 '!X6</f>
        <v>0</v>
      </c>
      <c r="Y16" s="4">
        <f>'תקציב מינהל כללי 2020 '!Y6</f>
        <v>0</v>
      </c>
      <c r="Z16" s="4">
        <f>'תקציב מינהל כללי 2020 '!Z6</f>
        <v>0</v>
      </c>
      <c r="AA16" s="87" t="str">
        <f>'תקציב מינהל כללי 2020 '!AA6</f>
        <v>שיפוץ פנים הדירות של דיירי עמידר הנמצאים במצב סוציו אוקונומי קשה. העבודה מבוצעת ע"י חברת עמידר השתתפות העיריה 50%.</v>
      </c>
      <c r="AB16" s="706">
        <f>'תקציב מינהל כללי 2020 '!AB6</f>
        <v>840000</v>
      </c>
      <c r="AC16" s="5"/>
      <c r="AD16" s="210"/>
      <c r="AE16" s="40"/>
      <c r="AF16" s="14"/>
      <c r="AG16" s="14"/>
      <c r="AH16" s="14"/>
    </row>
    <row r="17" spans="1:34" s="411" customFormat="1" ht="13.8">
      <c r="A17" s="41"/>
      <c r="B17" s="41"/>
      <c r="C17" s="41" t="s">
        <v>702</v>
      </c>
      <c r="D17" s="88">
        <f>SUM(D16)</f>
        <v>700000</v>
      </c>
      <c r="E17" s="88">
        <f t="shared" ref="E17:V17" si="10">SUM(E16)</f>
        <v>650000</v>
      </c>
      <c r="F17" s="88">
        <f t="shared" si="10"/>
        <v>50000</v>
      </c>
      <c r="G17" s="88">
        <f t="shared" si="10"/>
        <v>650000</v>
      </c>
      <c r="H17" s="88">
        <f t="shared" si="10"/>
        <v>511920.77</v>
      </c>
      <c r="I17" s="88">
        <f t="shared" si="10"/>
        <v>0</v>
      </c>
      <c r="J17" s="88">
        <f t="shared" si="10"/>
        <v>0</v>
      </c>
      <c r="K17" s="88">
        <f t="shared" si="10"/>
        <v>0</v>
      </c>
      <c r="L17" s="88">
        <f t="shared" si="10"/>
        <v>511920.77</v>
      </c>
      <c r="M17" s="88">
        <f t="shared" si="10"/>
        <v>138079.22999999998</v>
      </c>
      <c r="N17" s="88">
        <f t="shared" si="10"/>
        <v>50000</v>
      </c>
      <c r="O17" s="88">
        <f t="shared" si="10"/>
        <v>0</v>
      </c>
      <c r="P17" s="88">
        <f t="shared" si="10"/>
        <v>138079.22999999998</v>
      </c>
      <c r="Q17" s="88">
        <f t="shared" si="10"/>
        <v>0</v>
      </c>
      <c r="R17" s="88">
        <f t="shared" si="10"/>
        <v>0</v>
      </c>
      <c r="S17" s="88">
        <f t="shared" si="10"/>
        <v>0</v>
      </c>
      <c r="T17" s="88">
        <f t="shared" si="10"/>
        <v>0</v>
      </c>
      <c r="U17" s="88">
        <f t="shared" si="10"/>
        <v>50000</v>
      </c>
      <c r="V17" s="88">
        <f t="shared" si="10"/>
        <v>50000</v>
      </c>
      <c r="W17" s="88">
        <f t="shared" ref="W17" si="11">SUM(W16)</f>
        <v>0</v>
      </c>
      <c r="X17" s="88">
        <f t="shared" ref="X17" si="12">SUM(X16)</f>
        <v>0</v>
      </c>
      <c r="Y17" s="88">
        <f t="shared" ref="Y17" si="13">SUM(Y16)</f>
        <v>0</v>
      </c>
      <c r="Z17" s="88">
        <f t="shared" ref="Z17" si="14">SUM(Z16)</f>
        <v>0</v>
      </c>
      <c r="AA17" s="410"/>
      <c r="AB17" s="725"/>
      <c r="AC17" s="84"/>
      <c r="AD17" s="412"/>
      <c r="AE17" s="413"/>
      <c r="AF17" s="416"/>
      <c r="AG17" s="416"/>
      <c r="AH17" s="416"/>
    </row>
    <row r="18" spans="1:34" s="202" customFormat="1" ht="27.6">
      <c r="A18" s="198">
        <f>A16+1</f>
        <v>9</v>
      </c>
      <c r="B18" s="198">
        <v>1688</v>
      </c>
      <c r="C18" s="198" t="s">
        <v>75</v>
      </c>
      <c r="D18" s="4">
        <f>'תקציב מינהל כללי 2020 '!D12</f>
        <v>15133000</v>
      </c>
      <c r="E18" s="4">
        <f>'תקציב מינהל כללי 2020 '!E12</f>
        <v>15133000</v>
      </c>
      <c r="F18" s="4">
        <f>'תקציב מינהל כללי 2020 '!F12</f>
        <v>0</v>
      </c>
      <c r="G18" s="4">
        <f>'תקציב מינהל כללי 2020 '!G12</f>
        <v>15133000</v>
      </c>
      <c r="H18" s="4">
        <f>'תקציב מינהל כללי 2020 '!H12</f>
        <v>15133000</v>
      </c>
      <c r="I18" s="4">
        <f>'תקציב מינהל כללי 2020 '!I12</f>
        <v>0</v>
      </c>
      <c r="J18" s="4">
        <f>'תקציב מינהל כללי 2020 '!J12</f>
        <v>0</v>
      </c>
      <c r="K18" s="4">
        <f>'תקציב מינהל כללי 2020 '!K12</f>
        <v>0</v>
      </c>
      <c r="L18" s="4">
        <f>'תקציב מינהל כללי 2020 '!L12</f>
        <v>15133000</v>
      </c>
      <c r="M18" s="4">
        <f>'תקציב מינהל כללי 2020 '!M12</f>
        <v>0</v>
      </c>
      <c r="N18" s="4">
        <f>'תקציב מינהל כללי 2020 '!N12</f>
        <v>0</v>
      </c>
      <c r="O18" s="4">
        <f>'תקציב מינהל כללי 2020 '!O12</f>
        <v>0</v>
      </c>
      <c r="P18" s="4">
        <f>'תקציב מינהל כללי 2020 '!P12</f>
        <v>0</v>
      </c>
      <c r="Q18" s="4">
        <f>'תקציב מינהל כללי 2020 '!Q12</f>
        <v>0</v>
      </c>
      <c r="R18" s="4">
        <f>'תקציב מינהל כללי 2020 '!R12</f>
        <v>0</v>
      </c>
      <c r="S18" s="4">
        <f>'תקציב מינהל כללי 2020 '!S12</f>
        <v>0</v>
      </c>
      <c r="T18" s="4">
        <f>'תקציב מינהל כללי 2020 '!T12</f>
        <v>0</v>
      </c>
      <c r="U18" s="4">
        <f>'תקציב מינהל כללי 2020 '!U12</f>
        <v>0</v>
      </c>
      <c r="V18" s="4">
        <f>'תקציב מינהל כללי 2020 '!V12</f>
        <v>0</v>
      </c>
      <c r="W18" s="4">
        <f>'תקציב מינהל כללי 2020 '!W12</f>
        <v>0</v>
      </c>
      <c r="X18" s="4">
        <f>'תקציב מינהל כללי 2020 '!X12</f>
        <v>0</v>
      </c>
      <c r="Y18" s="4">
        <f>'תקציב מינהל כללי 2020 '!Y12</f>
        <v>0</v>
      </c>
      <c r="Z18" s="4">
        <f>'תקציב מינהל כללי 2020 '!Z12</f>
        <v>0</v>
      </c>
      <c r="AA18" s="87" t="str">
        <f>'תקציב מינהל כללי 2020 '!AA12</f>
        <v>במסגרת סיכום עקרונות בין משרד האוצר לשלטון המקומי  מ - 12.5.2013.</v>
      </c>
      <c r="AB18" s="706">
        <f>'תקציב מינהל כללי 2020 '!AB12</f>
        <v>990000</v>
      </c>
      <c r="AD18" s="210"/>
      <c r="AE18" s="40"/>
      <c r="AF18" s="331"/>
      <c r="AG18" s="331"/>
      <c r="AH18" s="56"/>
    </row>
    <row r="19" spans="1:34" s="411" customFormat="1">
      <c r="A19" s="339"/>
      <c r="B19" s="339"/>
      <c r="C19" s="339" t="s">
        <v>693</v>
      </c>
      <c r="D19" s="88">
        <f>SUM(D18)</f>
        <v>15133000</v>
      </c>
      <c r="E19" s="88">
        <f t="shared" ref="E19:W19" si="15">SUM(E18)</f>
        <v>15133000</v>
      </c>
      <c r="F19" s="88">
        <f t="shared" si="15"/>
        <v>0</v>
      </c>
      <c r="G19" s="88">
        <f t="shared" si="15"/>
        <v>15133000</v>
      </c>
      <c r="H19" s="88">
        <f t="shared" si="15"/>
        <v>15133000</v>
      </c>
      <c r="I19" s="88">
        <f t="shared" si="15"/>
        <v>0</v>
      </c>
      <c r="J19" s="88">
        <f t="shared" si="15"/>
        <v>0</v>
      </c>
      <c r="K19" s="88">
        <f t="shared" si="15"/>
        <v>0</v>
      </c>
      <c r="L19" s="88">
        <f t="shared" si="15"/>
        <v>15133000</v>
      </c>
      <c r="M19" s="88">
        <f t="shared" si="15"/>
        <v>0</v>
      </c>
      <c r="N19" s="88">
        <f t="shared" si="15"/>
        <v>0</v>
      </c>
      <c r="O19" s="88">
        <f t="shared" si="15"/>
        <v>0</v>
      </c>
      <c r="P19" s="88">
        <f t="shared" si="15"/>
        <v>0</v>
      </c>
      <c r="Q19" s="88">
        <f t="shared" si="15"/>
        <v>0</v>
      </c>
      <c r="R19" s="88">
        <f t="shared" si="15"/>
        <v>0</v>
      </c>
      <c r="S19" s="88">
        <f t="shared" si="15"/>
        <v>0</v>
      </c>
      <c r="T19" s="88">
        <f t="shared" si="15"/>
        <v>0</v>
      </c>
      <c r="U19" s="88">
        <f t="shared" si="15"/>
        <v>0</v>
      </c>
      <c r="V19" s="88">
        <f t="shared" si="15"/>
        <v>0</v>
      </c>
      <c r="W19" s="88">
        <f t="shared" si="15"/>
        <v>0</v>
      </c>
      <c r="X19" s="88"/>
      <c r="Y19" s="88"/>
      <c r="Z19" s="88"/>
      <c r="AA19" s="410"/>
      <c r="AB19" s="725"/>
      <c r="AD19" s="412"/>
      <c r="AE19" s="413"/>
      <c r="AF19" s="414"/>
      <c r="AG19" s="414"/>
      <c r="AH19" s="415"/>
    </row>
    <row r="20" spans="1:34" s="203" customFormat="1">
      <c r="A20" s="204">
        <f>A18</f>
        <v>9</v>
      </c>
      <c r="B20" s="204"/>
      <c r="C20" s="204" t="s">
        <v>617</v>
      </c>
      <c r="D20" s="206">
        <f>D19+D17+D15+D12+D7</f>
        <v>128901682</v>
      </c>
      <c r="E20" s="206">
        <f t="shared" ref="E20:V20" si="16">E19+E17+E15+E12+E7</f>
        <v>129976727</v>
      </c>
      <c r="F20" s="206">
        <f t="shared" si="16"/>
        <v>-1075045</v>
      </c>
      <c r="G20" s="206">
        <f t="shared" si="16"/>
        <v>92393621</v>
      </c>
      <c r="H20" s="206">
        <f t="shared" si="16"/>
        <v>74996292.030000001</v>
      </c>
      <c r="I20" s="206">
        <f t="shared" si="16"/>
        <v>68955.83</v>
      </c>
      <c r="J20" s="206">
        <f t="shared" si="16"/>
        <v>3600662.8999999994</v>
      </c>
      <c r="K20" s="206">
        <f t="shared" si="16"/>
        <v>3669618.7299999995</v>
      </c>
      <c r="L20" s="206">
        <f t="shared" si="16"/>
        <v>78665910.75999999</v>
      </c>
      <c r="M20" s="206">
        <f t="shared" si="16"/>
        <v>14152665.24</v>
      </c>
      <c r="N20" s="206">
        <f t="shared" si="16"/>
        <v>9050000</v>
      </c>
      <c r="O20" s="206">
        <f t="shared" si="16"/>
        <v>27033106</v>
      </c>
      <c r="P20" s="206">
        <f t="shared" si="16"/>
        <v>13727710.24</v>
      </c>
      <c r="Q20" s="206">
        <f t="shared" si="16"/>
        <v>550000</v>
      </c>
      <c r="R20" s="206">
        <f t="shared" si="16"/>
        <v>0</v>
      </c>
      <c r="S20" s="206">
        <f t="shared" si="16"/>
        <v>550000</v>
      </c>
      <c r="T20" s="206">
        <f t="shared" si="16"/>
        <v>125045</v>
      </c>
      <c r="U20" s="206">
        <f t="shared" si="16"/>
        <v>8924955</v>
      </c>
      <c r="V20" s="206">
        <f t="shared" si="16"/>
        <v>2455926</v>
      </c>
      <c r="W20" s="206">
        <f t="shared" ref="W20" si="17">W19+W17+W15+W12+W7</f>
        <v>6469029</v>
      </c>
      <c r="X20" s="206">
        <f t="shared" ref="X20" si="18">X19+X17+X15+X12+X7</f>
        <v>0</v>
      </c>
      <c r="Y20" s="206">
        <f t="shared" ref="Y20" si="19">Y19+Y17+Y15+Y12+Y7</f>
        <v>0</v>
      </c>
      <c r="Z20" s="206">
        <f t="shared" ref="Z20" si="20">Z19+Z17+Z15+Z12+Z7</f>
        <v>0</v>
      </c>
      <c r="AA20" s="221"/>
      <c r="AB20" s="204"/>
      <c r="AD20" s="210"/>
      <c r="AE20" s="331"/>
      <c r="AF20" s="331"/>
      <c r="AG20" s="331"/>
      <c r="AH20" s="56"/>
    </row>
    <row r="21" spans="1:34">
      <c r="L21" s="192">
        <f>K20+H20</f>
        <v>78665910.760000005</v>
      </c>
      <c r="M21" s="192">
        <f>P21+S20-T20</f>
        <v>14152665.239999995</v>
      </c>
      <c r="P21" s="192">
        <f>G20-L21</f>
        <v>13727710.239999995</v>
      </c>
    </row>
  </sheetData>
  <sheetProtection formatCells="0" formatColumns="0" formatRows="0" insertColumns="0" insertRows="0" insertHyperlinks="0" deleteColumns="0" deleteRows="0" sort="0" autoFilter="0" pivotTables="0"/>
  <sortState ref="A6:AH14">
    <sortCondition ref="AB6:AB14"/>
  </sortState>
  <mergeCells count="1">
    <mergeCell ref="A1:W1"/>
  </mergeCells>
  <conditionalFormatting sqref="AA4">
    <cfRule type="cellIs" dxfId="22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&amp;L&amp;D&amp;Cעמוד &amp;P מתוך &amp;N&amp;R&amp;A</oddFooter>
  </headerFooter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rightToLeft="1" tabSelected="1" topLeftCell="A10" zoomScaleNormal="100" workbookViewId="0">
      <selection activeCell="Q24" sqref="Q24"/>
    </sheetView>
  </sheetViews>
  <sheetFormatPr defaultColWidth="9.109375" defaultRowHeight="13.2"/>
  <cols>
    <col min="1" max="16384" width="9.109375" style="254"/>
  </cols>
  <sheetData>
    <row r="4" spans="1:8" ht="18">
      <c r="A4" s="86" t="s">
        <v>930</v>
      </c>
    </row>
    <row r="7" spans="1:8" ht="24.9" customHeight="1">
      <c r="A7" s="255" t="s">
        <v>323</v>
      </c>
      <c r="B7" s="256"/>
      <c r="C7" s="256"/>
      <c r="D7" s="256"/>
      <c r="E7" s="256"/>
      <c r="F7" s="256"/>
      <c r="G7" s="256"/>
      <c r="H7" s="255" t="s">
        <v>324</v>
      </c>
    </row>
    <row r="8" spans="1:8" ht="15" customHeight="1"/>
    <row r="9" spans="1:8" ht="24.9" customHeight="1">
      <c r="A9" s="256" t="s">
        <v>1231</v>
      </c>
      <c r="H9" s="687"/>
    </row>
    <row r="10" spans="1:8" ht="24.9" customHeight="1">
      <c r="A10" s="256" t="s">
        <v>361</v>
      </c>
      <c r="H10" s="256">
        <v>97</v>
      </c>
    </row>
    <row r="11" spans="1:8" ht="24.9" customHeight="1">
      <c r="A11" s="256" t="s">
        <v>205</v>
      </c>
      <c r="H11" s="257" t="s">
        <v>1411</v>
      </c>
    </row>
    <row r="12" spans="1:8" ht="24.9" customHeight="1">
      <c r="A12" s="256" t="s">
        <v>286</v>
      </c>
      <c r="H12" s="257" t="s">
        <v>1412</v>
      </c>
    </row>
    <row r="13" spans="1:8" ht="24.9" customHeight="1">
      <c r="A13" s="256" t="s">
        <v>229</v>
      </c>
      <c r="H13" s="257" t="s">
        <v>835</v>
      </c>
    </row>
    <row r="14" spans="1:8" ht="24.9" customHeight="1">
      <c r="A14" s="256" t="s">
        <v>183</v>
      </c>
      <c r="H14" s="257">
        <v>113</v>
      </c>
    </row>
    <row r="15" spans="1:8" ht="24.9" customHeight="1">
      <c r="A15" s="256" t="s">
        <v>378</v>
      </c>
      <c r="H15" s="257" t="s">
        <v>1413</v>
      </c>
    </row>
    <row r="16" spans="1:8" ht="24.9" customHeight="1">
      <c r="A16" s="256" t="s">
        <v>585</v>
      </c>
      <c r="H16" s="257">
        <v>116</v>
      </c>
    </row>
    <row r="17" spans="1:8" ht="24.9" customHeight="1">
      <c r="A17" s="256" t="s">
        <v>230</v>
      </c>
      <c r="H17" s="257" t="s">
        <v>1414</v>
      </c>
    </row>
    <row r="18" spans="1:8" ht="24.9" customHeight="1">
      <c r="A18" s="256" t="s">
        <v>233</v>
      </c>
      <c r="H18" s="257">
        <v>120</v>
      </c>
    </row>
    <row r="19" spans="1:8" ht="24.9" customHeight="1">
      <c r="A19" s="256" t="s">
        <v>119</v>
      </c>
      <c r="H19" s="257">
        <v>121</v>
      </c>
    </row>
    <row r="20" spans="1:8" ht="24.9" customHeight="1">
      <c r="A20" s="256" t="s">
        <v>619</v>
      </c>
      <c r="H20" s="257">
        <v>122</v>
      </c>
    </row>
    <row r="21" spans="1:8" ht="24.9" customHeight="1">
      <c r="A21" s="256" t="s">
        <v>134</v>
      </c>
      <c r="H21" s="257">
        <v>123</v>
      </c>
    </row>
    <row r="22" spans="1:8" ht="24.9" customHeight="1">
      <c r="A22" s="256" t="s">
        <v>135</v>
      </c>
      <c r="H22" s="257">
        <v>124</v>
      </c>
    </row>
    <row r="23" spans="1:8" ht="24.9" customHeight="1">
      <c r="A23" s="256" t="s">
        <v>1415</v>
      </c>
      <c r="H23" s="257" t="s">
        <v>1416</v>
      </c>
    </row>
    <row r="24" spans="1:8" ht="24.9" customHeight="1">
      <c r="A24" s="256"/>
      <c r="H24" s="256"/>
    </row>
    <row r="25" spans="1:8" ht="15.6">
      <c r="A25" s="25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31"/>
  <sheetViews>
    <sheetView showZeros="0" rightToLeft="1" tabSelected="1" zoomScaleNormal="100" workbookViewId="0">
      <pane xSplit="1" ySplit="5" topLeftCell="B12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5.6"/>
  <cols>
    <col min="1" max="1" width="14.88671875" style="71" customWidth="1"/>
    <col min="2" max="3" width="12.6640625" style="72" hidden="1" customWidth="1"/>
    <col min="4" max="4" width="11.109375" style="72" hidden="1" customWidth="1"/>
    <col min="5" max="5" width="14.109375" style="72" hidden="1" customWidth="1"/>
    <col min="6" max="8" width="12.6640625" style="72" hidden="1" customWidth="1"/>
    <col min="9" max="9" width="11.109375" style="72" hidden="1" customWidth="1"/>
    <col min="10" max="10" width="12.6640625" style="67" hidden="1" customWidth="1"/>
    <col min="11" max="11" width="10.88671875" style="72" hidden="1" customWidth="1"/>
    <col min="12" max="12" width="11.109375" style="72" hidden="1" customWidth="1"/>
    <col min="13" max="13" width="12.5546875" style="72" hidden="1" customWidth="1"/>
    <col min="14" max="14" width="12.6640625" style="67" hidden="1" customWidth="1"/>
    <col min="15" max="17" width="12.109375" style="72" hidden="1" customWidth="1"/>
    <col min="18" max="18" width="10.33203125" style="72" customWidth="1"/>
    <col min="19" max="19" width="12.44140625" style="72" customWidth="1"/>
    <col min="20" max="20" width="12.109375" style="72" bestFit="1" customWidth="1"/>
    <col min="21" max="21" width="10.88671875" style="72" customWidth="1"/>
    <col min="22" max="22" width="9.109375" style="72" hidden="1" customWidth="1"/>
    <col min="23" max="23" width="9.88671875" style="72" customWidth="1"/>
    <col min="24" max="24" width="11.109375" style="72" customWidth="1"/>
    <col min="25" max="25" width="14.109375" style="69" hidden="1" customWidth="1"/>
    <col min="26" max="33" width="12.6640625" style="67" hidden="1" customWidth="1"/>
    <col min="34" max="34" width="11.5546875" style="67" hidden="1" customWidth="1"/>
    <col min="35" max="35" width="11.33203125" style="69" hidden="1" customWidth="1"/>
    <col min="36" max="36" width="12.6640625" style="69" hidden="1" customWidth="1"/>
    <col min="37" max="37" width="11.44140625" style="69" customWidth="1"/>
    <col min="38" max="38" width="12.6640625" style="69" customWidth="1"/>
    <col min="39" max="39" width="11.6640625" style="69" customWidth="1"/>
    <col min="40" max="40" width="10.77734375" style="69" customWidth="1"/>
    <col min="41" max="41" width="12.6640625" style="69" hidden="1" customWidth="1"/>
    <col min="42" max="42" width="10.88671875" style="69" customWidth="1"/>
    <col min="43" max="43" width="10.5546875" style="69" customWidth="1"/>
    <col min="44" max="48" width="12.6640625" style="69" hidden="1" customWidth="1"/>
    <col min="49" max="49" width="11.21875" style="69" hidden="1" customWidth="1"/>
    <col min="50" max="50" width="10" style="69" hidden="1" customWidth="1"/>
    <col min="51" max="51" width="12.6640625" style="69" hidden="1" customWidth="1"/>
    <col min="52" max="52" width="9.88671875" style="69" hidden="1" customWidth="1"/>
    <col min="53" max="53" width="10.77734375" style="69" hidden="1" customWidth="1"/>
    <col min="54" max="54" width="11.6640625" style="697" hidden="1" customWidth="1"/>
    <col min="55" max="55" width="10.109375" style="69" hidden="1" customWidth="1"/>
    <col min="56" max="56" width="11.6640625" style="69" hidden="1" customWidth="1"/>
    <col min="57" max="16384" width="9.109375" style="69"/>
  </cols>
  <sheetData>
    <row r="2" spans="1:56" s="57" customFormat="1" ht="22.8">
      <c r="A2" s="315" t="s">
        <v>1013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Z2" s="67"/>
      <c r="AA2" s="67"/>
      <c r="AB2" s="67"/>
      <c r="AC2" s="67"/>
      <c r="AD2" s="67"/>
      <c r="AE2" s="67"/>
      <c r="AF2" s="67"/>
      <c r="AG2" s="67"/>
      <c r="AH2" s="67"/>
      <c r="BB2" s="693"/>
    </row>
    <row r="3" spans="1:56" s="395" customFormat="1" ht="20.100000000000001" customHeight="1">
      <c r="A3" s="393"/>
      <c r="B3" s="304"/>
      <c r="C3" s="394"/>
      <c r="D3" s="394"/>
      <c r="E3" s="394"/>
      <c r="F3" s="394"/>
      <c r="G3" s="394"/>
      <c r="H3" s="394"/>
      <c r="I3" s="39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Z3" s="67"/>
      <c r="AA3" s="67"/>
      <c r="AB3" s="67"/>
      <c r="AC3" s="67"/>
      <c r="AD3" s="67"/>
      <c r="AE3" s="67"/>
      <c r="AF3" s="67"/>
      <c r="AG3" s="67"/>
      <c r="AH3" s="67"/>
      <c r="BB3" s="694"/>
    </row>
    <row r="4" spans="1:56" s="63" customFormat="1">
      <c r="A4" s="61"/>
      <c r="B4" s="807"/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489"/>
      <c r="Q4" s="489"/>
      <c r="R4" s="807" t="s">
        <v>111</v>
      </c>
      <c r="S4" s="807"/>
      <c r="T4" s="807"/>
      <c r="U4" s="808"/>
      <c r="V4" s="808"/>
      <c r="W4" s="807"/>
      <c r="X4" s="807"/>
      <c r="Z4" s="539" t="s">
        <v>327</v>
      </c>
      <c r="AA4" s="540"/>
      <c r="AB4" s="540"/>
      <c r="AC4" s="540"/>
      <c r="AD4" s="540"/>
      <c r="AE4" s="540"/>
      <c r="AF4" s="540"/>
      <c r="AG4" s="540"/>
      <c r="AH4" s="540"/>
      <c r="AI4" s="825" t="s">
        <v>327</v>
      </c>
      <c r="AJ4" s="826"/>
      <c r="AK4" s="826"/>
      <c r="AL4" s="542"/>
      <c r="AM4" s="831" t="s">
        <v>998</v>
      </c>
      <c r="AN4" s="831"/>
      <c r="AO4" s="831"/>
      <c r="AP4" s="831"/>
      <c r="AQ4" s="831"/>
      <c r="AR4" s="825" t="s">
        <v>999</v>
      </c>
      <c r="AS4" s="826"/>
      <c r="AT4" s="826"/>
      <c r="AU4" s="826"/>
      <c r="AV4" s="827"/>
      <c r="AW4" s="828" t="s">
        <v>570</v>
      </c>
      <c r="AX4" s="829"/>
      <c r="AY4" s="829"/>
      <c r="AZ4" s="829"/>
      <c r="BA4" s="830"/>
      <c r="BB4" s="695"/>
    </row>
    <row r="5" spans="1:56" s="54" customFormat="1" ht="62.4">
      <c r="A5" s="61" t="s">
        <v>112</v>
      </c>
      <c r="B5" s="61" t="s">
        <v>113</v>
      </c>
      <c r="C5" s="61" t="s">
        <v>4</v>
      </c>
      <c r="D5" s="61" t="s">
        <v>114</v>
      </c>
      <c r="E5" s="61" t="s">
        <v>124</v>
      </c>
      <c r="F5" s="24" t="s">
        <v>7</v>
      </c>
      <c r="G5" s="24" t="s">
        <v>8</v>
      </c>
      <c r="H5" s="24" t="s">
        <v>9</v>
      </c>
      <c r="I5" s="24" t="s">
        <v>10</v>
      </c>
      <c r="J5" s="44" t="s">
        <v>11</v>
      </c>
      <c r="K5" s="10" t="s">
        <v>402</v>
      </c>
      <c r="L5" s="61" t="s">
        <v>403</v>
      </c>
      <c r="M5" s="61" t="s">
        <v>404</v>
      </c>
      <c r="N5" s="44" t="s">
        <v>115</v>
      </c>
      <c r="O5" s="24" t="s">
        <v>405</v>
      </c>
      <c r="P5" s="24" t="s">
        <v>489</v>
      </c>
      <c r="Q5" s="24" t="s">
        <v>407</v>
      </c>
      <c r="R5" s="24" t="s">
        <v>408</v>
      </c>
      <c r="S5" s="24" t="s">
        <v>409</v>
      </c>
      <c r="T5" s="64" t="s">
        <v>13</v>
      </c>
      <c r="U5" s="61" t="s">
        <v>14</v>
      </c>
      <c r="V5" s="48" t="s">
        <v>15</v>
      </c>
      <c r="W5" s="48" t="s">
        <v>354</v>
      </c>
      <c r="X5" s="61" t="s">
        <v>105</v>
      </c>
      <c r="Y5" s="31"/>
      <c r="Z5" s="482" t="s">
        <v>328</v>
      </c>
      <c r="AA5" s="482" t="s">
        <v>329</v>
      </c>
      <c r="AB5" s="482" t="s">
        <v>330</v>
      </c>
      <c r="AC5" s="482" t="s">
        <v>331</v>
      </c>
      <c r="AD5" s="482" t="s">
        <v>332</v>
      </c>
      <c r="AE5" s="482" t="s">
        <v>333</v>
      </c>
      <c r="AF5" s="482" t="s">
        <v>334</v>
      </c>
      <c r="AG5" s="482" t="s">
        <v>335</v>
      </c>
      <c r="AH5" s="482" t="s">
        <v>931</v>
      </c>
      <c r="AI5" s="85" t="s">
        <v>1000</v>
      </c>
      <c r="AJ5" s="85" t="s">
        <v>996</v>
      </c>
      <c r="AK5" s="85" t="s">
        <v>997</v>
      </c>
      <c r="AL5" s="85" t="s">
        <v>571</v>
      </c>
      <c r="AM5" s="10" t="s">
        <v>13</v>
      </c>
      <c r="AN5" s="10" t="s">
        <v>14</v>
      </c>
      <c r="AO5" s="10" t="s">
        <v>15</v>
      </c>
      <c r="AP5" s="10" t="s">
        <v>354</v>
      </c>
      <c r="AQ5" s="10" t="s">
        <v>105</v>
      </c>
      <c r="AR5" s="10" t="s">
        <v>13</v>
      </c>
      <c r="AS5" s="10" t="s">
        <v>14</v>
      </c>
      <c r="AT5" s="10" t="s">
        <v>15</v>
      </c>
      <c r="AU5" s="10" t="s">
        <v>354</v>
      </c>
      <c r="AV5" s="10" t="s">
        <v>105</v>
      </c>
      <c r="AW5" s="10" t="s">
        <v>13</v>
      </c>
      <c r="AX5" s="10" t="s">
        <v>14</v>
      </c>
      <c r="AY5" s="10" t="s">
        <v>15</v>
      </c>
      <c r="AZ5" s="10" t="s">
        <v>354</v>
      </c>
      <c r="BA5" s="10" t="s">
        <v>105</v>
      </c>
      <c r="BB5" s="698" t="s">
        <v>1280</v>
      </c>
      <c r="BC5" s="44" t="s">
        <v>1281</v>
      </c>
      <c r="BD5" s="44" t="s">
        <v>1282</v>
      </c>
    </row>
    <row r="6" spans="1:56" s="54" customFormat="1">
      <c r="A6" s="61"/>
      <c r="B6" s="61"/>
      <c r="C6" s="61"/>
      <c r="D6" s="61"/>
      <c r="E6" s="61"/>
      <c r="F6" s="24"/>
      <c r="G6" s="24"/>
      <c r="H6" s="24"/>
      <c r="I6" s="24"/>
      <c r="J6" s="44"/>
      <c r="K6" s="10"/>
      <c r="L6" s="61"/>
      <c r="M6" s="61"/>
      <c r="N6" s="44"/>
      <c r="O6" s="24"/>
      <c r="P6" s="24"/>
      <c r="Q6" s="24"/>
      <c r="R6" s="24"/>
      <c r="S6" s="61"/>
      <c r="T6" s="64"/>
      <c r="U6" s="61"/>
      <c r="V6" s="48"/>
      <c r="W6" s="48"/>
      <c r="X6" s="61"/>
      <c r="Y6" s="31"/>
      <c r="Z6" s="545"/>
      <c r="AA6" s="545"/>
      <c r="AB6" s="545"/>
      <c r="AC6" s="545"/>
      <c r="AD6" s="545"/>
      <c r="AE6" s="545"/>
      <c r="AF6" s="545"/>
      <c r="AG6" s="545"/>
      <c r="AH6" s="545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698"/>
      <c r="BC6" s="44"/>
      <c r="BD6" s="44"/>
    </row>
    <row r="7" spans="1:56" s="54" customFormat="1" ht="27" customHeight="1">
      <c r="A7" s="310" t="s">
        <v>667</v>
      </c>
      <c r="B7" s="13">
        <f>'הנדסה 2019'!D$105</f>
        <v>849930879</v>
      </c>
      <c r="C7" s="13">
        <f>'הנדסה 2019'!E$105</f>
        <v>699330541</v>
      </c>
      <c r="D7" s="13">
        <f>'הנדסה 2019'!F$105</f>
        <v>150600338</v>
      </c>
      <c r="E7" s="13">
        <f>'הנדסה 2019'!G$105</f>
        <v>324115229</v>
      </c>
      <c r="F7" s="13">
        <f>'הנדסה 2019'!H$105</f>
        <v>251391656.93999994</v>
      </c>
      <c r="G7" s="13">
        <f>'הנדסה 2019'!I$105</f>
        <v>22234190.400000002</v>
      </c>
      <c r="H7" s="13">
        <f>'הנדסה 2019'!J$105</f>
        <v>11172990.59</v>
      </c>
      <c r="I7" s="13">
        <f>'הנדסה 2019'!K$105</f>
        <v>33407180.989999995</v>
      </c>
      <c r="J7" s="13">
        <f>'הנדסה 2019'!L$105</f>
        <v>284798837.93000007</v>
      </c>
      <c r="K7" s="13">
        <f>'הנדסה 2019'!M$105</f>
        <v>17597391.070000004</v>
      </c>
      <c r="L7" s="13">
        <f>'הנדסה 2019'!N$105</f>
        <v>64635580</v>
      </c>
      <c r="M7" s="13">
        <f>'הנדסה 2019'!O$105</f>
        <v>482899070</v>
      </c>
      <c r="N7" s="13">
        <f>'הנדסה 2019'!P$105</f>
        <v>39316391.070000008</v>
      </c>
      <c r="O7" s="13">
        <f>'הנדסה 2019'!Q$105</f>
        <v>500000</v>
      </c>
      <c r="P7" s="13">
        <f>'הנדסה 2019'!R$105</f>
        <v>0</v>
      </c>
      <c r="Q7" s="13">
        <f>'הנדסה 2019'!S$105</f>
        <v>500000</v>
      </c>
      <c r="R7" s="13">
        <f>'הנדסה 2019'!T$105</f>
        <v>22219000</v>
      </c>
      <c r="S7" s="13">
        <f>'הנדסה 2019'!U$105</f>
        <v>42416580</v>
      </c>
      <c r="T7" s="13">
        <f>'הנדסה 2019'!V$105</f>
        <v>39542003</v>
      </c>
      <c r="U7" s="13">
        <f>'הנדסה 2019'!W$105</f>
        <v>0</v>
      </c>
      <c r="V7" s="13">
        <f>'הנדסה 2019'!X$105</f>
        <v>0</v>
      </c>
      <c r="W7" s="13">
        <f>'הנדסה 2019'!Y$105</f>
        <v>0</v>
      </c>
      <c r="X7" s="13">
        <f>'הנדסה 2019'!Z$105</f>
        <v>2874577</v>
      </c>
      <c r="Y7" s="13"/>
      <c r="Z7" s="65">
        <f>'הנדסה 2019'!AC$105</f>
        <v>0</v>
      </c>
      <c r="AA7" s="65">
        <f>'הנדסה 2019'!AD$105</f>
        <v>1200000</v>
      </c>
      <c r="AB7" s="65">
        <f>'הנדסה 2019'!AE$105</f>
        <v>0</v>
      </c>
      <c r="AC7" s="65">
        <f>'הנדסה 2019'!AF$105</f>
        <v>-4480000</v>
      </c>
      <c r="AD7" s="65">
        <f>'הנדסה 2019'!AG$105</f>
        <v>0</v>
      </c>
      <c r="AE7" s="65">
        <f>'הנדסה 2019'!AH$105</f>
        <v>4820000</v>
      </c>
      <c r="AF7" s="65">
        <f>'הנדסה 2019'!AI$105</f>
        <v>200000</v>
      </c>
      <c r="AG7" s="65">
        <f>'הנדסה 2019'!AJ$105</f>
        <v>3250000</v>
      </c>
      <c r="AH7" s="65">
        <f>'הנדסה 2019'!AK$105</f>
        <v>3357323</v>
      </c>
      <c r="AI7" s="65">
        <f>'הנדסה 2019'!AL$105</f>
        <v>8347323</v>
      </c>
      <c r="AJ7" s="65">
        <f>'הנדסה 2019'!AM$105</f>
        <v>0</v>
      </c>
      <c r="AK7" s="65">
        <f>'הנדסה 2019'!AN$105</f>
        <v>8347323</v>
      </c>
      <c r="AL7" s="65">
        <f>'הנדסה 2019'!AO$105</f>
        <v>34069257</v>
      </c>
      <c r="AM7" s="65">
        <f>'הנדסה 2019'!AP$105</f>
        <v>6902190</v>
      </c>
      <c r="AN7" s="65">
        <f>'הנדסה 2019'!AQ$105</f>
        <v>0</v>
      </c>
      <c r="AO7" s="65">
        <f>'הנדסה 2019'!AR$105</f>
        <v>0</v>
      </c>
      <c r="AP7" s="65">
        <f>'הנדסה 2019'!AS$105</f>
        <v>0</v>
      </c>
      <c r="AQ7" s="65">
        <f>'הנדסה 2019'!AT$105</f>
        <v>1445133</v>
      </c>
      <c r="AR7" s="65">
        <f>'הנדסה 2019'!AU$105</f>
        <v>0</v>
      </c>
      <c r="AS7" s="65">
        <f>'הנדסה 2019'!AV$105</f>
        <v>0</v>
      </c>
      <c r="AT7" s="65">
        <f>'הנדסה 2019'!AW$105</f>
        <v>0</v>
      </c>
      <c r="AU7" s="65">
        <f>'הנדסה 2019'!AX$105</f>
        <v>0</v>
      </c>
      <c r="AV7" s="65">
        <f>'הנדסה 2019'!AY$105</f>
        <v>0</v>
      </c>
      <c r="AW7" s="65">
        <f>'הנדסה 2019'!AZ$105</f>
        <v>32814813</v>
      </c>
      <c r="AX7" s="65">
        <f>'הנדסה 2019'!BA$105</f>
        <v>0</v>
      </c>
      <c r="AY7" s="65">
        <f>'הנדסה 2019'!BB$105</f>
        <v>0</v>
      </c>
      <c r="AZ7" s="65">
        <f>'הנדסה 2019'!BC$105</f>
        <v>0</v>
      </c>
      <c r="BA7" s="65">
        <f>'הנדסה 2019'!BD$105</f>
        <v>1254444</v>
      </c>
      <c r="BB7" s="698">
        <f>AK7/S7*100</f>
        <v>19.679387164170237</v>
      </c>
      <c r="BC7" s="12">
        <f>'ריכוז תקציב מעבר לתוכנית 2019'!AA10</f>
        <v>0</v>
      </c>
      <c r="BD7" s="698">
        <f>(BC7+AK7)/S7*100</f>
        <v>19.679387164170237</v>
      </c>
    </row>
    <row r="8" spans="1:56" s="67" customFormat="1" ht="27" customHeight="1">
      <c r="A8" s="10" t="s">
        <v>286</v>
      </c>
      <c r="B8" s="65">
        <f>'החברה לפיתוח 2019'!D$117</f>
        <v>2499972125</v>
      </c>
      <c r="C8" s="65">
        <f>'החברה לפיתוח 2019'!E$117</f>
        <v>2075031725</v>
      </c>
      <c r="D8" s="65">
        <f>'החברה לפיתוח 2019'!F$117</f>
        <v>424940400</v>
      </c>
      <c r="E8" s="65">
        <f>'החברה לפיתוח 2019'!G$117</f>
        <v>959889223</v>
      </c>
      <c r="F8" s="65">
        <f>'החברה לפיתוח 2019'!H$117</f>
        <v>726844010.36000013</v>
      </c>
      <c r="G8" s="65">
        <f>'החברה לפיתוח 2019'!I$117</f>
        <v>2023721.4800000002</v>
      </c>
      <c r="H8" s="65">
        <f>'החברה לפיתוח 2019'!J$117</f>
        <v>103699919.32999998</v>
      </c>
      <c r="I8" s="65">
        <f>'החברה לפיתוח 2019'!K$117</f>
        <v>105723640.80999999</v>
      </c>
      <c r="J8" s="65">
        <f>'החברה לפיתוח 2019'!L$117</f>
        <v>832567651.1700002</v>
      </c>
      <c r="K8" s="65">
        <f>'החברה לפיתוח 2019'!M$117</f>
        <v>260752517.82999992</v>
      </c>
      <c r="L8" s="65">
        <f>'החברה לפיתוח 2019'!N$117</f>
        <v>320047335</v>
      </c>
      <c r="M8" s="65">
        <f>'החברה לפיתוח 2019'!O$117</f>
        <v>1086604621</v>
      </c>
      <c r="N8" s="65">
        <f>'החברה לפיתוח 2019'!P$117</f>
        <v>127321571.83</v>
      </c>
      <c r="O8" s="65">
        <f>'החברה לפיתוח 2019'!Q$117</f>
        <v>137425601</v>
      </c>
      <c r="P8" s="65">
        <f>'החברה לפיתוח 2019'!R$117</f>
        <v>6800000</v>
      </c>
      <c r="Q8" s="65">
        <f>'החברה לפיתוח 2019'!S$117</f>
        <v>144225601</v>
      </c>
      <c r="R8" s="65">
        <f>'החברה לפיתוח 2019'!T$117</f>
        <v>10794655</v>
      </c>
      <c r="S8" s="65">
        <f>'החברה לפיתוח 2019'!U$117</f>
        <v>309252680</v>
      </c>
      <c r="T8" s="65">
        <f>'החברה לפיתוח 2019'!V$117</f>
        <v>193844870</v>
      </c>
      <c r="U8" s="65">
        <f>'החברה לפיתוח 2019'!W$117</f>
        <v>2500000</v>
      </c>
      <c r="V8" s="65">
        <f>'החברה לפיתוח 2019'!X$117</f>
        <v>0</v>
      </c>
      <c r="W8" s="65">
        <f>'החברה לפיתוח 2019'!Y$117</f>
        <v>34722657</v>
      </c>
      <c r="X8" s="65">
        <f>'החברה לפיתוח 2019'!Z$117</f>
        <v>78185153</v>
      </c>
      <c r="Y8" s="66"/>
      <c r="Z8" s="65">
        <f>'החברה לפיתוח 2019'!AC$117</f>
        <v>0</v>
      </c>
      <c r="AA8" s="65">
        <f>'החברה לפיתוח 2019'!AD$117</f>
        <v>6100000</v>
      </c>
      <c r="AB8" s="65">
        <f>'החברה לפיתוח 2019'!AE$117</f>
        <v>-306330</v>
      </c>
      <c r="AC8" s="65">
        <f>'החברה לפיתוח 2019'!AF$117</f>
        <v>2600000</v>
      </c>
      <c r="AD8" s="65">
        <f>'החברה לפיתוח 2019'!AG$117</f>
        <v>3800200</v>
      </c>
      <c r="AE8" s="65">
        <f>'החברה לפיתוח 2019'!AH$117</f>
        <v>5450000</v>
      </c>
      <c r="AF8" s="65">
        <f>'החברה לפיתוח 2019'!AI$117</f>
        <v>4240345</v>
      </c>
      <c r="AG8" s="65">
        <f>'החברה לפיתוח 2019'!AJ$117</f>
        <v>11920000</v>
      </c>
      <c r="AH8" s="65">
        <f>'החברה לפיתוח 2019'!AK$117</f>
        <v>191597251</v>
      </c>
      <c r="AI8" s="65">
        <f>'החברה לפיתוח 2019'!AL$117</f>
        <v>225401466</v>
      </c>
      <c r="AJ8" s="65">
        <f>'החברה לפיתוח 2019'!AM$117</f>
        <v>0</v>
      </c>
      <c r="AK8" s="65">
        <f>'החברה לפיתוח 2019'!AN$117</f>
        <v>225401466</v>
      </c>
      <c r="AL8" s="65">
        <f>'החברה לפיתוח 2019'!AO$117</f>
        <v>83851214</v>
      </c>
      <c r="AM8" s="65">
        <f>'החברה לפיתוח 2019'!AP$117</f>
        <v>169379870</v>
      </c>
      <c r="AN8" s="65">
        <f>'החברה לפיתוח 2019'!AQ$117</f>
        <v>1000000</v>
      </c>
      <c r="AO8" s="65">
        <f>'החברה לפיתוח 2019'!AR$117</f>
        <v>0</v>
      </c>
      <c r="AP8" s="65">
        <f>'החברה לפיתוח 2019'!AS$117</f>
        <v>21640345</v>
      </c>
      <c r="AQ8" s="65">
        <f>'החברה לפיתוח 2019'!AT$117</f>
        <v>33381251</v>
      </c>
      <c r="AR8" s="65">
        <f>'החברה לפיתוח 2019'!AU$117</f>
        <v>0</v>
      </c>
      <c r="AS8" s="65">
        <f>'החברה לפיתוח 2019'!AV$117</f>
        <v>0</v>
      </c>
      <c r="AT8" s="65">
        <f>'החברה לפיתוח 2019'!AW$117</f>
        <v>0</v>
      </c>
      <c r="AU8" s="65">
        <f>'החברה לפיתוח 2019'!AX$117</f>
        <v>0</v>
      </c>
      <c r="AV8" s="65">
        <f>'החברה לפיתוח 2019'!AY$117</f>
        <v>0</v>
      </c>
      <c r="AW8" s="65">
        <f>'החברה לפיתוח 2019'!AZ$117</f>
        <v>23640000</v>
      </c>
      <c r="AX8" s="65">
        <f>'החברה לפיתוח 2019'!BA$117</f>
        <v>1500000</v>
      </c>
      <c r="AY8" s="65">
        <f>'החברה לפיתוח 2019'!BB$117</f>
        <v>0</v>
      </c>
      <c r="AZ8" s="65">
        <f>'החברה לפיתוח 2019'!BC$117</f>
        <v>13082312</v>
      </c>
      <c r="BA8" s="65">
        <f>'החברה לפיתוח 2019'!BD$117</f>
        <v>45628902</v>
      </c>
      <c r="BB8" s="698">
        <f t="shared" ref="BB8:BB18" si="0">AK8/S8*100</f>
        <v>72.885856963309095</v>
      </c>
      <c r="BC8" s="65">
        <f>'ריכוז תקציב מעבר לתוכנית 2019'!AA22</f>
        <v>7434000</v>
      </c>
      <c r="BD8" s="698">
        <f t="shared" ref="BD8:BD19" si="1">(BC8+AK8)/S8*100</f>
        <v>75.289716486854701</v>
      </c>
    </row>
    <row r="9" spans="1:56" s="67" customFormat="1" ht="27" customHeight="1">
      <c r="A9" s="311" t="s">
        <v>665</v>
      </c>
      <c r="B9" s="65">
        <f>'[1]תקציב אגף ת.ב.ל 2019'!D$71</f>
        <v>659008945</v>
      </c>
      <c r="C9" s="65">
        <f>'[1]תקציב אגף ת.ב.ל 2019'!E$71</f>
        <v>632243945</v>
      </c>
      <c r="D9" s="65">
        <f>'[1]תקציב אגף ת.ב.ל 2019'!F$71</f>
        <v>26765000</v>
      </c>
      <c r="E9" s="65">
        <f>'[1]תקציב אגף ת.ב.ל 2019'!G$71</f>
        <v>507684741</v>
      </c>
      <c r="F9" s="65">
        <f>'[1]תקציב אגף ת.ב.ל 2019'!H$71</f>
        <v>432359545.21999997</v>
      </c>
      <c r="G9" s="65">
        <f>'[1]תקציב אגף ת.ב.ל 2019'!I$71</f>
        <v>18484399.039999999</v>
      </c>
      <c r="H9" s="65">
        <f>'[1]תקציב אגף ת.ב.ל 2019'!J$71</f>
        <v>36617167.289999999</v>
      </c>
      <c r="I9" s="65">
        <f>'[1]תקציב אגף ת.ב.ל 2019'!K$71</f>
        <v>55101566.330000006</v>
      </c>
      <c r="J9" s="65">
        <f>'[1]תקציב אגף ת.ב.ל 2019'!L$71</f>
        <v>487461111.55000001</v>
      </c>
      <c r="K9" s="65">
        <f>'[1]תקציב אגף ת.ב.ל 2019'!M$71</f>
        <v>22273629.449999984</v>
      </c>
      <c r="L9" s="65">
        <f>'[1]תקציב אגף ת.ב.ל 2019'!N$71</f>
        <v>49991300</v>
      </c>
      <c r="M9" s="65">
        <f>'[1]תקציב אגף ת.ב.ל 2019'!O$71</f>
        <v>99282904</v>
      </c>
      <c r="N9" s="65">
        <f>'[1]תקציב אגף ת.ב.ל 2019'!P$71</f>
        <v>20223629.449999988</v>
      </c>
      <c r="O9" s="65">
        <f>'[1]תקציב אגף ת.ב.ל 2019'!Q$71</f>
        <v>2590000</v>
      </c>
      <c r="P9" s="65">
        <f>'[1]תקציב אגף ת.ב.ל 2019'!R$71</f>
        <v>0</v>
      </c>
      <c r="Q9" s="65">
        <f>'[1]תקציב אגף ת.ב.ל 2019'!S$71</f>
        <v>2590000</v>
      </c>
      <c r="R9" s="65">
        <f>'[1]תקציב אגף ת.ב.ל 2019'!T$71</f>
        <v>540000</v>
      </c>
      <c r="S9" s="65">
        <f>'[1]תקציב אגף ת.ב.ל 2019'!U$71</f>
        <v>49451300</v>
      </c>
      <c r="T9" s="65">
        <f>'[1]תקציב אגף ת.ב.ל 2019'!V$71</f>
        <v>25230000</v>
      </c>
      <c r="U9" s="65">
        <f>'[1]תקציב אגף ת.ב.ל 2019'!W$71</f>
        <v>15000000</v>
      </c>
      <c r="V9" s="65">
        <f>'[1]תקציב אגף ת.ב.ל 2019'!X$71</f>
        <v>0</v>
      </c>
      <c r="W9" s="65">
        <f>'[1]תקציב אגף ת.ב.ל 2019'!Y$71</f>
        <v>0</v>
      </c>
      <c r="X9" s="65">
        <f>'[1]תקציב אגף ת.ב.ל 2019'!Z$71</f>
        <v>9221300</v>
      </c>
      <c r="Z9" s="65">
        <f>'אגף ת.ב.ל 2019'!AC$71</f>
        <v>800000</v>
      </c>
      <c r="AA9" s="65">
        <f>'אגף ת.ב.ל 2019'!AD$71</f>
        <v>17625000</v>
      </c>
      <c r="AB9" s="65">
        <f>'אגף ת.ב.ל 2019'!AE$71</f>
        <v>4260000</v>
      </c>
      <c r="AC9" s="65">
        <f>'אגף ת.ב.ל 2019'!AF$71</f>
        <v>3350000</v>
      </c>
      <c r="AD9" s="65">
        <f>'אגף ת.ב.ל 2019'!AG$71</f>
        <v>4350000</v>
      </c>
      <c r="AE9" s="65">
        <f>'אגף ת.ב.ל 2019'!AH$71</f>
        <v>420000</v>
      </c>
      <c r="AF9" s="65">
        <f>'אגף ת.ב.ל 2019'!AI$71</f>
        <v>-450000</v>
      </c>
      <c r="AG9" s="65">
        <f>'אגף ת.ב.ל 2019'!AJ$71</f>
        <v>3300000</v>
      </c>
      <c r="AH9" s="65">
        <f>'אגף ת.ב.ל 2019'!AK$71</f>
        <v>5135000</v>
      </c>
      <c r="AI9" s="65">
        <f>'אגף ת.ב.ל 2019'!AL$71</f>
        <v>38790000</v>
      </c>
      <c r="AJ9" s="65">
        <f>'אגף ת.ב.ל 2019'!AM$71</f>
        <v>0</v>
      </c>
      <c r="AK9" s="65">
        <f>'אגף ת.ב.ל 2019'!AN$71</f>
        <v>38790000</v>
      </c>
      <c r="AL9" s="65">
        <f>'אגף ת.ב.ל 2019'!AO$71</f>
        <v>10661300</v>
      </c>
      <c r="AM9" s="65">
        <f>'אגף ת.ב.ל 2019'!AP$71</f>
        <v>24680000</v>
      </c>
      <c r="AN9" s="65">
        <f>'אגף ת.ב.ל 2019'!AQ$71</f>
        <v>14000000</v>
      </c>
      <c r="AO9" s="65">
        <f>'אגף ת.ב.ל 2019'!AR$71</f>
        <v>0</v>
      </c>
      <c r="AP9" s="65">
        <f>'אגף ת.ב.ל 2019'!AS$71</f>
        <v>0</v>
      </c>
      <c r="AQ9" s="65">
        <f>'אגף ת.ב.ל 2019'!AT$71</f>
        <v>110000</v>
      </c>
      <c r="AR9" s="65">
        <f>'אגף ת.ב.ל 2019'!AU$71</f>
        <v>0</v>
      </c>
      <c r="AS9" s="65">
        <f>'אגף ת.ב.ל 2019'!AV$71</f>
        <v>0</v>
      </c>
      <c r="AT9" s="65">
        <f>'אגף ת.ב.ל 2019'!AW$71</f>
        <v>0</v>
      </c>
      <c r="AU9" s="65">
        <f>'אגף ת.ב.ל 2019'!AX$71</f>
        <v>0</v>
      </c>
      <c r="AV9" s="65">
        <f>'אגף ת.ב.ל 2019'!AY$71</f>
        <v>0</v>
      </c>
      <c r="AW9" s="65">
        <f>'אגף ת.ב.ל 2019'!AZ$71</f>
        <v>550000</v>
      </c>
      <c r="AX9" s="65">
        <f>'אגף ת.ב.ל 2019'!BA$71</f>
        <v>1000000</v>
      </c>
      <c r="AY9" s="65">
        <f>'אגף ת.ב.ל 2019'!BB$71</f>
        <v>0</v>
      </c>
      <c r="AZ9" s="65">
        <f>'אגף ת.ב.ל 2019'!BC$71</f>
        <v>0</v>
      </c>
      <c r="BA9" s="65">
        <f>'אגף ת.ב.ל 2019'!BD$71</f>
        <v>9111300</v>
      </c>
      <c r="BB9" s="698">
        <f t="shared" si="0"/>
        <v>78.440809442825568</v>
      </c>
      <c r="BC9" s="65">
        <f>'ריכוז תקציב מעבר לתוכנית 2019'!AA43</f>
        <v>17248000</v>
      </c>
      <c r="BD9" s="698">
        <f t="shared" si="1"/>
        <v>113.31956894965349</v>
      </c>
    </row>
    <row r="10" spans="1:56" s="67" customFormat="1" ht="27" customHeight="1">
      <c r="A10" s="10" t="s">
        <v>183</v>
      </c>
      <c r="B10" s="65">
        <f>'[1]תקציב אגף בטחון פיקוח סד"צ 2019'!D$12</f>
        <v>3735000</v>
      </c>
      <c r="C10" s="65">
        <f>'[1]תקציב אגף בטחון פיקוח סד"צ 2019'!E$12</f>
        <v>2225000</v>
      </c>
      <c r="D10" s="65">
        <f>'[1]תקציב אגף בטחון פיקוח סד"צ 2019'!F$12</f>
        <v>1510000</v>
      </c>
      <c r="E10" s="65">
        <f>'[1]תקציב אגף בטחון פיקוח סד"צ 2019'!G$12</f>
        <v>2075000</v>
      </c>
      <c r="F10" s="65">
        <f>'[1]תקציב אגף בטחון פיקוח סד"צ 2019'!H$12</f>
        <v>1876964.26</v>
      </c>
      <c r="G10" s="65">
        <f>'[1]תקציב אגף בטחון פיקוח סד"צ 2019'!I$12</f>
        <v>0</v>
      </c>
      <c r="H10" s="65">
        <f>'[1]תקציב אגף בטחון פיקוח סד"צ 2019'!J$12</f>
        <v>135281.96000000002</v>
      </c>
      <c r="I10" s="65">
        <f>'[1]תקציב אגף בטחון פיקוח סד"צ 2019'!K$12</f>
        <v>135281.96000000002</v>
      </c>
      <c r="J10" s="65">
        <f>'[1]תקציב אגף בטחון פיקוח סד"צ 2019'!L$12</f>
        <v>2012246.22</v>
      </c>
      <c r="K10" s="65">
        <f>'[1]תקציב אגף בטחון פיקוח סד"צ 2019'!M$12</f>
        <v>22753.780000000086</v>
      </c>
      <c r="L10" s="65">
        <f>'[1]תקציב אגף בטחון פיקוח סד"צ 2019'!N$12</f>
        <v>1700000</v>
      </c>
      <c r="M10" s="65">
        <f>'[1]תקציב אגף בטחון פיקוח סד"צ 2019'!O$12</f>
        <v>0</v>
      </c>
      <c r="N10" s="65">
        <f>'[1]תקציב אגף בטחון פיקוח סד"צ 2019'!P$12</f>
        <v>62753.780000000086</v>
      </c>
      <c r="O10" s="65">
        <f>'[1]תקציב אגף בטחון פיקוח סד"צ 2019'!Q$12</f>
        <v>0</v>
      </c>
      <c r="P10" s="65">
        <f>'[1]תקציב אגף בטחון פיקוח סד"צ 2019'!R$12</f>
        <v>0</v>
      </c>
      <c r="Q10" s="65">
        <f>'[1]תקציב אגף בטחון פיקוח סד"צ 2019'!S$12</f>
        <v>0</v>
      </c>
      <c r="R10" s="65">
        <f>'[1]תקציב אגף בטחון פיקוח סד"צ 2019'!T$12</f>
        <v>40000</v>
      </c>
      <c r="S10" s="65">
        <f>'[1]תקציב אגף בטחון פיקוח סד"צ 2019'!U$12</f>
        <v>1660000</v>
      </c>
      <c r="T10" s="65">
        <f>'[1]תקציב אגף בטחון פיקוח סד"צ 2019'!V$12</f>
        <v>0</v>
      </c>
      <c r="U10" s="65">
        <f>'[1]תקציב אגף בטחון פיקוח סד"צ 2019'!W$12</f>
        <v>1660000</v>
      </c>
      <c r="V10" s="65">
        <f>'[1]תקציב אגף בטחון פיקוח סד"צ 2019'!X$12</f>
        <v>0</v>
      </c>
      <c r="W10" s="65">
        <f>'[1]תקציב אגף בטחון פיקוח סד"צ 2019'!Y$12</f>
        <v>0</v>
      </c>
      <c r="X10" s="65">
        <f>'[1]תקציב אגף בטחון פיקוח סד"צ 2019'!Z$12</f>
        <v>0</v>
      </c>
      <c r="Z10" s="65">
        <f>' אגף בטחון פיקוח סד"צ 2019'!AC$12</f>
        <v>100000</v>
      </c>
      <c r="AA10" s="65">
        <f>' אגף בטחון פיקוח סד"צ 2019'!AD$12</f>
        <v>0</v>
      </c>
      <c r="AB10" s="65">
        <f>' אגף בטחון פיקוח סד"צ 2019'!AE$12</f>
        <v>573000</v>
      </c>
      <c r="AC10" s="65">
        <f>' אגף בטחון פיקוח סד"צ 2019'!AF$12</f>
        <v>100000</v>
      </c>
      <c r="AD10" s="65">
        <f>' אגף בטחון פיקוח סד"צ 2019'!AG$12</f>
        <v>0</v>
      </c>
      <c r="AE10" s="65">
        <f>' אגף בטחון פיקוח סד"צ 2019'!AH$12</f>
        <v>0</v>
      </c>
      <c r="AF10" s="65">
        <f>' אגף בטחון פיקוח סד"צ 2019'!AI$12</f>
        <v>0</v>
      </c>
      <c r="AG10" s="65">
        <f>' אגף בטחון פיקוח סד"צ 2019'!AJ$12</f>
        <v>0</v>
      </c>
      <c r="AH10" s="65">
        <f>' אגף בטחון פיקוח סד"צ 2019'!AK$12</f>
        <v>900000</v>
      </c>
      <c r="AI10" s="65">
        <f>' אגף בטחון פיקוח סד"צ 2019'!AL$12</f>
        <v>1673000</v>
      </c>
      <c r="AJ10" s="65">
        <f>' אגף בטחון פיקוח סד"צ 2019'!AM$12</f>
        <v>0</v>
      </c>
      <c r="AK10" s="65">
        <f>' אגף בטחון פיקוח סד"צ 2019'!AN$12</f>
        <v>1673000</v>
      </c>
      <c r="AL10" s="65">
        <f>' אגף בטחון פיקוח סד"צ 2019'!AO$12</f>
        <v>-13000</v>
      </c>
      <c r="AM10" s="65">
        <f>' אגף בטחון פיקוח סד"צ 2019'!AP$12</f>
        <v>0</v>
      </c>
      <c r="AN10" s="65">
        <f>' אגף בטחון פיקוח סד"צ 2019'!AQ$12</f>
        <v>1673000</v>
      </c>
      <c r="AO10" s="65">
        <f>' אגף בטחון פיקוח סד"צ 2019'!AR$12</f>
        <v>0</v>
      </c>
      <c r="AP10" s="65">
        <f>' אגף בטחון פיקוח סד"צ 2019'!AS$12</f>
        <v>0</v>
      </c>
      <c r="AQ10" s="65">
        <f>' אגף בטחון פיקוח סד"צ 2019'!AT$12</f>
        <v>0</v>
      </c>
      <c r="AR10" s="65">
        <f>' אגף בטחון פיקוח סד"צ 2019'!AU$12</f>
        <v>0</v>
      </c>
      <c r="AS10" s="65">
        <f>' אגף בטחון פיקוח סד"צ 2019'!AV$12</f>
        <v>0</v>
      </c>
      <c r="AT10" s="65">
        <f>' אגף בטחון פיקוח סד"צ 2019'!AW$12</f>
        <v>0</v>
      </c>
      <c r="AU10" s="65">
        <f>' אגף בטחון פיקוח סד"צ 2019'!AX$12</f>
        <v>0</v>
      </c>
      <c r="AV10" s="65">
        <f>' אגף בטחון פיקוח סד"צ 2019'!AY$12</f>
        <v>0</v>
      </c>
      <c r="AW10" s="65">
        <f>' אגף בטחון פיקוח סד"צ 2019'!AZ$12</f>
        <v>0</v>
      </c>
      <c r="AX10" s="65">
        <f>' אגף בטחון פיקוח סד"צ 2019'!BA$12</f>
        <v>-13000</v>
      </c>
      <c r="AY10" s="65">
        <f>' אגף בטחון פיקוח סד"צ 2019'!BB$12</f>
        <v>0</v>
      </c>
      <c r="AZ10" s="65">
        <f>' אגף בטחון פיקוח סד"צ 2019'!BC$12</f>
        <v>0</v>
      </c>
      <c r="BA10" s="65">
        <f>' אגף בטחון פיקוח סד"צ 2019'!BD$12</f>
        <v>0</v>
      </c>
      <c r="BB10" s="698">
        <f t="shared" si="0"/>
        <v>100.78313253012048</v>
      </c>
      <c r="BC10" s="65">
        <f>'ריכוז תקציב מעבר לתוכנית 2019'!AA49</f>
        <v>620000</v>
      </c>
      <c r="BD10" s="698">
        <f t="shared" si="1"/>
        <v>138.13253012048193</v>
      </c>
    </row>
    <row r="11" spans="1:56" s="67" customFormat="1" ht="27" customHeight="1">
      <c r="A11" s="311" t="s">
        <v>238</v>
      </c>
      <c r="B11" s="65">
        <f>'[1]תקציב אגף חינוך 2019'!D$30</f>
        <v>18230363.133986652</v>
      </c>
      <c r="C11" s="65">
        <f>'[1]תקציב אגף חינוך 2019'!E$30</f>
        <v>11385500</v>
      </c>
      <c r="D11" s="65">
        <f>'[1]תקציב אגף חינוך 2019'!F$30</f>
        <v>6844863.13398665</v>
      </c>
      <c r="E11" s="65">
        <f>'[1]תקציב אגף חינוך 2019'!G$30</f>
        <v>9038263</v>
      </c>
      <c r="F11" s="65">
        <f>'[1]תקציב אגף חינוך 2019'!H$30</f>
        <v>4614992.4400000004</v>
      </c>
      <c r="G11" s="65">
        <f>'[1]תקציב אגף חינוך 2019'!I$30</f>
        <v>0</v>
      </c>
      <c r="H11" s="65">
        <f>'[1]תקציב אגף חינוך 2019'!J$30</f>
        <v>1851410.6500000001</v>
      </c>
      <c r="I11" s="65">
        <f>'[1]תקציב אגף חינוך 2019'!K$30</f>
        <v>1851410.6500000001</v>
      </c>
      <c r="J11" s="65">
        <f>'[1]תקציב אגף חינוך 2019'!L$30</f>
        <v>6466403.0899999999</v>
      </c>
      <c r="K11" s="65">
        <f>'[1]תקציב אגף חינוך 2019'!M$30</f>
        <v>2071859.9100000001</v>
      </c>
      <c r="L11" s="65">
        <f>'[1]תקציב אגף חינוך 2019'!N$30</f>
        <v>8912100.13398665</v>
      </c>
      <c r="M11" s="65">
        <f>'[1]תקציב אגף חינוך 2019'!O$30</f>
        <v>780000</v>
      </c>
      <c r="N11" s="65">
        <f>'[1]תקציב אגף חינוך 2019'!P$30</f>
        <v>2571859.9100000006</v>
      </c>
      <c r="O11" s="65">
        <f>'[1]תקציב אגף חינוך 2019'!Q$30</f>
        <v>0</v>
      </c>
      <c r="P11" s="65">
        <f>'[1]תקציב אגף חינוך 2019'!R$30</f>
        <v>0</v>
      </c>
      <c r="Q11" s="65">
        <f>'[1]תקציב אגף חינוך 2019'!S$30</f>
        <v>0</v>
      </c>
      <c r="R11" s="65">
        <f>'[1]תקציב אגף חינוך 2019'!T$30</f>
        <v>500000</v>
      </c>
      <c r="S11" s="65">
        <f>'[1]תקציב אגף חינוך 2019'!U$30</f>
        <v>8412100.13398665</v>
      </c>
      <c r="T11" s="65">
        <f>'[1]תקציב אגף חינוך 2019'!V$30</f>
        <v>0</v>
      </c>
      <c r="U11" s="65">
        <f>'[1]תקציב אגף חינוך 2019'!W$30</f>
        <v>3534100.13398665</v>
      </c>
      <c r="V11" s="65">
        <f>'[1]תקציב אגף חינוך 2019'!X$30</f>
        <v>0</v>
      </c>
      <c r="W11" s="65">
        <f>'[1]תקציב אגף חינוך 2019'!Y$30</f>
        <v>0</v>
      </c>
      <c r="X11" s="65">
        <f>'[1]תקציב אגף חינוך 2019'!Z$30</f>
        <v>4878000</v>
      </c>
      <c r="Z11" s="65">
        <f>'תקציב אגף חינוך 2019'!AC$30</f>
        <v>0</v>
      </c>
      <c r="AA11" s="65">
        <f>'תקציב אגף חינוך 2019'!AD$30</f>
        <v>940000</v>
      </c>
      <c r="AB11" s="65">
        <f>'תקציב אגף חינוך 2019'!AE$30</f>
        <v>0</v>
      </c>
      <c r="AC11" s="65">
        <f>'תקציב אגף חינוך 2019'!AF$30</f>
        <v>0</v>
      </c>
      <c r="AD11" s="65">
        <f>'תקציב אגף חינוך 2019'!AG$30</f>
        <v>5647100</v>
      </c>
      <c r="AE11" s="65">
        <f>'תקציב אגף חינוך 2019'!AH$30</f>
        <v>675000</v>
      </c>
      <c r="AF11" s="65">
        <f>'תקציב אגף חינוך 2019'!AI$30</f>
        <v>0</v>
      </c>
      <c r="AG11" s="65">
        <f>'תקציב אגף חינוך 2019'!AJ$30</f>
        <v>1150000</v>
      </c>
      <c r="AH11" s="65">
        <f>'תקציב אגף חינוך 2019'!AK$30</f>
        <v>0</v>
      </c>
      <c r="AI11" s="65">
        <f>'תקציב אגף חינוך 2019'!AL$30</f>
        <v>8412100</v>
      </c>
      <c r="AJ11" s="65">
        <f>'תקציב אגף חינוך 2019'!AM$30</f>
        <v>0</v>
      </c>
      <c r="AK11" s="65">
        <f>'תקציב אגף חינוך 2019'!AN$30</f>
        <v>8412100</v>
      </c>
      <c r="AL11" s="65">
        <f>'תקציב אגף חינוך 2019'!AO$30</f>
        <v>0.13398665003478527</v>
      </c>
      <c r="AM11" s="65">
        <f>'תקציב אגף חינוך 2019'!AP$30</f>
        <v>0</v>
      </c>
      <c r="AN11" s="65">
        <f>'תקציב אגף חינוך 2019'!AQ$30</f>
        <v>3534100</v>
      </c>
      <c r="AO11" s="65">
        <f>'תקציב אגף חינוך 2019'!AR$30</f>
        <v>0</v>
      </c>
      <c r="AP11" s="65">
        <f>'תקציב אגף חינוך 2019'!AS$30</f>
        <v>0</v>
      </c>
      <c r="AQ11" s="65">
        <f>'תקציב אגף חינוך 2019'!AT$30</f>
        <v>4878000</v>
      </c>
      <c r="AR11" s="65">
        <f>'תקציב אגף חינוך 2019'!AU$30</f>
        <v>0</v>
      </c>
      <c r="AS11" s="65">
        <f>'תקציב אגף חינוך 2019'!AV$30</f>
        <v>0</v>
      </c>
      <c r="AT11" s="65">
        <f>'תקציב אגף חינוך 2019'!AW$30</f>
        <v>0</v>
      </c>
      <c r="AU11" s="65">
        <f>'תקציב אגף חינוך 2019'!AX$30</f>
        <v>0</v>
      </c>
      <c r="AV11" s="65">
        <f>'תקציב אגף חינוך 2019'!AY$30</f>
        <v>0</v>
      </c>
      <c r="AW11" s="65">
        <f>'תקציב אגף חינוך 2019'!AZ$30</f>
        <v>0</v>
      </c>
      <c r="AX11" s="65">
        <f>'תקציב אגף חינוך 2019'!BA$30</f>
        <v>0.13398665003478527</v>
      </c>
      <c r="AY11" s="65">
        <f>'תקציב אגף חינוך 2019'!BB$30</f>
        <v>0</v>
      </c>
      <c r="AZ11" s="65">
        <f>'תקציב אגף חינוך 2019'!BC$30</f>
        <v>0</v>
      </c>
      <c r="BA11" s="65">
        <f>'תקציב אגף חינוך 2019'!BD$30</f>
        <v>0</v>
      </c>
      <c r="BB11" s="698">
        <f t="shared" si="0"/>
        <v>99.99999840721523</v>
      </c>
      <c r="BC11" s="65">
        <f>'ריכוז תקציב מעבר לתוכנית 2019'!AA57</f>
        <v>850000</v>
      </c>
      <c r="BD11" s="698">
        <f t="shared" si="1"/>
        <v>110.1044905846897</v>
      </c>
    </row>
    <row r="12" spans="1:56" s="67" customFormat="1" ht="27" customHeight="1">
      <c r="A12" s="311" t="s">
        <v>585</v>
      </c>
      <c r="B12" s="65">
        <f>'[1]תקציב אגף תנוס 2019'!D$17</f>
        <v>14813365</v>
      </c>
      <c r="C12" s="65">
        <f>'[1]תקציב אגף תנוס 2019'!E$17</f>
        <v>13843365</v>
      </c>
      <c r="D12" s="65">
        <f>'[1]תקציב אגף תנוס 2019'!F$17</f>
        <v>970000</v>
      </c>
      <c r="E12" s="65">
        <f>'[1]תקציב אגף תנוס 2019'!G$17</f>
        <v>8328365</v>
      </c>
      <c r="F12" s="65">
        <f>'[1]תקציב אגף תנוס 2019'!H$17</f>
        <v>6323918.959999999</v>
      </c>
      <c r="G12" s="65">
        <f>'[1]תקציב אגף תנוס 2019'!I$17</f>
        <v>0</v>
      </c>
      <c r="H12" s="65">
        <f>'[1]תקציב אגף תנוס 2019'!J$17</f>
        <v>660990.71</v>
      </c>
      <c r="I12" s="65">
        <f>'[1]תקציב אגף תנוס 2019'!K$17</f>
        <v>660990.71</v>
      </c>
      <c r="J12" s="65">
        <f>'[1]תקציב אגף תנוס 2019'!L$17</f>
        <v>6984909.669999999</v>
      </c>
      <c r="K12" s="65">
        <f>'[1]תקציב אגף תנוס 2019'!M$17</f>
        <v>4243455.33</v>
      </c>
      <c r="L12" s="65">
        <f>'[1]תקציב אגף תנוס 2019'!N$17</f>
        <v>3120000</v>
      </c>
      <c r="M12" s="65">
        <f>'[1]תקציב אגף תנוס 2019'!O$17</f>
        <v>465000</v>
      </c>
      <c r="N12" s="65">
        <f>'[1]תקציב אגף תנוס 2019'!P$17</f>
        <v>1343455.33</v>
      </c>
      <c r="O12" s="65">
        <f>'[1]תקציב אגף תנוס 2019'!Q$17</f>
        <v>2900000</v>
      </c>
      <c r="P12" s="65">
        <f>'[1]תקציב אגף תנוס 2019'!R$17</f>
        <v>0</v>
      </c>
      <c r="Q12" s="65">
        <f>'[1]תקציב אגף תנוס 2019'!S$17</f>
        <v>2900000</v>
      </c>
      <c r="R12" s="65">
        <f>'[1]תקציב אגף תנוס 2019'!T$17</f>
        <v>0</v>
      </c>
      <c r="S12" s="65">
        <f>'[1]תקציב אגף תנוס 2019'!U$17</f>
        <v>3120000</v>
      </c>
      <c r="T12" s="65">
        <f>'[1]תקציב אגף תנוס 2019'!V$17</f>
        <v>0</v>
      </c>
      <c r="U12" s="65">
        <f>'[1]תקציב אגף תנוס 2019'!W$17</f>
        <v>3120000</v>
      </c>
      <c r="V12" s="65">
        <f>'[1]תקציב אגף תנוס 2019'!X$17</f>
        <v>0</v>
      </c>
      <c r="W12" s="65">
        <f>'[1]תקציב אגף תנוס 2019'!Y$17</f>
        <v>0</v>
      </c>
      <c r="X12" s="65">
        <f>'[1]תקציב אגף תנוס 2019'!Z$17</f>
        <v>0</v>
      </c>
      <c r="Z12" s="65">
        <f>' אגף תנוס 2019'!AC$17</f>
        <v>600000</v>
      </c>
      <c r="AA12" s="65">
        <f>' אגף תנוס 2019'!AD$17</f>
        <v>850000</v>
      </c>
      <c r="AB12" s="65">
        <f>' אגף תנוס 2019'!AE$17</f>
        <v>0</v>
      </c>
      <c r="AC12" s="65">
        <f>' אגף תנוס 2019'!AF$17</f>
        <v>0</v>
      </c>
      <c r="AD12" s="65">
        <f>' אגף תנוס 2019'!AG$17</f>
        <v>0</v>
      </c>
      <c r="AE12" s="65">
        <f>' אגף תנוס 2019'!AH$17</f>
        <v>200000</v>
      </c>
      <c r="AF12" s="65">
        <f>' אגף תנוס 2019'!AI$17</f>
        <v>0</v>
      </c>
      <c r="AG12" s="65">
        <f>' אגף תנוס 2019'!AJ$17</f>
        <v>420000</v>
      </c>
      <c r="AH12" s="65">
        <f>' אגף תנוס 2019'!AK$17</f>
        <v>930000</v>
      </c>
      <c r="AI12" s="65">
        <f>' אגף תנוס 2019'!AL$17</f>
        <v>3000000</v>
      </c>
      <c r="AJ12" s="65">
        <f>' אגף תנוס 2019'!AM$17</f>
        <v>0</v>
      </c>
      <c r="AK12" s="65">
        <f>' אגף תנוס 2019'!AN$17</f>
        <v>3000000</v>
      </c>
      <c r="AL12" s="65">
        <f>' אגף תנוס 2019'!AO$17</f>
        <v>120000</v>
      </c>
      <c r="AM12" s="65">
        <f>' אגף תנוס 2019'!AP$17</f>
        <v>0</v>
      </c>
      <c r="AN12" s="65">
        <f>' אגף תנוס 2019'!AQ$17</f>
        <v>3000000</v>
      </c>
      <c r="AO12" s="65">
        <f>' אגף תנוס 2019'!AR$17</f>
        <v>0</v>
      </c>
      <c r="AP12" s="65">
        <f>' אגף תנוס 2019'!AS$17</f>
        <v>0</v>
      </c>
      <c r="AQ12" s="65">
        <f>' אגף תנוס 2019'!AT$17</f>
        <v>0</v>
      </c>
      <c r="AR12" s="65">
        <f>' אגף תנוס 2019'!AU$17</f>
        <v>0</v>
      </c>
      <c r="AS12" s="65">
        <f>' אגף תנוס 2019'!AV$17</f>
        <v>0</v>
      </c>
      <c r="AT12" s="65">
        <f>' אגף תנוס 2019'!AW$17</f>
        <v>0</v>
      </c>
      <c r="AU12" s="65">
        <f>' אגף תנוס 2019'!AX$17</f>
        <v>0</v>
      </c>
      <c r="AV12" s="65">
        <f>' אגף תנוס 2019'!AY$17</f>
        <v>0</v>
      </c>
      <c r="AW12" s="65">
        <f>' אגף תנוס 2019'!AZ$17</f>
        <v>0</v>
      </c>
      <c r="AX12" s="65">
        <f>' אגף תנוס 2019'!BA$17</f>
        <v>120000</v>
      </c>
      <c r="AY12" s="65">
        <f>' אגף תנוס 2019'!BB$17</f>
        <v>0</v>
      </c>
      <c r="AZ12" s="65">
        <f>' אגף תנוס 2019'!BC$17</f>
        <v>0</v>
      </c>
      <c r="BA12" s="65">
        <f>' אגף תנוס 2019'!BD$17</f>
        <v>0</v>
      </c>
      <c r="BB12" s="698">
        <f>AK12/S12*100</f>
        <v>96.15384615384616</v>
      </c>
      <c r="BC12" s="65">
        <f>'ריכוז תקציב מעבר לתוכנית 2019'!AA63</f>
        <v>741000</v>
      </c>
      <c r="BD12" s="698">
        <f t="shared" si="1"/>
        <v>119.90384615384615</v>
      </c>
    </row>
    <row r="13" spans="1:56" s="67" customFormat="1" ht="27" customHeight="1">
      <c r="A13" s="10" t="s">
        <v>117</v>
      </c>
      <c r="B13" s="65">
        <f>'[1]תקציב אגף שאיפה  2019'!D$50</f>
        <v>231868059</v>
      </c>
      <c r="C13" s="65">
        <f>'[1]תקציב אגף שאיפה  2019'!E$50</f>
        <v>246322059</v>
      </c>
      <c r="D13" s="65">
        <f>'[1]תקציב אגף שאיפה  2019'!F$50</f>
        <v>-14454000</v>
      </c>
      <c r="E13" s="65">
        <f>'[1]תקציב אגף שאיפה  2019'!G$50</f>
        <v>174365579</v>
      </c>
      <c r="F13" s="65">
        <f>'[1]תקציב אגף שאיפה  2019'!H$50</f>
        <v>156748875.67999998</v>
      </c>
      <c r="G13" s="65">
        <f>'[1]תקציב אגף שאיפה  2019'!I$50</f>
        <v>474201</v>
      </c>
      <c r="H13" s="65">
        <f>'[1]תקציב אגף שאיפה  2019'!J$50</f>
        <v>12594137.780000001</v>
      </c>
      <c r="I13" s="65">
        <f>'[1]תקציב אגף שאיפה  2019'!K$50</f>
        <v>13068338.780000001</v>
      </c>
      <c r="J13" s="65">
        <f>'[1]תקציב אגף שאיפה  2019'!L$50</f>
        <v>169817214.45999995</v>
      </c>
      <c r="K13" s="65">
        <f>'[1]תקציב אגף שאיפה  2019'!M$50</f>
        <v>7236164.5399999991</v>
      </c>
      <c r="L13" s="65">
        <f>'[1]תקציב אגף שאיפה  2019'!N$50</f>
        <v>36445000</v>
      </c>
      <c r="M13" s="65">
        <f>'[1]תקציב אגף שאיפה  2019'!O$50</f>
        <v>18369680</v>
      </c>
      <c r="N13" s="65">
        <f>'[1]תקציב אגף שאיפה  2019'!P$50</f>
        <v>4548364.54</v>
      </c>
      <c r="O13" s="65">
        <f>'[1]תקציב אגף שאיפה  2019'!Q$50</f>
        <v>2700000</v>
      </c>
      <c r="P13" s="65">
        <f>'[1]תקציב אגף שאיפה  2019'!R$50</f>
        <v>27800</v>
      </c>
      <c r="Q13" s="65">
        <f>'[1]תקציב אגף שאיפה  2019'!S$50</f>
        <v>2727800</v>
      </c>
      <c r="R13" s="65">
        <f>'[1]תקציב אגף שאיפה  2019'!T$50</f>
        <v>40000</v>
      </c>
      <c r="S13" s="65">
        <f>'[1]תקציב אגף שאיפה  2019'!U$50</f>
        <v>36405000</v>
      </c>
      <c r="T13" s="65">
        <f>'[1]תקציב אגף שאיפה  2019'!V$50</f>
        <v>10365000</v>
      </c>
      <c r="U13" s="65">
        <f>'[1]תקציב אגף שאיפה  2019'!W$50</f>
        <v>8550000</v>
      </c>
      <c r="V13" s="65">
        <f>'[1]תקציב אגף שאיפה  2019'!X$50</f>
        <v>0</v>
      </c>
      <c r="W13" s="65">
        <f>'[1]תקציב אגף שאיפה  2019'!Y$50</f>
        <v>0</v>
      </c>
      <c r="X13" s="65">
        <f>'[1]תקציב אגף שאיפה  2019'!Z$50</f>
        <v>17490000</v>
      </c>
      <c r="Z13" s="65">
        <f>'אגף שאיפה  2019'!AC$49</f>
        <v>1165000</v>
      </c>
      <c r="AA13" s="65">
        <f>'אגף שאיפה  2019'!AD$49</f>
        <v>5090000</v>
      </c>
      <c r="AB13" s="65">
        <f>'אגף שאיפה  2019'!AE$49</f>
        <v>4610000</v>
      </c>
      <c r="AC13" s="65">
        <f>'אגף שאיפה  2019'!AF$49</f>
        <v>2600000</v>
      </c>
      <c r="AD13" s="65">
        <f>'אגף שאיפה  2019'!AG$49</f>
        <v>1230000</v>
      </c>
      <c r="AE13" s="65">
        <f>'אגף שאיפה  2019'!AH$49</f>
        <v>2910000</v>
      </c>
      <c r="AF13" s="65">
        <f>'אגף שאיפה  2019'!AI$49</f>
        <v>0</v>
      </c>
      <c r="AG13" s="65">
        <f>'אגף שאיפה  2019'!AJ$49</f>
        <v>1915000</v>
      </c>
      <c r="AH13" s="65">
        <f>'אגף שאיפה  2019'!AK$49</f>
        <v>4695000</v>
      </c>
      <c r="AI13" s="65">
        <f>'אגף שאיפה  2019'!AL$49</f>
        <v>24215000</v>
      </c>
      <c r="AJ13" s="65">
        <f>'אגף שאיפה  2019'!AM$49</f>
        <v>0</v>
      </c>
      <c r="AK13" s="65">
        <f>'אגף שאיפה  2019'!AN$49</f>
        <v>24215000</v>
      </c>
      <c r="AL13" s="65">
        <f>'אגף שאיפה  2019'!AO$49</f>
        <v>12190000</v>
      </c>
      <c r="AM13" s="65">
        <f>'אגף שאיפה  2019'!AP$49</f>
        <v>9725000</v>
      </c>
      <c r="AN13" s="65">
        <f>'אגף שאיפה  2019'!AQ$49</f>
        <v>8450000</v>
      </c>
      <c r="AO13" s="65">
        <f>'אגף שאיפה  2019'!AR$49</f>
        <v>0</v>
      </c>
      <c r="AP13" s="65">
        <f>'אגף שאיפה  2019'!AS$49</f>
        <v>0</v>
      </c>
      <c r="AQ13" s="65">
        <f>'אגף שאיפה  2019'!AT$49</f>
        <v>6040000</v>
      </c>
      <c r="AR13" s="65">
        <f>'אגף שאיפה  2019'!AU$49</f>
        <v>0</v>
      </c>
      <c r="AS13" s="65">
        <f>'אגף שאיפה  2019'!AV$49</f>
        <v>0</v>
      </c>
      <c r="AT13" s="65">
        <f>'אגף שאיפה  2019'!AW$49</f>
        <v>0</v>
      </c>
      <c r="AU13" s="65">
        <f>'אגף שאיפה  2019'!AX$49</f>
        <v>0</v>
      </c>
      <c r="AV13" s="65">
        <f>'אגף שאיפה  2019'!AY$49</f>
        <v>0</v>
      </c>
      <c r="AW13" s="65">
        <f>'אגף שאיפה  2019'!AZ$49</f>
        <v>640000</v>
      </c>
      <c r="AX13" s="65">
        <f>'אגף שאיפה  2019'!BA$49</f>
        <v>100000</v>
      </c>
      <c r="AY13" s="65">
        <f>'אגף שאיפה  2019'!BB$49</f>
        <v>0</v>
      </c>
      <c r="AZ13" s="65">
        <f>'אגף שאיפה  2019'!BC$49</f>
        <v>0</v>
      </c>
      <c r="BA13" s="65">
        <f>'אגף שאיפה  2019'!BD$49</f>
        <v>11450000</v>
      </c>
      <c r="BB13" s="698">
        <f t="shared" si="0"/>
        <v>66.51558851806071</v>
      </c>
      <c r="BC13" s="65">
        <f>'ריכוז תקציב מעבר לתוכנית 2019'!AA68</f>
        <v>72429</v>
      </c>
      <c r="BD13" s="698">
        <f t="shared" si="1"/>
        <v>66.714541958522176</v>
      </c>
    </row>
    <row r="14" spans="1:56" s="67" customFormat="1" ht="27" customHeight="1">
      <c r="A14" s="10" t="s">
        <v>233</v>
      </c>
      <c r="B14" s="65">
        <f>'[1]תקציב רשות החופים 2019'!D$25</f>
        <v>7879159</v>
      </c>
      <c r="C14" s="65">
        <f>'[1]תקציב רשות החופים 2019'!E$25</f>
        <v>9541000</v>
      </c>
      <c r="D14" s="65">
        <f>'[1]תקציב רשות החופים 2019'!F$25</f>
        <v>-1661841</v>
      </c>
      <c r="E14" s="65">
        <f>'[1]תקציב רשות החופים 2019'!G$25</f>
        <v>5613000</v>
      </c>
      <c r="F14" s="65">
        <f>'[1]תקציב רשות החופים 2019'!H$25</f>
        <v>4759043.32</v>
      </c>
      <c r="G14" s="65">
        <f>'[1]תקציב רשות החופים 2019'!I$25</f>
        <v>354044.03</v>
      </c>
      <c r="H14" s="65">
        <f>'[1]תקציב רשות החופים 2019'!J$25</f>
        <v>255698.02000000002</v>
      </c>
      <c r="I14" s="65">
        <f>'[1]תקציב רשות החופים 2019'!K$25</f>
        <v>609742.05000000005</v>
      </c>
      <c r="J14" s="65">
        <f>'[1]תקציב רשות החופים 2019'!L$25</f>
        <v>5368785.3700000001</v>
      </c>
      <c r="K14" s="65">
        <f>'[1]תקציב רשות החופים 2019'!M$25</f>
        <v>214214.62999999998</v>
      </c>
      <c r="L14" s="65">
        <f>'[1]תקציב רשות החופים 2019'!N$25</f>
        <v>1896159</v>
      </c>
      <c r="M14" s="65">
        <f>'[1]תקציב רשות החופים 2019'!O$25</f>
        <v>400000</v>
      </c>
      <c r="N14" s="65">
        <f>'[1]תקציב רשות החופים 2019'!P$25</f>
        <v>244214.62999999998</v>
      </c>
      <c r="O14" s="65">
        <f>'[1]תקציב רשות החופים 2019'!Q$25</f>
        <v>0</v>
      </c>
      <c r="P14" s="65">
        <f>'[1]תקציב רשות החופים 2019'!R$25</f>
        <v>0</v>
      </c>
      <c r="Q14" s="65">
        <f>'[1]תקציב רשות החופים 2019'!S$25</f>
        <v>0</v>
      </c>
      <c r="R14" s="65">
        <f>'[1]תקציב רשות החופים 2019'!T$25</f>
        <v>30000</v>
      </c>
      <c r="S14" s="65">
        <f>'[1]תקציב רשות החופים 2019'!U$25</f>
        <v>1866159</v>
      </c>
      <c r="T14" s="65">
        <f>'[1]תקציב רשות החופים 2019'!V$25</f>
        <v>0</v>
      </c>
      <c r="U14" s="65">
        <f>'[1]תקציב רשות החופים 2019'!W$25</f>
        <v>1670000</v>
      </c>
      <c r="V14" s="65">
        <f>'[1]תקציב רשות החופים 2019'!X$25</f>
        <v>0</v>
      </c>
      <c r="W14" s="65">
        <f>'[1]תקציב רשות החופים 2019'!Y$25</f>
        <v>0</v>
      </c>
      <c r="X14" s="65">
        <f>'[1]תקציב רשות החופים 2019'!Z$25</f>
        <v>196159</v>
      </c>
      <c r="Z14" s="65">
        <f>'רשות החופים 2019 '!AC$26</f>
        <v>1196159</v>
      </c>
      <c r="AA14" s="65">
        <f>'רשות החופים 2019 '!AD$26</f>
        <v>400000</v>
      </c>
      <c r="AB14" s="65">
        <f>'רשות החופים 2019 '!AE$26</f>
        <v>270000</v>
      </c>
      <c r="AC14" s="65">
        <f>'רשות החופים 2019 '!AF$26</f>
        <v>0</v>
      </c>
      <c r="AD14" s="65">
        <f>'רשות החופים 2019 '!AG$26</f>
        <v>0</v>
      </c>
      <c r="AE14" s="65">
        <f>'רשות החופים 2019 '!AH$26</f>
        <v>0</v>
      </c>
      <c r="AF14" s="65">
        <f>'רשות החופים 2019 '!AI$26</f>
        <v>0</v>
      </c>
      <c r="AG14" s="65">
        <f>'רשות החופים 2019 '!AJ$26</f>
        <v>0</v>
      </c>
      <c r="AH14" s="65">
        <f>'רשות החופים 2019 '!AK$26</f>
        <v>0</v>
      </c>
      <c r="AI14" s="65">
        <f>'רשות החופים 2019 '!AL$26</f>
        <v>1866159</v>
      </c>
      <c r="AJ14" s="65">
        <f>'רשות החופים 2019 '!AM$26</f>
        <v>0</v>
      </c>
      <c r="AK14" s="65">
        <f>'רשות החופים 2019 '!AN$26</f>
        <v>1866159</v>
      </c>
      <c r="AL14" s="65">
        <f>'רשות החופים 2019 '!AO$26</f>
        <v>0</v>
      </c>
      <c r="AM14" s="65">
        <f>'רשות החופים 2019 '!AP$26</f>
        <v>0</v>
      </c>
      <c r="AN14" s="65">
        <f>'רשות החופים 2019 '!AQ$26</f>
        <v>1670000</v>
      </c>
      <c r="AO14" s="65">
        <f>'רשות החופים 2019 '!AR$26</f>
        <v>0</v>
      </c>
      <c r="AP14" s="65">
        <f>'רשות החופים 2019 '!AS$26</f>
        <v>0</v>
      </c>
      <c r="AQ14" s="65">
        <f>'רשות החופים 2019 '!AT$26</f>
        <v>196159</v>
      </c>
      <c r="AR14" s="65">
        <f>'רשות החופים 2019 '!AU$26</f>
        <v>0</v>
      </c>
      <c r="AS14" s="65">
        <f>'רשות החופים 2019 '!AV$26</f>
        <v>0</v>
      </c>
      <c r="AT14" s="65">
        <f>'רשות החופים 2019 '!AW$26</f>
        <v>0</v>
      </c>
      <c r="AU14" s="65">
        <f>'רשות החופים 2019 '!AX$26</f>
        <v>0</v>
      </c>
      <c r="AV14" s="65">
        <f>'רשות החופים 2019 '!AY$26</f>
        <v>0</v>
      </c>
      <c r="AW14" s="65">
        <f>'רשות החופים 2019 '!AZ$26</f>
        <v>0</v>
      </c>
      <c r="AX14" s="65">
        <f>'רשות החופים 2019 '!BA$26</f>
        <v>0</v>
      </c>
      <c r="AY14" s="65">
        <f>'רשות החופים 2019 '!BB$26</f>
        <v>0</v>
      </c>
      <c r="AZ14" s="65">
        <f>'רשות החופים 2019 '!BC$26</f>
        <v>0</v>
      </c>
      <c r="BA14" s="65">
        <f>'רשות החופים 2019 '!BD$26</f>
        <v>0</v>
      </c>
      <c r="BB14" s="698">
        <f t="shared" si="0"/>
        <v>100</v>
      </c>
      <c r="BC14" s="65">
        <f>'ריכוז תקציב מעבר לתוכנית 2019'!AA75</f>
        <v>332149</v>
      </c>
      <c r="BD14" s="698">
        <f t="shared" si="1"/>
        <v>117.79853699497203</v>
      </c>
    </row>
    <row r="15" spans="1:56" s="67" customFormat="1" ht="27" customHeight="1">
      <c r="A15" s="10" t="s">
        <v>119</v>
      </c>
      <c r="B15" s="65">
        <f>'[1]תקציב החברה לתירות 2019'!D$20</f>
        <v>39693000</v>
      </c>
      <c r="C15" s="65">
        <f>'[1]תקציב החברה לתירות 2019'!E$20</f>
        <v>39693000</v>
      </c>
      <c r="D15" s="65">
        <f>'[1]תקציב החברה לתירות 2019'!F$20</f>
        <v>0</v>
      </c>
      <c r="E15" s="65">
        <f>'[1]תקציב החברה לתירות 2019'!G$20</f>
        <v>12130000</v>
      </c>
      <c r="F15" s="65">
        <f>'[1]תקציב החברה לתירות 2019'!H$20</f>
        <v>10252507.559999999</v>
      </c>
      <c r="G15" s="65">
        <f>'[1]תקציב החברה לתירות 2019'!I$20</f>
        <v>0</v>
      </c>
      <c r="H15" s="65">
        <f>'[1]תקציב החברה לתירות 2019'!J$20</f>
        <v>0</v>
      </c>
      <c r="I15" s="65">
        <f>'[1]תקציב החברה לתירות 2019'!K$20</f>
        <v>0</v>
      </c>
      <c r="J15" s="65">
        <f>'[1]תקציב החברה לתירות 2019'!L$20</f>
        <v>10252507.559999999</v>
      </c>
      <c r="K15" s="65">
        <f>'[1]תקציב החברה לתירות 2019'!M$20</f>
        <v>2077492.44</v>
      </c>
      <c r="L15" s="65">
        <f>'[1]תקציב החברה לתירות 2019'!N$20</f>
        <v>7930000</v>
      </c>
      <c r="M15" s="65">
        <f>'[1]תקציב החברה לתירות 2019'!O$20</f>
        <v>19433000</v>
      </c>
      <c r="N15" s="65">
        <f>'[1]תקציב החברה לתירות 2019'!P$20</f>
        <v>1877492.44</v>
      </c>
      <c r="O15" s="65">
        <f>'[1]תקציב החברה לתירות 2019'!Q$20</f>
        <v>200000</v>
      </c>
      <c r="P15" s="65">
        <f>'[1]תקציב החברה לתירות 2019'!R$20</f>
        <v>0</v>
      </c>
      <c r="Q15" s="65">
        <f>'[1]תקציב החברה לתירות 2019'!S$20</f>
        <v>200000</v>
      </c>
      <c r="R15" s="65">
        <f>'[1]תקציב החברה לתירות 2019'!T$20</f>
        <v>0</v>
      </c>
      <c r="S15" s="65">
        <f>'[1]תקציב החברה לתירות 2019'!U$20</f>
        <v>7930000</v>
      </c>
      <c r="T15" s="65">
        <f>'[1]תקציב החברה לתירות 2019'!V$20</f>
        <v>3130000</v>
      </c>
      <c r="U15" s="65">
        <f>'[1]תקציב החברה לתירות 2019'!W$20</f>
        <v>0</v>
      </c>
      <c r="V15" s="65">
        <f>'[1]תקציב החברה לתירות 2019'!X$20</f>
        <v>0</v>
      </c>
      <c r="W15" s="65">
        <f>'[1]תקציב החברה לתירות 2019'!Y$20</f>
        <v>0</v>
      </c>
      <c r="X15" s="65">
        <f>'[1]תקציב החברה לתירות 2019'!Z$20</f>
        <v>4800000</v>
      </c>
      <c r="Z15" s="65">
        <f>'החברה לתירות 2019'!AC$20</f>
        <v>990000</v>
      </c>
      <c r="AA15" s="65">
        <f>'החברה לתירות 2019'!AD$20</f>
        <v>400000</v>
      </c>
      <c r="AB15" s="65">
        <f>'החברה לתירות 2019'!AE$20</f>
        <v>200000</v>
      </c>
      <c r="AC15" s="65">
        <f>'החברה לתירות 2019'!AF$20</f>
        <v>0</v>
      </c>
      <c r="AD15" s="65">
        <f>'החברה לתירות 2019'!AG$20</f>
        <v>0</v>
      </c>
      <c r="AE15" s="65">
        <f>'החברה לתירות 2019'!AH$20</f>
        <v>3040000</v>
      </c>
      <c r="AF15" s="65">
        <f>'החברה לתירות 2019'!AI$20</f>
        <v>1200000</v>
      </c>
      <c r="AG15" s="65">
        <f>'החברה לתירות 2019'!AJ$20</f>
        <v>1700000</v>
      </c>
      <c r="AH15" s="65">
        <f>'החברה לתירות 2019'!AK$20</f>
        <v>255000</v>
      </c>
      <c r="AI15" s="65">
        <f>'החברה לתירות 2019'!AL$20</f>
        <v>7785000</v>
      </c>
      <c r="AJ15" s="65">
        <f>'החברה לתירות 2019'!AM$20</f>
        <v>0</v>
      </c>
      <c r="AK15" s="65">
        <f>'החברה לתירות 2019'!AN$20</f>
        <v>7785000</v>
      </c>
      <c r="AL15" s="65">
        <f>'החברה לתירות 2019'!AO$20</f>
        <v>145000</v>
      </c>
      <c r="AM15" s="65">
        <f>'החברה לתירות 2019'!AP$20</f>
        <v>2985000</v>
      </c>
      <c r="AN15" s="65">
        <f>'החברה לתירות 2019'!AQ$20</f>
        <v>0</v>
      </c>
      <c r="AO15" s="65">
        <f>'החברה לתירות 2019'!AR$20</f>
        <v>0</v>
      </c>
      <c r="AP15" s="65">
        <f>'החברה לתירות 2019'!AS$20</f>
        <v>0</v>
      </c>
      <c r="AQ15" s="65">
        <f>'החברה לתירות 2019'!AT$20</f>
        <v>4800000</v>
      </c>
      <c r="AR15" s="65">
        <f>'החברה לתירות 2019'!AU$20</f>
        <v>0</v>
      </c>
      <c r="AS15" s="65">
        <f>'החברה לתירות 2019'!AV$20</f>
        <v>0</v>
      </c>
      <c r="AT15" s="65">
        <f>'החברה לתירות 2019'!AW$20</f>
        <v>0</v>
      </c>
      <c r="AU15" s="65">
        <f>'החברה לתירות 2019'!AX$20</f>
        <v>0</v>
      </c>
      <c r="AV15" s="65">
        <f>'החברה לתירות 2019'!AY$20</f>
        <v>0</v>
      </c>
      <c r="AW15" s="65">
        <f>'החברה לתירות 2019'!AZ$20</f>
        <v>145000</v>
      </c>
      <c r="AX15" s="65">
        <f>'החברה לתירות 2019'!BA$20</f>
        <v>0</v>
      </c>
      <c r="AY15" s="65">
        <f>'החברה לתירות 2019'!BB$20</f>
        <v>0</v>
      </c>
      <c r="AZ15" s="65">
        <f>'החברה לתירות 2019'!BC$20</f>
        <v>0</v>
      </c>
      <c r="BA15" s="65">
        <f>'החברה לתירות 2019'!BD$20</f>
        <v>0</v>
      </c>
      <c r="BB15" s="698">
        <f t="shared" si="0"/>
        <v>98.171500630517031</v>
      </c>
      <c r="BC15" s="65">
        <f>'ריכוז תקציב מעבר לתוכנית 2019'!AA79</f>
        <v>1300000</v>
      </c>
      <c r="BD15" s="698">
        <f t="shared" si="1"/>
        <v>114.56494325346785</v>
      </c>
    </row>
    <row r="16" spans="1:56" s="67" customFormat="1" ht="27" customHeight="1">
      <c r="A16" s="10" t="s">
        <v>839</v>
      </c>
      <c r="B16" s="65">
        <f>'[1]תקציב אגף תקשוב 2019'!D$15</f>
        <v>49590000</v>
      </c>
      <c r="C16" s="65">
        <f>'[1]תקציב אגף תקשוב 2019'!E$15</f>
        <v>41510000</v>
      </c>
      <c r="D16" s="65">
        <f>'[1]תקציב אגף תקשוב 2019'!F$15</f>
        <v>8080000</v>
      </c>
      <c r="E16" s="65">
        <f>'[1]תקציב אגף תקשוב 2019'!G$15</f>
        <v>18048000</v>
      </c>
      <c r="F16" s="65">
        <f>'[1]תקציב אגף תקשוב 2019'!H$15</f>
        <v>8495620.3200000003</v>
      </c>
      <c r="G16" s="65">
        <f>'[1]תקציב אגף תקשוב 2019'!I$15</f>
        <v>5613414</v>
      </c>
      <c r="H16" s="65">
        <f>'[1]תקציב אגף תקשוב 2019'!J$15</f>
        <v>331169</v>
      </c>
      <c r="I16" s="65">
        <f>'[1]תקציב אגף תקשוב 2019'!K$15</f>
        <v>5944583</v>
      </c>
      <c r="J16" s="65">
        <f>'[1]תקציב אגף תקשוב 2019'!L$15</f>
        <v>14440203.32</v>
      </c>
      <c r="K16" s="65">
        <f>'[1]תקציב אגף תקשוב 2019'!M$15</f>
        <v>3524796.74</v>
      </c>
      <c r="L16" s="65">
        <f>'[1]תקציב אגף תקשוב 2019'!N$15</f>
        <v>13008000</v>
      </c>
      <c r="M16" s="65">
        <f>'[1]תקציב אגף תקשוב 2019'!O$15</f>
        <v>18616999.939999998</v>
      </c>
      <c r="N16" s="65">
        <f>'[1]תקציב אגף תקשוב 2019'!P$15</f>
        <v>3607796.6799999997</v>
      </c>
      <c r="O16" s="65">
        <f>'[1]תקציב אגף תקשוב 2019'!Q$15</f>
        <v>0</v>
      </c>
      <c r="P16" s="65">
        <f>'[1]תקציב אגף תקשוב 2019'!R$15</f>
        <v>0</v>
      </c>
      <c r="Q16" s="65">
        <f>'[1]תקציב אגף תקשוב 2019'!S$15</f>
        <v>0</v>
      </c>
      <c r="R16" s="65">
        <f>'[1]תקציב אגף תקשוב 2019'!T$15</f>
        <v>82999.939999999944</v>
      </c>
      <c r="S16" s="65">
        <f>'[1]תקציב אגף תקשוב 2019'!U$15</f>
        <v>12925000.060000001</v>
      </c>
      <c r="T16" s="65">
        <f>'[1]תקציב אגף תקשוב 2019'!V$15</f>
        <v>5450000</v>
      </c>
      <c r="U16" s="65">
        <f>'[1]תקציב אגף תקשוב 2019'!W$15</f>
        <v>4475000.0600000005</v>
      </c>
      <c r="V16" s="65">
        <f>'[1]תקציב אגף תקשוב 2019'!X$15</f>
        <v>0</v>
      </c>
      <c r="W16" s="65">
        <f>'[1]תקציב אגף תקשוב 2019'!Y$15</f>
        <v>0</v>
      </c>
      <c r="X16" s="65">
        <f>'[1]תקציב אגף תקשוב 2019'!Z$15</f>
        <v>3000000</v>
      </c>
      <c r="Z16" s="65">
        <f>'אגף תקשוב 2019'!AC$15</f>
        <v>0</v>
      </c>
      <c r="AA16" s="65">
        <f>'אגף תקשוב 2019'!AD$15</f>
        <v>700000</v>
      </c>
      <c r="AB16" s="65">
        <f>'אגף תקשוב 2019'!AE$15</f>
        <v>3000000</v>
      </c>
      <c r="AC16" s="65">
        <f>'אגף תקשוב 2019'!AF$15</f>
        <v>2200000</v>
      </c>
      <c r="AD16" s="65">
        <f>'אגף תקשוב 2019'!AG$15</f>
        <v>0</v>
      </c>
      <c r="AE16" s="65">
        <f>'אגף תקשוב 2019'!AH$15</f>
        <v>0</v>
      </c>
      <c r="AF16" s="65">
        <f>'אגף תקשוב 2019'!AI$15</f>
        <v>0</v>
      </c>
      <c r="AG16" s="65">
        <f>'אגף תקשוב 2019'!AJ$15</f>
        <v>1025000</v>
      </c>
      <c r="AH16" s="65">
        <f>'אגף תקשוב 2019'!AK$15</f>
        <v>0</v>
      </c>
      <c r="AI16" s="65">
        <f>'אגף תקשוב 2019'!AL$15</f>
        <v>6925000</v>
      </c>
      <c r="AJ16" s="65">
        <f>'אגף תקשוב 2019'!AM$15</f>
        <v>0</v>
      </c>
      <c r="AK16" s="65">
        <f>'אגף תקשוב 2019'!AN$15</f>
        <v>6925000</v>
      </c>
      <c r="AL16" s="65">
        <f>'אגף תקשוב 2019'!AO$15</f>
        <v>6000000.0600000005</v>
      </c>
      <c r="AM16" s="65">
        <f>'אגף תקשוב 2019'!AP$15</f>
        <v>1100000</v>
      </c>
      <c r="AN16" s="65">
        <f>'אגף תקשוב 2019'!AQ$15</f>
        <v>2825000</v>
      </c>
      <c r="AO16" s="65">
        <f>'אגף תקשוב 2019'!AR$15</f>
        <v>0</v>
      </c>
      <c r="AP16" s="65">
        <f>'אגף תקשוב 2019'!AS$15</f>
        <v>0</v>
      </c>
      <c r="AQ16" s="65">
        <f>'אגף תקשוב 2019'!AT$15</f>
        <v>3000000</v>
      </c>
      <c r="AR16" s="65">
        <f>'אגף תקשוב 2019'!AU$15</f>
        <v>0</v>
      </c>
      <c r="AS16" s="65">
        <f>'אגף תקשוב 2019'!AV$15</f>
        <v>0</v>
      </c>
      <c r="AT16" s="65">
        <f>'אגף תקשוב 2019'!AW$15</f>
        <v>0</v>
      </c>
      <c r="AU16" s="65">
        <f>'אגף תקשוב 2019'!AX$15</f>
        <v>0</v>
      </c>
      <c r="AV16" s="65">
        <f>'אגף תקשוב 2019'!AY$15</f>
        <v>0</v>
      </c>
      <c r="AW16" s="65">
        <f>'אגף תקשוב 2019'!AZ$15</f>
        <v>4350000</v>
      </c>
      <c r="AX16" s="65">
        <f>'אגף תקשוב 2019'!BA$15</f>
        <v>1650000.06</v>
      </c>
      <c r="AY16" s="65">
        <f>'אגף תקשוב 2019'!BB$15</f>
        <v>0</v>
      </c>
      <c r="AZ16" s="65">
        <f>'אגף תקשוב 2019'!BC$15</f>
        <v>0</v>
      </c>
      <c r="BA16" s="65">
        <f>'אגף תקשוב 2019'!BD$15</f>
        <v>0</v>
      </c>
      <c r="BB16" s="698">
        <f t="shared" si="0"/>
        <v>53.578336308340411</v>
      </c>
      <c r="BC16" s="545"/>
      <c r="BD16" s="698">
        <f t="shared" si="1"/>
        <v>53.578336308340411</v>
      </c>
    </row>
    <row r="17" spans="1:56" s="67" customFormat="1" ht="27" customHeight="1">
      <c r="A17" s="10" t="s">
        <v>838</v>
      </c>
      <c r="B17" s="65">
        <f>'[1]תקציב אגף נכסים וביטוח 2019'!D$24</f>
        <v>161849000</v>
      </c>
      <c r="C17" s="65">
        <f>'[1]תקציב אגף נכסים וביטוח 2019'!E$24</f>
        <v>158949700</v>
      </c>
      <c r="D17" s="65">
        <f>'[1]תקציב אגף נכסים וביטוח 2019'!F$24</f>
        <v>2899300</v>
      </c>
      <c r="E17" s="65">
        <f>'[1]תקציב אגף נכסים וביטוח 2019'!G$24</f>
        <v>86452525</v>
      </c>
      <c r="F17" s="65">
        <f>'[1]תקציב אגף נכסים וביטוח 2019'!H$24</f>
        <v>67056335.199999996</v>
      </c>
      <c r="G17" s="65">
        <f>'[1]תקציב אגף נכסים וביטוח 2019'!I$24</f>
        <v>0</v>
      </c>
      <c r="H17" s="65">
        <f>'[1]תקציב אגף נכסים וביטוח 2019'!J$24</f>
        <v>36241</v>
      </c>
      <c r="I17" s="65">
        <f>'[1]תקציב אגף נכסים וביטוח 2019'!K$24</f>
        <v>36241</v>
      </c>
      <c r="J17" s="65">
        <f>'[1]תקציב אגף נכסים וביטוח 2019'!L$24</f>
        <v>67092576.199999996</v>
      </c>
      <c r="K17" s="65">
        <f>'[1]תקציב אגף נכסים וביטוח 2019'!M$24</f>
        <v>19369948.800000001</v>
      </c>
      <c r="L17" s="65">
        <f>'[1]תקציב אגף נכסים וביטוח 2019'!N$24</f>
        <v>7949300</v>
      </c>
      <c r="M17" s="65">
        <f>'[1]תקציב אגף נכסים וביטוח 2019'!O$24</f>
        <v>67437175</v>
      </c>
      <c r="N17" s="65">
        <f>'[1]תקציב אגף נכסים וביטוח 2019'!P$24</f>
        <v>19359948.800000001</v>
      </c>
      <c r="O17" s="65">
        <f>'[1]תקציב אגף נכסים וביטוח 2019'!Q$24</f>
        <v>10000</v>
      </c>
      <c r="P17" s="65">
        <f>'[1]תקציב אגף נכסים וביטוח 2019'!R$24</f>
        <v>0</v>
      </c>
      <c r="Q17" s="65">
        <f>'[1]תקציב אגף נכסים וביטוח 2019'!S$24</f>
        <v>10000</v>
      </c>
      <c r="R17" s="65">
        <f>'[1]תקציב אגף נכסים וביטוח 2019'!T$24</f>
        <v>0</v>
      </c>
      <c r="S17" s="65">
        <f>'[1]תקציב אגף נכסים וביטוח 2019'!U$24</f>
        <v>7949300</v>
      </c>
      <c r="T17" s="65">
        <f>'[1]תקציב אגף נכסים וביטוח 2019'!V$24</f>
        <v>7949300</v>
      </c>
      <c r="U17" s="65">
        <f>'[1]תקציב אגף נכסים וביטוח 2019'!W$24</f>
        <v>0</v>
      </c>
      <c r="V17" s="65">
        <f>'[1]תקציב אגף נכסים וביטוח 2019'!X$24</f>
        <v>0</v>
      </c>
      <c r="W17" s="65">
        <f>'[1]תקציב אגף נכסים וביטוח 2019'!Y$24</f>
        <v>0</v>
      </c>
      <c r="X17" s="65">
        <f>'[1]תקציב אגף נכסים וביטוח 2019'!Z$24</f>
        <v>0</v>
      </c>
      <c r="Z17" s="65">
        <f>' אגף נכסים וביטוח 2019'!AC$24</f>
        <v>0</v>
      </c>
      <c r="AA17" s="65">
        <f>' אגף נכסים וביטוח 2019'!AD$24</f>
        <v>740000</v>
      </c>
      <c r="AB17" s="65">
        <f>' אגף נכסים וביטוח 2019'!AE$24</f>
        <v>0</v>
      </c>
      <c r="AC17" s="65">
        <f>' אגף נכסים וביטוח 2019'!AF$24</f>
        <v>100000</v>
      </c>
      <c r="AD17" s="65">
        <f>' אגף נכסים וביטוח 2019'!AG$24</f>
        <v>0</v>
      </c>
      <c r="AE17" s="65">
        <f>' אגף נכסים וביטוח 2019'!AH$24</f>
        <v>900000</v>
      </c>
      <c r="AF17" s="65">
        <f>' אגף נכסים וביטוח 2019'!AI$24</f>
        <v>200000</v>
      </c>
      <c r="AG17" s="65">
        <f>' אגף נכסים וביטוח 2019'!AJ$24</f>
        <v>0</v>
      </c>
      <c r="AH17" s="65">
        <f>' אגף נכסים וביטוח 2019'!AK$24</f>
        <v>2140000</v>
      </c>
      <c r="AI17" s="65">
        <f>' אגף נכסים וביטוח 2019'!AL$24</f>
        <v>4080000</v>
      </c>
      <c r="AJ17" s="65">
        <f>' אגף נכסים וביטוח 2019'!AM$24</f>
        <v>0</v>
      </c>
      <c r="AK17" s="65">
        <f>' אגף נכסים וביטוח 2019'!AN$24</f>
        <v>4080000</v>
      </c>
      <c r="AL17" s="65">
        <f>' אגף נכסים וביטוח 2019'!AO$24</f>
        <v>3869300</v>
      </c>
      <c r="AM17" s="65">
        <f>' אגף נכסים וביטוח 2019'!AP$24</f>
        <v>4080000</v>
      </c>
      <c r="AN17" s="65">
        <f>' אגף נכסים וביטוח 2019'!AQ$24</f>
        <v>0</v>
      </c>
      <c r="AO17" s="65">
        <f>' אגף נכסים וביטוח 2019'!AR$24</f>
        <v>0</v>
      </c>
      <c r="AP17" s="65">
        <f>' אגף נכסים וביטוח 2019'!AS$24</f>
        <v>0</v>
      </c>
      <c r="AQ17" s="65">
        <f>' אגף נכסים וביטוח 2019'!AT$24</f>
        <v>0</v>
      </c>
      <c r="AR17" s="65">
        <f>' אגף נכסים וביטוח 2019'!AU$24</f>
        <v>0</v>
      </c>
      <c r="AS17" s="65">
        <f>' אגף נכסים וביטוח 2019'!AV$24</f>
        <v>0</v>
      </c>
      <c r="AT17" s="65">
        <f>' אגף נכסים וביטוח 2019'!AW$24</f>
        <v>0</v>
      </c>
      <c r="AU17" s="65">
        <f>' אגף נכסים וביטוח 2019'!AX$24</f>
        <v>0</v>
      </c>
      <c r="AV17" s="65">
        <f>' אגף נכסים וביטוח 2019'!AY$24</f>
        <v>0</v>
      </c>
      <c r="AW17" s="65">
        <f>' אגף נכסים וביטוח 2019'!AZ$24</f>
        <v>3869300</v>
      </c>
      <c r="AX17" s="65">
        <f>' אגף נכסים וביטוח 2019'!BA$24</f>
        <v>0</v>
      </c>
      <c r="AY17" s="65">
        <f>' אגף נכסים וביטוח 2019'!BB$24</f>
        <v>0</v>
      </c>
      <c r="AZ17" s="65">
        <f>' אגף נכסים וביטוח 2019'!BC$24</f>
        <v>0</v>
      </c>
      <c r="BA17" s="65">
        <f>' אגף נכסים וביטוח 2019'!BD$24</f>
        <v>0</v>
      </c>
      <c r="BB17" s="698">
        <f t="shared" si="0"/>
        <v>51.325273923490123</v>
      </c>
      <c r="BC17" s="65">
        <f>'ריכוז תקציב מעבר לתוכנית 2019'!AA84</f>
        <v>380000</v>
      </c>
      <c r="BD17" s="698">
        <f t="shared" si="1"/>
        <v>56.105569043815173</v>
      </c>
    </row>
    <row r="18" spans="1:56" s="67" customFormat="1" ht="27" customHeight="1">
      <c r="A18" s="10" t="s">
        <v>341</v>
      </c>
      <c r="B18" s="65">
        <f>'[1]תקציב מינהל כללי 2019'!D$17</f>
        <v>136041606</v>
      </c>
      <c r="C18" s="65">
        <f>'[1]תקציב מינהל כללי 2019'!E$17</f>
        <v>125991606</v>
      </c>
      <c r="D18" s="65">
        <f>'[1]תקציב מינהל כללי 2019'!F$17</f>
        <v>10050000</v>
      </c>
      <c r="E18" s="65">
        <f>'[1]תקציב מינהל כללי 2019'!G$17</f>
        <v>92058500</v>
      </c>
      <c r="F18" s="65">
        <f>'[1]תקציב מינהל כללי 2019'!H$17</f>
        <v>71800967.069999993</v>
      </c>
      <c r="G18" s="65">
        <f>'[1]תקציב מינהל כללי 2019'!I$17</f>
        <v>462414.37</v>
      </c>
      <c r="H18" s="65">
        <f>'[1]תקציב מינהל כללי 2019'!J$17</f>
        <v>5816839.2599999998</v>
      </c>
      <c r="I18" s="65">
        <f>'[1]תקציב מינהל כללי 2019'!K$17</f>
        <v>6279253.6299999999</v>
      </c>
      <c r="J18" s="65">
        <f>'[1]תקציב מינהל כללי 2019'!L$17</f>
        <v>78080220.700000003</v>
      </c>
      <c r="K18" s="65">
        <f>'[1]תקציב מינהל כללי 2019'!M$17</f>
        <v>10898006.299999999</v>
      </c>
      <c r="L18" s="65">
        <f>'[1]תקציב מינהל כללי 2019'!N$17</f>
        <v>11100000</v>
      </c>
      <c r="M18" s="65">
        <f>'[1]תקציב מינהל כללי 2019'!O$17</f>
        <v>35963379</v>
      </c>
      <c r="N18" s="65">
        <f>'[1]תקציב מינהל כללי 2019'!P$17</f>
        <v>13978279.299999999</v>
      </c>
      <c r="O18" s="65">
        <f>'[1]תקציב מינהל כללי 2019'!Q$17</f>
        <v>0</v>
      </c>
      <c r="P18" s="65">
        <f>'[1]תקציב מינהל כללי 2019'!R$17</f>
        <v>0</v>
      </c>
      <c r="Q18" s="65">
        <f>'[1]תקציב מינהל כללי 2019'!S$17</f>
        <v>0</v>
      </c>
      <c r="R18" s="65">
        <f>'[1]תקציב מינהל כללי 2019'!T$17</f>
        <v>3080273</v>
      </c>
      <c r="S18" s="65">
        <f>'[1]תקציב מינהל כללי 2019'!U$17</f>
        <v>8019727</v>
      </c>
      <c r="T18" s="65">
        <f>'[1]תקציב מינהל כללי 2019'!V$17</f>
        <v>4528827</v>
      </c>
      <c r="U18" s="65">
        <f>'[1]תקציב מינהל כללי 2019'!W$17</f>
        <v>3490900</v>
      </c>
      <c r="V18" s="65">
        <f>'[1]תקציב מינהל כללי 2019'!X$17</f>
        <v>0</v>
      </c>
      <c r="W18" s="65">
        <f>'[1]תקציב מינהל כללי 2019'!Y$17</f>
        <v>0</v>
      </c>
      <c r="X18" s="65">
        <f>'[1]תקציב מינהל כללי 2019'!Z$17</f>
        <v>0</v>
      </c>
      <c r="Z18" s="65">
        <f>'מינהל כללי 2019'!AC$17</f>
        <v>0</v>
      </c>
      <c r="AA18" s="65">
        <f>'מינהל כללי 2019'!AD$17</f>
        <v>1000000</v>
      </c>
      <c r="AB18" s="65">
        <f>'מינהל כללי 2019'!AE$17</f>
        <v>-880273</v>
      </c>
      <c r="AC18" s="65">
        <f>'מינהל כללי 2019'!AF$17</f>
        <v>2500000</v>
      </c>
      <c r="AD18" s="65">
        <f>'מינהל כללי 2019'!AG$17</f>
        <v>0</v>
      </c>
      <c r="AE18" s="65">
        <f>'מינהל כללי 2019'!AH$17</f>
        <v>0</v>
      </c>
      <c r="AF18" s="65">
        <f>'מינהל כללי 2019'!AI$17</f>
        <v>100000</v>
      </c>
      <c r="AG18" s="65">
        <f>'מינהל כללי 2019'!AJ$17</f>
        <v>950000</v>
      </c>
      <c r="AH18" s="65">
        <f>'מינהל כללי 2019'!AK$17</f>
        <v>900000</v>
      </c>
      <c r="AI18" s="65">
        <f>'מינהל כללי 2019'!AL$17</f>
        <v>4569727</v>
      </c>
      <c r="AJ18" s="65">
        <f>'מינהל כללי 2019'!AM$17</f>
        <v>0</v>
      </c>
      <c r="AK18" s="65">
        <f>'מינהל כללי 2019'!AN$17</f>
        <v>4569727</v>
      </c>
      <c r="AL18" s="65">
        <f>'מינהל כללי 2019'!AO$17</f>
        <v>3450000</v>
      </c>
      <c r="AM18" s="65">
        <f>'מינהל כללי 2019'!AP$17</f>
        <v>1228827</v>
      </c>
      <c r="AN18" s="65">
        <f>'מינהל כללי 2019'!AQ$17</f>
        <v>3340900</v>
      </c>
      <c r="AO18" s="65">
        <f>'מינהל כללי 2019'!AR$17</f>
        <v>0</v>
      </c>
      <c r="AP18" s="65">
        <f>'מינהל כללי 2019'!AS$17</f>
        <v>0</v>
      </c>
      <c r="AQ18" s="65">
        <f>'מינהל כללי 2019'!AT$17</f>
        <v>0</v>
      </c>
      <c r="AR18" s="65">
        <f>'מינהל כללי 2019'!AU$17</f>
        <v>0</v>
      </c>
      <c r="AS18" s="65">
        <f>'מינהל כללי 2019'!AV$17</f>
        <v>0</v>
      </c>
      <c r="AT18" s="65">
        <f>'מינהל כללי 2019'!AW$17</f>
        <v>0</v>
      </c>
      <c r="AU18" s="65">
        <f>'מינהל כללי 2019'!AX$17</f>
        <v>0</v>
      </c>
      <c r="AV18" s="65">
        <f>'מינהל כללי 2019'!AY$17</f>
        <v>0</v>
      </c>
      <c r="AW18" s="65">
        <f>'מינהל כללי 2019'!AZ$17</f>
        <v>3300000</v>
      </c>
      <c r="AX18" s="65">
        <f>'מינהל כללי 2019'!BA$17</f>
        <v>150000</v>
      </c>
      <c r="AY18" s="65">
        <f>'מינהל כללי 2019'!BB$17</f>
        <v>0</v>
      </c>
      <c r="AZ18" s="65">
        <f>'מינהל כללי 2019'!BC$17</f>
        <v>0</v>
      </c>
      <c r="BA18" s="65">
        <f>'מינהל כללי 2019'!BD$17</f>
        <v>0</v>
      </c>
      <c r="BB18" s="698">
        <f t="shared" si="0"/>
        <v>56.981079281127641</v>
      </c>
      <c r="BC18" s="65">
        <f>'ריכוז תקציב מעבר לתוכנית 2019'!AA90</f>
        <v>-651000</v>
      </c>
      <c r="BD18" s="698">
        <f t="shared" si="1"/>
        <v>48.863595980262168</v>
      </c>
    </row>
    <row r="19" spans="1:56" s="67" customFormat="1" ht="27" customHeight="1">
      <c r="A19" s="310" t="s">
        <v>279</v>
      </c>
      <c r="B19" s="65">
        <f>SUM(B7:B18)</f>
        <v>4672611501.1339865</v>
      </c>
      <c r="C19" s="65">
        <f t="shared" ref="C19:BA19" si="2">SUM(C7:C18)</f>
        <v>4056067441</v>
      </c>
      <c r="D19" s="65">
        <f t="shared" si="2"/>
        <v>616544060.13398659</v>
      </c>
      <c r="E19" s="65">
        <f t="shared" si="2"/>
        <v>2199798425</v>
      </c>
      <c r="F19" s="65">
        <f t="shared" si="2"/>
        <v>1742524437.3299999</v>
      </c>
      <c r="G19" s="65">
        <f t="shared" si="2"/>
        <v>49646384.32</v>
      </c>
      <c r="H19" s="65">
        <f t="shared" si="2"/>
        <v>173171845.59</v>
      </c>
      <c r="I19" s="65">
        <f t="shared" si="2"/>
        <v>222818229.91000003</v>
      </c>
      <c r="J19" s="65">
        <f t="shared" si="2"/>
        <v>1965342667.2400002</v>
      </c>
      <c r="K19" s="65">
        <f t="shared" si="2"/>
        <v>350282230.81999993</v>
      </c>
      <c r="L19" s="65">
        <f t="shared" si="2"/>
        <v>526734774.13398665</v>
      </c>
      <c r="M19" s="65">
        <f t="shared" si="2"/>
        <v>1830251828.9400001</v>
      </c>
      <c r="N19" s="65">
        <f t="shared" si="2"/>
        <v>234455757.76000002</v>
      </c>
      <c r="O19" s="65">
        <f t="shared" si="2"/>
        <v>146325601</v>
      </c>
      <c r="P19" s="65">
        <f t="shared" si="2"/>
        <v>6827800</v>
      </c>
      <c r="Q19" s="65">
        <f t="shared" si="2"/>
        <v>153153401</v>
      </c>
      <c r="R19" s="65">
        <f t="shared" si="2"/>
        <v>37326927.939999998</v>
      </c>
      <c r="S19" s="65">
        <f t="shared" si="2"/>
        <v>489407846.19398665</v>
      </c>
      <c r="T19" s="65">
        <f t="shared" si="2"/>
        <v>290040000</v>
      </c>
      <c r="U19" s="65">
        <f t="shared" si="2"/>
        <v>44000000.193986654</v>
      </c>
      <c r="V19" s="65">
        <f t="shared" si="2"/>
        <v>0</v>
      </c>
      <c r="W19" s="65">
        <f t="shared" si="2"/>
        <v>34722657</v>
      </c>
      <c r="X19" s="65">
        <f t="shared" si="2"/>
        <v>120645189</v>
      </c>
      <c r="Y19" s="65"/>
      <c r="Z19" s="65">
        <f t="shared" si="2"/>
        <v>4851159</v>
      </c>
      <c r="AA19" s="65">
        <f t="shared" si="2"/>
        <v>35045000</v>
      </c>
      <c r="AB19" s="65">
        <f t="shared" si="2"/>
        <v>11726397</v>
      </c>
      <c r="AC19" s="65">
        <f t="shared" si="2"/>
        <v>8970000</v>
      </c>
      <c r="AD19" s="65">
        <f t="shared" si="2"/>
        <v>15027300</v>
      </c>
      <c r="AE19" s="65">
        <f t="shared" si="2"/>
        <v>18415000</v>
      </c>
      <c r="AF19" s="65">
        <f t="shared" si="2"/>
        <v>5490345</v>
      </c>
      <c r="AG19" s="65">
        <f t="shared" si="2"/>
        <v>25630000</v>
      </c>
      <c r="AH19" s="65">
        <f t="shared" si="2"/>
        <v>209909574</v>
      </c>
      <c r="AI19" s="65">
        <f t="shared" si="2"/>
        <v>335064775</v>
      </c>
      <c r="AJ19" s="65">
        <f t="shared" si="2"/>
        <v>0</v>
      </c>
      <c r="AK19" s="65">
        <f t="shared" si="2"/>
        <v>335064775</v>
      </c>
      <c r="AL19" s="65">
        <f t="shared" si="2"/>
        <v>154343071.19398665</v>
      </c>
      <c r="AM19" s="65">
        <f t="shared" si="2"/>
        <v>220080887</v>
      </c>
      <c r="AN19" s="65">
        <f t="shared" si="2"/>
        <v>39493000</v>
      </c>
      <c r="AO19" s="65">
        <f t="shared" si="2"/>
        <v>0</v>
      </c>
      <c r="AP19" s="65">
        <f t="shared" ref="AP19:AV19" si="3">SUM(AP7:AP18)</f>
        <v>21640345</v>
      </c>
      <c r="AQ19" s="65">
        <f t="shared" si="3"/>
        <v>53850543</v>
      </c>
      <c r="AR19" s="65">
        <f t="shared" si="3"/>
        <v>0</v>
      </c>
      <c r="AS19" s="65">
        <f t="shared" si="3"/>
        <v>0</v>
      </c>
      <c r="AT19" s="65">
        <f t="shared" si="3"/>
        <v>0</v>
      </c>
      <c r="AU19" s="65">
        <f t="shared" si="3"/>
        <v>0</v>
      </c>
      <c r="AV19" s="65">
        <f t="shared" si="3"/>
        <v>0</v>
      </c>
      <c r="AW19" s="65">
        <f t="shared" si="2"/>
        <v>69309113</v>
      </c>
      <c r="AX19" s="65">
        <f t="shared" si="2"/>
        <v>4507000.1939866506</v>
      </c>
      <c r="AY19" s="65">
        <f t="shared" si="2"/>
        <v>0</v>
      </c>
      <c r="AZ19" s="65">
        <f t="shared" si="2"/>
        <v>13082312</v>
      </c>
      <c r="BA19" s="65">
        <f t="shared" si="2"/>
        <v>67444646</v>
      </c>
      <c r="BB19" s="699"/>
      <c r="BC19" s="65">
        <f t="shared" ref="BC19" si="4">SUM(BC7:BC18)</f>
        <v>28326578</v>
      </c>
      <c r="BD19" s="698">
        <f t="shared" si="1"/>
        <v>74.251231529288248</v>
      </c>
    </row>
    <row r="20" spans="1:56" s="67" customFormat="1" hidden="1">
      <c r="A20" s="387"/>
      <c r="B20" s="66"/>
      <c r="C20" s="66"/>
      <c r="D20" s="66"/>
      <c r="E20" s="66"/>
      <c r="F20" s="66"/>
      <c r="G20" s="66"/>
      <c r="H20" s="66"/>
      <c r="I20" s="66"/>
      <c r="J20" s="65">
        <f>I19+F19</f>
        <v>1965342667.24</v>
      </c>
      <c r="K20" s="65">
        <f>N19+Q19-R19</f>
        <v>350282230.81999999</v>
      </c>
      <c r="L20" s="66"/>
      <c r="M20" s="66"/>
      <c r="N20" s="65">
        <f>E19-J19</f>
        <v>234455757.75999975</v>
      </c>
      <c r="O20" s="66"/>
      <c r="P20" s="66"/>
      <c r="Q20" s="66"/>
      <c r="R20" s="65">
        <f>N19+Q19-K19</f>
        <v>37326927.940000057</v>
      </c>
      <c r="S20" s="65">
        <f>L19-R19</f>
        <v>489407846.19398665</v>
      </c>
      <c r="T20" s="66"/>
      <c r="U20" s="66"/>
      <c r="V20" s="66"/>
      <c r="W20" s="66"/>
      <c r="X20" s="66"/>
      <c r="BB20" s="696"/>
    </row>
    <row r="21" spans="1:56" s="67" customFormat="1">
      <c r="A21" s="387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BB21" s="696"/>
    </row>
    <row r="22" spans="1:56">
      <c r="W22" s="80"/>
      <c r="X22" s="80"/>
      <c r="Z22" s="80"/>
      <c r="AA22" s="80"/>
      <c r="AB22" s="80"/>
      <c r="AC22" s="80"/>
      <c r="AD22" s="546"/>
      <c r="AE22" s="80"/>
      <c r="AF22" s="80"/>
      <c r="AG22" s="80"/>
      <c r="AH22" s="80"/>
      <c r="AK22" s="80"/>
      <c r="AL22" s="80"/>
      <c r="AP22" s="80"/>
      <c r="AQ22" s="80"/>
      <c r="AU22" s="80"/>
      <c r="AV22" s="80"/>
      <c r="AW22" s="80"/>
      <c r="AX22" s="80"/>
    </row>
    <row r="23" spans="1:56">
      <c r="Z23" s="80"/>
      <c r="AA23" s="80"/>
      <c r="AB23" s="80"/>
      <c r="AC23" s="80"/>
      <c r="AD23" s="80"/>
      <c r="AE23" s="80"/>
      <c r="AF23" s="80"/>
      <c r="AG23" s="80"/>
      <c r="AH23" s="80"/>
    </row>
    <row r="24" spans="1:56">
      <c r="Z24" s="80"/>
      <c r="AA24" s="80"/>
      <c r="AB24" s="80"/>
      <c r="AC24" s="80"/>
      <c r="AD24" s="80"/>
      <c r="AE24" s="80"/>
      <c r="AF24" s="80"/>
      <c r="AG24" s="80"/>
      <c r="AH24" s="80"/>
    </row>
    <row r="25" spans="1:56">
      <c r="S25" s="377"/>
      <c r="Z25" s="80"/>
      <c r="AA25" s="80"/>
      <c r="AB25" s="80"/>
      <c r="AC25" s="80"/>
      <c r="AD25" s="80"/>
      <c r="AE25" s="80"/>
      <c r="AF25" s="80"/>
      <c r="AG25" s="80"/>
      <c r="AH25" s="80">
        <f>AH23-AH24</f>
        <v>0</v>
      </c>
    </row>
    <row r="26" spans="1:56">
      <c r="S26" s="377"/>
      <c r="AC26" s="80"/>
      <c r="AD26" s="80"/>
      <c r="AE26" s="80"/>
      <c r="AF26" s="80"/>
      <c r="AG26" s="80"/>
      <c r="AH26" s="80"/>
    </row>
    <row r="27" spans="1:56">
      <c r="S27" s="450"/>
      <c r="AA27" s="66"/>
      <c r="AB27" s="66"/>
      <c r="AC27" s="66"/>
      <c r="AD27" s="66"/>
      <c r="AE27" s="66"/>
      <c r="AF27" s="66"/>
      <c r="AG27" s="66"/>
      <c r="AH27" s="66"/>
    </row>
    <row r="28" spans="1:56">
      <c r="S28" s="377"/>
      <c r="AA28" s="305"/>
      <c r="AB28" s="305"/>
      <c r="AC28" s="547"/>
      <c r="AD28" s="547"/>
      <c r="AE28" s="547"/>
      <c r="AF28" s="547"/>
      <c r="AG28" s="547"/>
      <c r="AH28" s="547"/>
    </row>
    <row r="29" spans="1:56">
      <c r="S29" s="450"/>
    </row>
    <row r="30" spans="1:56">
      <c r="S30" s="377"/>
    </row>
    <row r="31" spans="1:56">
      <c r="S31" s="450"/>
    </row>
  </sheetData>
  <sheetProtection formatCells="0" formatColumns="0" formatRows="0" insertColumns="0" insertRows="0" insertHyperlinks="0" deleteColumns="0" deleteRows="0" sort="0" autoFilter="0" pivotTables="0"/>
  <mergeCells count="7">
    <mergeCell ref="AR4:AV4"/>
    <mergeCell ref="B4:M4"/>
    <mergeCell ref="N4:O4"/>
    <mergeCell ref="R4:X4"/>
    <mergeCell ref="AW4:BA4"/>
    <mergeCell ref="AI4:AK4"/>
    <mergeCell ref="AM4:AQ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3"/>
  <sheetViews>
    <sheetView showZeros="0" rightToLeft="1" tabSelected="1" zoomScaleNormal="100" workbookViewId="0">
      <pane xSplit="3" ySplit="5" topLeftCell="V63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44140625" defaultRowHeight="13.8"/>
  <cols>
    <col min="1" max="1" width="4.44140625" style="14" customWidth="1"/>
    <col min="2" max="2" width="5.33203125" style="14" customWidth="1"/>
    <col min="3" max="3" width="33.21875" style="20" customWidth="1"/>
    <col min="4" max="4" width="11.33203125" style="16" hidden="1" customWidth="1"/>
    <col min="5" max="5" width="12.33203125" style="16" hidden="1" customWidth="1"/>
    <col min="6" max="6" width="11.44140625" style="16" hidden="1" customWidth="1"/>
    <col min="7" max="10" width="13" style="16" hidden="1" customWidth="1"/>
    <col min="11" max="11" width="11.6640625" style="16" hidden="1" customWidth="1"/>
    <col min="12" max="12" width="11.109375" style="16" hidden="1" customWidth="1"/>
    <col min="13" max="14" width="10.109375" style="16" hidden="1" customWidth="1"/>
    <col min="15" max="15" width="11.109375" style="16" hidden="1" customWidth="1"/>
    <col min="16" max="16" width="11.44140625" style="16" hidden="1" customWidth="1"/>
    <col min="17" max="17" width="16.33203125" style="16" hidden="1" customWidth="1"/>
    <col min="18" max="18" width="12.33203125" style="16" hidden="1" customWidth="1"/>
    <col min="19" max="19" width="12" style="16" hidden="1" customWidth="1"/>
    <col min="20" max="20" width="11.6640625" style="16" customWidth="1"/>
    <col min="21" max="21" width="10.109375" style="14" customWidth="1"/>
    <col min="22" max="22" width="10.33203125" style="14" customWidth="1"/>
    <col min="23" max="23" width="7.109375" style="14" customWidth="1"/>
    <col min="24" max="24" width="5" style="14" hidden="1" customWidth="1"/>
    <col min="25" max="25" width="5" style="14" customWidth="1"/>
    <col min="26" max="26" width="10.33203125" style="14" customWidth="1"/>
    <col min="27" max="27" width="28.109375" style="37" hidden="1" customWidth="1"/>
    <col min="28" max="28" width="8.109375" style="14" hidden="1" customWidth="1"/>
    <col min="29" max="39" width="10.6640625" style="20" hidden="1" customWidth="1"/>
    <col min="40" max="41" width="10.6640625" style="20" customWidth="1"/>
    <col min="42" max="43" width="10.6640625" style="14" customWidth="1"/>
    <col min="44" max="44" width="10.6640625" style="14" hidden="1" customWidth="1"/>
    <col min="45" max="46" width="10.6640625" style="14" customWidth="1"/>
    <col min="47" max="47" width="10.6640625" style="20" hidden="1" customWidth="1"/>
    <col min="48" max="55" width="10.6640625" style="14" hidden="1" customWidth="1"/>
    <col min="56" max="56" width="0" style="14" hidden="1" customWidth="1"/>
    <col min="57" max="57" width="10.6640625" style="14" customWidth="1"/>
    <col min="58" max="16384" width="9.44140625" style="14"/>
  </cols>
  <sheetData>
    <row r="1" spans="1:57" s="36" customFormat="1" ht="18">
      <c r="A1" s="35"/>
      <c r="B1" s="35"/>
      <c r="C1" s="32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U1" s="20"/>
      <c r="BE1" s="14"/>
    </row>
    <row r="2" spans="1:57" ht="18">
      <c r="A2" s="86" t="s">
        <v>1001</v>
      </c>
      <c r="B2" s="35"/>
      <c r="C2" s="321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22"/>
      <c r="R2" s="35"/>
      <c r="S2" s="35"/>
      <c r="T2" s="35"/>
      <c r="U2" s="35"/>
      <c r="V2" s="35"/>
      <c r="W2" s="35"/>
      <c r="X2" s="35"/>
      <c r="Y2" s="35"/>
      <c r="Z2" s="35"/>
    </row>
    <row r="3" spans="1:57" ht="18">
      <c r="A3" s="86"/>
      <c r="B3" s="35"/>
      <c r="C3" s="321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22"/>
      <c r="R3" s="35"/>
      <c r="S3" s="35"/>
      <c r="T3" s="35"/>
      <c r="U3" s="35"/>
      <c r="V3" s="35"/>
      <c r="W3" s="35"/>
      <c r="X3" s="35"/>
      <c r="Y3" s="35"/>
      <c r="Z3" s="35"/>
    </row>
    <row r="4" spans="1:57" s="416" customFormat="1">
      <c r="A4" s="828"/>
      <c r="B4" s="829"/>
      <c r="C4" s="830"/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832" t="s">
        <v>111</v>
      </c>
      <c r="U4" s="833"/>
      <c r="V4" s="833"/>
      <c r="W4" s="833"/>
      <c r="X4" s="833"/>
      <c r="Y4" s="833"/>
      <c r="Z4" s="834"/>
      <c r="AA4" s="481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25" t="s">
        <v>327</v>
      </c>
      <c r="AM4" s="826"/>
      <c r="AN4" s="826"/>
      <c r="AO4" s="389"/>
      <c r="AP4" s="690" t="s">
        <v>998</v>
      </c>
      <c r="AQ4" s="689"/>
      <c r="AR4" s="689"/>
      <c r="AS4" s="689"/>
      <c r="AT4" s="69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  <c r="BE4" s="14"/>
    </row>
    <row r="5" spans="1:57" s="38" customFormat="1" ht="55.2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9</v>
      </c>
      <c r="J5" s="10" t="s">
        <v>215</v>
      </c>
      <c r="K5" s="10" t="s">
        <v>10</v>
      </c>
      <c r="L5" s="10" t="s">
        <v>11</v>
      </c>
      <c r="M5" s="10" t="s">
        <v>402</v>
      </c>
      <c r="N5" s="10" t="s">
        <v>403</v>
      </c>
      <c r="O5" s="10" t="s">
        <v>404</v>
      </c>
      <c r="P5" s="10" t="s">
        <v>12</v>
      </c>
      <c r="Q5" s="10" t="s">
        <v>405</v>
      </c>
      <c r="R5" s="10" t="s">
        <v>406</v>
      </c>
      <c r="S5" s="10" t="s">
        <v>407</v>
      </c>
      <c r="T5" s="10" t="s">
        <v>408</v>
      </c>
      <c r="U5" s="10" t="s">
        <v>409</v>
      </c>
      <c r="V5" s="10" t="s">
        <v>13</v>
      </c>
      <c r="W5" s="10" t="s">
        <v>14</v>
      </c>
      <c r="X5" s="10" t="s">
        <v>15</v>
      </c>
      <c r="Y5" s="10" t="s">
        <v>354</v>
      </c>
      <c r="Z5" s="10" t="s">
        <v>105</v>
      </c>
      <c r="AA5" s="43" t="s">
        <v>410</v>
      </c>
      <c r="AB5" s="10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85" t="s">
        <v>13</v>
      </c>
      <c r="AQ5" s="85" t="s">
        <v>14</v>
      </c>
      <c r="AR5" s="85" t="s">
        <v>15</v>
      </c>
      <c r="AS5" s="85" t="s">
        <v>354</v>
      </c>
      <c r="AT5" s="85" t="s">
        <v>105</v>
      </c>
      <c r="AU5" s="85" t="s">
        <v>13</v>
      </c>
      <c r="AV5" s="85" t="s">
        <v>14</v>
      </c>
      <c r="AW5" s="85" t="s">
        <v>15</v>
      </c>
      <c r="AX5" s="85" t="s">
        <v>354</v>
      </c>
      <c r="AY5" s="85" t="s">
        <v>105</v>
      </c>
      <c r="AZ5" s="85" t="s">
        <v>13</v>
      </c>
      <c r="BA5" s="85" t="s">
        <v>14</v>
      </c>
      <c r="BB5" s="85" t="s">
        <v>15</v>
      </c>
      <c r="BC5" s="85" t="s">
        <v>354</v>
      </c>
      <c r="BD5" s="85" t="s">
        <v>105</v>
      </c>
      <c r="BE5" s="14"/>
    </row>
    <row r="6" spans="1:57" s="5" customFormat="1">
      <c r="A6" s="3"/>
      <c r="B6" s="3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23"/>
      <c r="AB6" s="3"/>
      <c r="AC6" s="483"/>
      <c r="AD6" s="483"/>
      <c r="AE6" s="483"/>
      <c r="AF6" s="483"/>
      <c r="AG6" s="483"/>
      <c r="AH6" s="483"/>
      <c r="AI6" s="483"/>
      <c r="AJ6" s="483"/>
      <c r="AK6" s="483"/>
      <c r="AL6" s="483"/>
      <c r="AM6" s="483"/>
      <c r="AN6" s="483"/>
      <c r="AO6" s="483"/>
      <c r="AP6" s="3"/>
      <c r="AQ6" s="3"/>
      <c r="AR6" s="3"/>
      <c r="AS6" s="3"/>
      <c r="AT6" s="3"/>
      <c r="AU6" s="483"/>
      <c r="AV6" s="3"/>
      <c r="AW6" s="3"/>
      <c r="AX6" s="3"/>
      <c r="AY6" s="3"/>
      <c r="AZ6" s="3"/>
      <c r="BA6" s="3"/>
      <c r="BB6" s="3"/>
      <c r="BC6" s="3"/>
      <c r="BD6" s="3"/>
      <c r="BE6" s="14"/>
    </row>
    <row r="7" spans="1:57" s="5" customFormat="1" ht="19.95" customHeight="1">
      <c r="A7" s="3">
        <f>A6+1</f>
        <v>1</v>
      </c>
      <c r="B7" s="3">
        <v>179</v>
      </c>
      <c r="C7" s="3" t="s">
        <v>33</v>
      </c>
      <c r="D7" s="4">
        <f>3200000-200000</f>
        <v>3000000</v>
      </c>
      <c r="E7" s="4">
        <v>3000000</v>
      </c>
      <c r="F7" s="4">
        <f t="shared" ref="F7:F70" si="0">D7-E7</f>
        <v>0</v>
      </c>
      <c r="G7" s="4">
        <v>2870250</v>
      </c>
      <c r="H7" s="4">
        <v>2782107</v>
      </c>
      <c r="I7" s="4"/>
      <c r="J7" s="4">
        <v>65735</v>
      </c>
      <c r="K7" s="4">
        <f t="shared" ref="K7:K35" si="1">SUM(I7:J7)</f>
        <v>65735</v>
      </c>
      <c r="L7" s="4">
        <f t="shared" ref="L7:L70" si="2">H7+K7</f>
        <v>2847842</v>
      </c>
      <c r="M7" s="4">
        <f>P7+S7</f>
        <v>22408</v>
      </c>
      <c r="N7" s="4">
        <f>150000-50000</f>
        <v>100000</v>
      </c>
      <c r="O7" s="4">
        <f t="shared" ref="O7:O70" si="3">D7-L7-M7-N7</f>
        <v>29750</v>
      </c>
      <c r="P7" s="4">
        <f t="shared" ref="P7:P70" si="4">G7-L7</f>
        <v>22408</v>
      </c>
      <c r="Q7" s="4"/>
      <c r="R7" s="4"/>
      <c r="S7" s="4">
        <f t="shared" ref="S7:S70" si="5">SUM(Q7:R7)</f>
        <v>0</v>
      </c>
      <c r="T7" s="4">
        <f t="shared" ref="T7:T70" si="6">P7-M7+S7</f>
        <v>0</v>
      </c>
      <c r="U7" s="4">
        <f t="shared" ref="U7:U70" si="7">N7-T7</f>
        <v>100000</v>
      </c>
      <c r="V7" s="4">
        <f t="shared" ref="V7:V70" si="8">U7-Z7-W7-Y7</f>
        <v>100000</v>
      </c>
      <c r="W7" s="4"/>
      <c r="X7" s="4"/>
      <c r="Y7" s="4"/>
      <c r="Z7" s="3"/>
      <c r="AA7" s="323" t="s">
        <v>411</v>
      </c>
      <c r="AB7" s="3">
        <v>732000</v>
      </c>
      <c r="AC7" s="483"/>
      <c r="AD7" s="4"/>
      <c r="AE7" s="4"/>
      <c r="AF7" s="4">
        <v>100000</v>
      </c>
      <c r="AG7" s="4"/>
      <c r="AH7" s="4"/>
      <c r="AI7" s="4"/>
      <c r="AJ7" s="4"/>
      <c r="AK7" s="4"/>
      <c r="AL7" s="4">
        <f>SUM(AC7:AK7)</f>
        <v>100000</v>
      </c>
      <c r="AM7" s="4"/>
      <c r="AN7" s="4">
        <f>AL7+AM7</f>
        <v>100000</v>
      </c>
      <c r="AO7" s="4">
        <f>U7-AN7</f>
        <v>0</v>
      </c>
      <c r="AP7" s="4">
        <f>AN7-AQ7-AR7-AS7-AT7</f>
        <v>100000</v>
      </c>
      <c r="AQ7" s="4"/>
      <c r="AR7" s="4"/>
      <c r="AS7" s="4"/>
      <c r="AT7" s="4"/>
      <c r="AU7" s="4">
        <f>AM7-AV7-AW7-AX7-AY7</f>
        <v>0</v>
      </c>
      <c r="AV7" s="4">
        <f>AS7-BC7</f>
        <v>0</v>
      </c>
      <c r="AW7" s="4"/>
      <c r="AX7" s="4"/>
      <c r="AY7" s="4"/>
      <c r="AZ7" s="4">
        <f>AO7-BA7-BB7-BC7-BD7</f>
        <v>0</v>
      </c>
      <c r="BA7" s="4"/>
      <c r="BB7" s="4"/>
      <c r="BC7" s="4"/>
      <c r="BD7" s="3"/>
      <c r="BE7" s="14"/>
    </row>
    <row r="8" spans="1:57" s="5" customFormat="1" ht="19.95" customHeight="1">
      <c r="A8" s="3">
        <f>A7+1</f>
        <v>2</v>
      </c>
      <c r="B8" s="3">
        <v>304</v>
      </c>
      <c r="C8" s="3" t="s">
        <v>58</v>
      </c>
      <c r="D8" s="4">
        <f>54950000-20000</f>
        <v>54930000</v>
      </c>
      <c r="E8" s="4">
        <v>54950000</v>
      </c>
      <c r="F8" s="4">
        <f t="shared" si="0"/>
        <v>-20000</v>
      </c>
      <c r="G8" s="4">
        <v>54950000</v>
      </c>
      <c r="H8" s="4">
        <v>54780522.609999999</v>
      </c>
      <c r="I8" s="4">
        <v>149074.13</v>
      </c>
      <c r="J8" s="4"/>
      <c r="K8" s="4">
        <f t="shared" si="1"/>
        <v>149074.13</v>
      </c>
      <c r="L8" s="4">
        <f t="shared" si="2"/>
        <v>54929596.740000002</v>
      </c>
      <c r="M8" s="4">
        <f>P8+S8-20000</f>
        <v>403.25999999791384</v>
      </c>
      <c r="N8" s="4"/>
      <c r="O8" s="4">
        <f t="shared" si="3"/>
        <v>0</v>
      </c>
      <c r="P8" s="4">
        <f t="shared" si="4"/>
        <v>20403.259999997914</v>
      </c>
      <c r="Q8" s="4"/>
      <c r="R8" s="4"/>
      <c r="S8" s="4">
        <f t="shared" si="5"/>
        <v>0</v>
      </c>
      <c r="T8" s="4">
        <f t="shared" si="6"/>
        <v>20000</v>
      </c>
      <c r="U8" s="4">
        <f t="shared" si="7"/>
        <v>-20000</v>
      </c>
      <c r="V8" s="4">
        <f t="shared" si="8"/>
        <v>-20000</v>
      </c>
      <c r="W8" s="4"/>
      <c r="X8" s="4"/>
      <c r="Y8" s="4"/>
      <c r="Z8" s="3"/>
      <c r="AA8" s="323"/>
      <c r="AB8" s="3">
        <v>746000</v>
      </c>
      <c r="AC8" s="483"/>
      <c r="AD8" s="4"/>
      <c r="AE8" s="4"/>
      <c r="AF8" s="4">
        <v>-20000</v>
      </c>
      <c r="AG8" s="4"/>
      <c r="AH8" s="4"/>
      <c r="AI8" s="4"/>
      <c r="AJ8" s="4"/>
      <c r="AK8" s="4"/>
      <c r="AL8" s="4">
        <f t="shared" ref="AL8:AL71" si="9">SUM(AC8:AK8)</f>
        <v>-20000</v>
      </c>
      <c r="AM8" s="4"/>
      <c r="AN8" s="4">
        <f>AL8+AM8</f>
        <v>-20000</v>
      </c>
      <c r="AO8" s="4">
        <f>U8-AN8</f>
        <v>0</v>
      </c>
      <c r="AP8" s="4">
        <f>AN8-AQ8-AR8-AS8-AT8</f>
        <v>-20000</v>
      </c>
      <c r="AQ8" s="4"/>
      <c r="AR8" s="4"/>
      <c r="AS8" s="4"/>
      <c r="AT8" s="4"/>
      <c r="AU8" s="4">
        <f>AM8-AV8-AW8-AX8-AY8</f>
        <v>0</v>
      </c>
      <c r="AV8" s="4">
        <f>AS8-BC8</f>
        <v>0</v>
      </c>
      <c r="AW8" s="4"/>
      <c r="AX8" s="4"/>
      <c r="AY8" s="4"/>
      <c r="AZ8" s="4">
        <f>AO8-BA8-BB8-BC8-BD8</f>
        <v>0</v>
      </c>
      <c r="BA8" s="4"/>
      <c r="BB8" s="4"/>
      <c r="BC8" s="4"/>
      <c r="BD8" s="3"/>
      <c r="BE8" s="14"/>
    </row>
    <row r="9" spans="1:57" s="5" customFormat="1" ht="19.95" customHeight="1">
      <c r="A9" s="3">
        <f t="shared" ref="A9:A45" si="10">A8+1</f>
        <v>3</v>
      </c>
      <c r="B9" s="3">
        <v>507</v>
      </c>
      <c r="C9" s="3" t="s">
        <v>49</v>
      </c>
      <c r="D9" s="4">
        <v>2310000</v>
      </c>
      <c r="E9" s="4">
        <v>2310000</v>
      </c>
      <c r="F9" s="4">
        <f t="shared" si="0"/>
        <v>0</v>
      </c>
      <c r="G9" s="4">
        <v>1765000</v>
      </c>
      <c r="H9" s="4">
        <v>1653104.23</v>
      </c>
      <c r="I9" s="4"/>
      <c r="J9" s="4"/>
      <c r="K9" s="4">
        <f t="shared" si="1"/>
        <v>0</v>
      </c>
      <c r="L9" s="4">
        <f t="shared" si="2"/>
        <v>1653104.23</v>
      </c>
      <c r="M9" s="4">
        <f>P9+S9</f>
        <v>111895.77000000002</v>
      </c>
      <c r="N9" s="4">
        <f>100000-50000</f>
        <v>50000</v>
      </c>
      <c r="O9" s="4">
        <f t="shared" si="3"/>
        <v>495000</v>
      </c>
      <c r="P9" s="4">
        <f t="shared" si="4"/>
        <v>111895.77000000002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50000</v>
      </c>
      <c r="V9" s="4">
        <f t="shared" si="8"/>
        <v>50000</v>
      </c>
      <c r="W9" s="4"/>
      <c r="X9" s="4"/>
      <c r="Y9" s="4"/>
      <c r="Z9" s="3"/>
      <c r="AA9" s="323" t="s">
        <v>412</v>
      </c>
      <c r="AB9" s="3">
        <v>742000</v>
      </c>
      <c r="AC9" s="483"/>
      <c r="AD9" s="4"/>
      <c r="AE9" s="4"/>
      <c r="AF9" s="4"/>
      <c r="AG9" s="4"/>
      <c r="AH9" s="4"/>
      <c r="AI9" s="4"/>
      <c r="AJ9" s="4"/>
      <c r="AK9" s="4">
        <v>50000</v>
      </c>
      <c r="AL9" s="4">
        <f t="shared" si="9"/>
        <v>50000</v>
      </c>
      <c r="AM9" s="4"/>
      <c r="AN9" s="4">
        <f>AL9+AM9</f>
        <v>50000</v>
      </c>
      <c r="AO9" s="4">
        <f>U9-AN9</f>
        <v>0</v>
      </c>
      <c r="AP9" s="4">
        <f>AN9-AQ9-AR9-AS9-AT9</f>
        <v>50000</v>
      </c>
      <c r="AQ9" s="4"/>
      <c r="AR9" s="4"/>
      <c r="AS9" s="4"/>
      <c r="AT9" s="4"/>
      <c r="AU9" s="4">
        <f>AM9-AV9-AW9-AX9-AY9</f>
        <v>0</v>
      </c>
      <c r="AV9" s="4">
        <f>AS9-BC9</f>
        <v>0</v>
      </c>
      <c r="AW9" s="4"/>
      <c r="AX9" s="4"/>
      <c r="AY9" s="4"/>
      <c r="AZ9" s="4">
        <f>AO9-BA9-BB9-BC9-BD9</f>
        <v>0</v>
      </c>
      <c r="BA9" s="4"/>
      <c r="BB9" s="4"/>
      <c r="BC9" s="4"/>
      <c r="BD9" s="3"/>
      <c r="BE9" s="14"/>
    </row>
    <row r="10" spans="1:57" s="5" customFormat="1" ht="19.95" customHeight="1">
      <c r="A10" s="3">
        <f t="shared" si="10"/>
        <v>4</v>
      </c>
      <c r="B10" s="3">
        <v>546</v>
      </c>
      <c r="C10" s="3" t="s">
        <v>50</v>
      </c>
      <c r="D10" s="4">
        <f>5850000-2930000</f>
        <v>2920000</v>
      </c>
      <c r="E10" s="4">
        <v>5850000</v>
      </c>
      <c r="F10" s="4">
        <f t="shared" si="0"/>
        <v>-2930000</v>
      </c>
      <c r="G10" s="4">
        <v>2950000</v>
      </c>
      <c r="H10" s="4">
        <v>2895703.4</v>
      </c>
      <c r="I10" s="4"/>
      <c r="J10" s="4">
        <v>18053</v>
      </c>
      <c r="K10" s="4">
        <f t="shared" si="1"/>
        <v>18053</v>
      </c>
      <c r="L10" s="4">
        <f t="shared" si="2"/>
        <v>2913756.4</v>
      </c>
      <c r="M10" s="4">
        <f>P10+S10-30000</f>
        <v>6243.6000000000931</v>
      </c>
      <c r="N10" s="4"/>
      <c r="O10" s="4">
        <f t="shared" si="3"/>
        <v>0</v>
      </c>
      <c r="P10" s="4">
        <f t="shared" si="4"/>
        <v>36243.600000000093</v>
      </c>
      <c r="Q10" s="4"/>
      <c r="R10" s="4"/>
      <c r="S10" s="4">
        <f t="shared" si="5"/>
        <v>0</v>
      </c>
      <c r="T10" s="4">
        <f t="shared" si="6"/>
        <v>30000</v>
      </c>
      <c r="U10" s="4">
        <f t="shared" si="7"/>
        <v>-30000</v>
      </c>
      <c r="V10" s="4">
        <f t="shared" si="8"/>
        <v>-30000</v>
      </c>
      <c r="W10" s="4"/>
      <c r="X10" s="4"/>
      <c r="Y10" s="4"/>
      <c r="Z10" s="3"/>
      <c r="AA10" s="323"/>
      <c r="AB10" s="3">
        <v>742000</v>
      </c>
      <c r="AC10" s="483"/>
      <c r="AD10" s="4"/>
      <c r="AE10" s="4"/>
      <c r="AF10" s="4">
        <v>-30000</v>
      </c>
      <c r="AG10" s="4"/>
      <c r="AH10" s="4"/>
      <c r="AI10" s="4"/>
      <c r="AJ10" s="4"/>
      <c r="AK10" s="4"/>
      <c r="AL10" s="4">
        <f t="shared" si="9"/>
        <v>-30000</v>
      </c>
      <c r="AM10" s="4"/>
      <c r="AN10" s="4">
        <f t="shared" ref="AN10:AN73" si="11">AL10+AM10</f>
        <v>-30000</v>
      </c>
      <c r="AO10" s="4">
        <f t="shared" ref="AO10:AO73" si="12">U10-AN10</f>
        <v>0</v>
      </c>
      <c r="AP10" s="4">
        <f t="shared" ref="AP10:AP73" si="13">AN10-AQ10-AR10-AS10-AT10</f>
        <v>-30000</v>
      </c>
      <c r="AQ10" s="4"/>
      <c r="AR10" s="4"/>
      <c r="AS10" s="4"/>
      <c r="AT10" s="4"/>
      <c r="AU10" s="4">
        <f t="shared" ref="AU10:AU73" si="14">AM10-AV10-AW10-AX10-AY10</f>
        <v>0</v>
      </c>
      <c r="AV10" s="4">
        <f t="shared" ref="AV10:AV73" si="15">AS10-BC10</f>
        <v>0</v>
      </c>
      <c r="AW10" s="4"/>
      <c r="AX10" s="4"/>
      <c r="AY10" s="4"/>
      <c r="AZ10" s="4">
        <f t="shared" ref="AZ10:AZ73" si="16">AO10-BA10-BB10-BC10-BD10</f>
        <v>0</v>
      </c>
      <c r="BA10" s="4"/>
      <c r="BB10" s="4"/>
      <c r="BC10" s="4"/>
      <c r="BD10" s="3"/>
      <c r="BE10" s="14"/>
    </row>
    <row r="11" spans="1:57" s="5" customFormat="1" ht="19.95" customHeight="1">
      <c r="A11" s="3">
        <f t="shared" si="10"/>
        <v>5</v>
      </c>
      <c r="B11" s="3">
        <v>592</v>
      </c>
      <c r="C11" s="3" t="s">
        <v>26</v>
      </c>
      <c r="D11" s="4">
        <v>54893000</v>
      </c>
      <c r="E11" s="4">
        <v>54893000</v>
      </c>
      <c r="F11" s="4">
        <f t="shared" si="0"/>
        <v>0</v>
      </c>
      <c r="G11" s="4">
        <f>18420000+300000</f>
        <v>18720000</v>
      </c>
      <c r="H11" s="4">
        <v>17302170.350000001</v>
      </c>
      <c r="I11" s="4">
        <v>149113.19</v>
      </c>
      <c r="J11" s="4">
        <v>14350</v>
      </c>
      <c r="K11" s="4">
        <f t="shared" si="1"/>
        <v>163463.19</v>
      </c>
      <c r="L11" s="4">
        <f t="shared" si="2"/>
        <v>17465633.540000003</v>
      </c>
      <c r="M11" s="4">
        <f>P11+S11</f>
        <v>1254366.4599999972</v>
      </c>
      <c r="N11" s="4">
        <f>3500000+400000</f>
        <v>3900000</v>
      </c>
      <c r="O11" s="4">
        <f t="shared" si="3"/>
        <v>32273000</v>
      </c>
      <c r="P11" s="4">
        <f t="shared" si="4"/>
        <v>1254366.4599999972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3900000</v>
      </c>
      <c r="V11" s="4">
        <f t="shared" si="8"/>
        <v>3900000</v>
      </c>
      <c r="W11" s="4"/>
      <c r="X11" s="4"/>
      <c r="Y11" s="4"/>
      <c r="Z11" s="3"/>
      <c r="AA11" s="323" t="s">
        <v>727</v>
      </c>
      <c r="AB11" s="3">
        <v>742000</v>
      </c>
      <c r="AC11" s="483"/>
      <c r="AD11" s="4"/>
      <c r="AE11" s="4"/>
      <c r="AF11" s="4"/>
      <c r="AG11" s="4"/>
      <c r="AH11" s="4"/>
      <c r="AI11" s="4"/>
      <c r="AJ11" s="4">
        <v>2000000</v>
      </c>
      <c r="AK11" s="4"/>
      <c r="AL11" s="4">
        <f t="shared" si="9"/>
        <v>2000000</v>
      </c>
      <c r="AM11" s="4"/>
      <c r="AN11" s="4">
        <f t="shared" si="11"/>
        <v>2000000</v>
      </c>
      <c r="AO11" s="4">
        <f t="shared" si="12"/>
        <v>1900000</v>
      </c>
      <c r="AP11" s="4">
        <f t="shared" si="13"/>
        <v>2000000</v>
      </c>
      <c r="AQ11" s="4"/>
      <c r="AR11" s="4"/>
      <c r="AS11" s="4"/>
      <c r="AT11" s="4"/>
      <c r="AU11" s="4">
        <f t="shared" si="14"/>
        <v>0</v>
      </c>
      <c r="AV11" s="4">
        <f t="shared" si="15"/>
        <v>0</v>
      </c>
      <c r="AW11" s="4"/>
      <c r="AX11" s="4"/>
      <c r="AY11" s="4"/>
      <c r="AZ11" s="4">
        <f t="shared" si="16"/>
        <v>1900000</v>
      </c>
      <c r="BA11" s="4"/>
      <c r="BB11" s="4"/>
      <c r="BC11" s="4"/>
      <c r="BD11" s="3"/>
      <c r="BE11" s="14"/>
    </row>
    <row r="12" spans="1:57" s="5" customFormat="1" ht="19.95" customHeight="1">
      <c r="A12" s="3">
        <f t="shared" si="10"/>
        <v>6</v>
      </c>
      <c r="B12" s="3">
        <v>608</v>
      </c>
      <c r="C12" s="3" t="s">
        <v>34</v>
      </c>
      <c r="D12" s="4">
        <v>8300000</v>
      </c>
      <c r="E12" s="4">
        <v>8300000</v>
      </c>
      <c r="F12" s="4">
        <f t="shared" si="0"/>
        <v>0</v>
      </c>
      <c r="G12" s="4">
        <v>6250000</v>
      </c>
      <c r="H12" s="4">
        <v>5146280</v>
      </c>
      <c r="I12" s="4"/>
      <c r="J12" s="4">
        <v>76278</v>
      </c>
      <c r="K12" s="4">
        <f t="shared" si="1"/>
        <v>76278</v>
      </c>
      <c r="L12" s="4">
        <f t="shared" si="2"/>
        <v>5222558</v>
      </c>
      <c r="M12" s="4">
        <f>P12+S12-650000</f>
        <v>377442</v>
      </c>
      <c r="N12" s="4">
        <v>600000</v>
      </c>
      <c r="O12" s="4">
        <f t="shared" si="3"/>
        <v>2100000</v>
      </c>
      <c r="P12" s="4">
        <f t="shared" si="4"/>
        <v>1027442</v>
      </c>
      <c r="Q12" s="4"/>
      <c r="R12" s="4"/>
      <c r="S12" s="4">
        <f t="shared" si="5"/>
        <v>0</v>
      </c>
      <c r="T12" s="4">
        <f t="shared" si="6"/>
        <v>650000</v>
      </c>
      <c r="U12" s="4">
        <f t="shared" si="7"/>
        <v>-50000</v>
      </c>
      <c r="V12" s="4">
        <f t="shared" si="8"/>
        <v>-50000</v>
      </c>
      <c r="W12" s="4"/>
      <c r="X12" s="4"/>
      <c r="Y12" s="4"/>
      <c r="Z12" s="3"/>
      <c r="AA12" s="323" t="s">
        <v>413</v>
      </c>
      <c r="AB12" s="3">
        <v>745000</v>
      </c>
      <c r="AC12" s="483"/>
      <c r="AD12" s="4"/>
      <c r="AE12" s="4"/>
      <c r="AF12" s="4">
        <v>-50000</v>
      </c>
      <c r="AG12" s="4"/>
      <c r="AH12" s="4"/>
      <c r="AI12" s="4"/>
      <c r="AJ12" s="4"/>
      <c r="AK12" s="4"/>
      <c r="AL12" s="4">
        <f t="shared" si="9"/>
        <v>-50000</v>
      </c>
      <c r="AM12" s="4"/>
      <c r="AN12" s="4">
        <f t="shared" si="11"/>
        <v>-50000</v>
      </c>
      <c r="AO12" s="4">
        <f t="shared" si="12"/>
        <v>0</v>
      </c>
      <c r="AP12" s="4">
        <f t="shared" si="13"/>
        <v>-50000</v>
      </c>
      <c r="AQ12" s="4"/>
      <c r="AR12" s="4"/>
      <c r="AS12" s="4"/>
      <c r="AT12" s="4"/>
      <c r="AU12" s="4">
        <f t="shared" si="14"/>
        <v>0</v>
      </c>
      <c r="AV12" s="4">
        <f t="shared" si="15"/>
        <v>0</v>
      </c>
      <c r="AW12" s="4"/>
      <c r="AX12" s="4"/>
      <c r="AY12" s="4"/>
      <c r="AZ12" s="4">
        <f t="shared" si="16"/>
        <v>0</v>
      </c>
      <c r="BA12" s="4"/>
      <c r="BB12" s="4"/>
      <c r="BC12" s="4"/>
      <c r="BD12" s="3"/>
      <c r="BE12" s="14"/>
    </row>
    <row r="13" spans="1:57" s="6" customFormat="1" ht="19.95" customHeight="1">
      <c r="A13" s="3">
        <f t="shared" si="10"/>
        <v>7</v>
      </c>
      <c r="B13" s="3">
        <v>626</v>
      </c>
      <c r="C13" s="3" t="s">
        <v>935</v>
      </c>
      <c r="D13" s="4">
        <v>20025000</v>
      </c>
      <c r="E13" s="4">
        <v>20025000</v>
      </c>
      <c r="F13" s="4">
        <f t="shared" si="0"/>
        <v>0</v>
      </c>
      <c r="G13" s="4">
        <v>14525000</v>
      </c>
      <c r="H13" s="4">
        <v>13533711</v>
      </c>
      <c r="I13" s="4">
        <v>151233.85999999999</v>
      </c>
      <c r="J13" s="4">
        <v>45309</v>
      </c>
      <c r="K13" s="4">
        <f t="shared" si="1"/>
        <v>196542.86</v>
      </c>
      <c r="L13" s="4">
        <f t="shared" si="2"/>
        <v>13730253.859999999</v>
      </c>
      <c r="M13" s="4">
        <f>P13+S13-500000</f>
        <v>294746.1400000006</v>
      </c>
      <c r="N13" s="4">
        <f>3325000-1000000</f>
        <v>2325000</v>
      </c>
      <c r="O13" s="4">
        <f t="shared" si="3"/>
        <v>3675000</v>
      </c>
      <c r="P13" s="4">
        <f t="shared" si="4"/>
        <v>794746.1400000006</v>
      </c>
      <c r="Q13" s="4"/>
      <c r="R13" s="4"/>
      <c r="S13" s="4">
        <f t="shared" si="5"/>
        <v>0</v>
      </c>
      <c r="T13" s="4">
        <f t="shared" si="6"/>
        <v>500000</v>
      </c>
      <c r="U13" s="4">
        <f t="shared" si="7"/>
        <v>1825000</v>
      </c>
      <c r="V13" s="4">
        <f t="shared" si="8"/>
        <v>1475000</v>
      </c>
      <c r="W13" s="4"/>
      <c r="X13" s="4"/>
      <c r="Y13" s="4"/>
      <c r="Z13" s="4">
        <f>175000+175000</f>
        <v>350000</v>
      </c>
      <c r="AA13" s="323" t="s">
        <v>714</v>
      </c>
      <c r="AB13" s="3">
        <v>732000</v>
      </c>
      <c r="AC13" s="483"/>
      <c r="AD13" s="4"/>
      <c r="AE13" s="4"/>
      <c r="AF13" s="4"/>
      <c r="AG13" s="4"/>
      <c r="AH13" s="4"/>
      <c r="AI13" s="4"/>
      <c r="AJ13" s="4"/>
      <c r="AK13" s="4">
        <v>250000</v>
      </c>
      <c r="AL13" s="4">
        <f t="shared" si="9"/>
        <v>250000</v>
      </c>
      <c r="AM13" s="4"/>
      <c r="AN13" s="4">
        <f t="shared" si="11"/>
        <v>250000</v>
      </c>
      <c r="AO13" s="4">
        <f t="shared" si="12"/>
        <v>1575000</v>
      </c>
      <c r="AP13" s="4">
        <f t="shared" si="13"/>
        <v>75000</v>
      </c>
      <c r="AQ13" s="4"/>
      <c r="AR13" s="4"/>
      <c r="AS13" s="4"/>
      <c r="AT13" s="4">
        <v>175000</v>
      </c>
      <c r="AU13" s="4">
        <f t="shared" si="14"/>
        <v>0</v>
      </c>
      <c r="AV13" s="4">
        <f t="shared" si="15"/>
        <v>0</v>
      </c>
      <c r="AW13" s="4"/>
      <c r="AX13" s="4"/>
      <c r="AY13" s="4"/>
      <c r="AZ13" s="4">
        <f t="shared" si="16"/>
        <v>1575000</v>
      </c>
      <c r="BA13" s="4"/>
      <c r="BB13" s="4"/>
      <c r="BC13" s="4"/>
      <c r="BD13" s="3"/>
      <c r="BE13" s="14"/>
    </row>
    <row r="14" spans="1:57" s="5" customFormat="1" ht="19.95" customHeight="1">
      <c r="A14" s="3">
        <f t="shared" si="10"/>
        <v>8</v>
      </c>
      <c r="B14" s="188">
        <v>631</v>
      </c>
      <c r="C14" s="188" t="s">
        <v>1241</v>
      </c>
      <c r="D14" s="4">
        <f>9005000-1946000</f>
        <v>7059000</v>
      </c>
      <c r="E14" s="4">
        <v>9005000</v>
      </c>
      <c r="F14" s="4">
        <f t="shared" si="0"/>
        <v>-1946000</v>
      </c>
      <c r="G14" s="4">
        <v>7305000</v>
      </c>
      <c r="H14" s="4">
        <v>7030689.3200000003</v>
      </c>
      <c r="I14" s="4"/>
      <c r="J14" s="4">
        <v>27554.53</v>
      </c>
      <c r="K14" s="4">
        <f t="shared" si="1"/>
        <v>27554.53</v>
      </c>
      <c r="L14" s="4">
        <f t="shared" si="2"/>
        <v>7058243.8500000006</v>
      </c>
      <c r="M14" s="4">
        <f>P14+S14-246000</f>
        <v>756.14999999944121</v>
      </c>
      <c r="N14" s="4"/>
      <c r="O14" s="4">
        <f t="shared" si="3"/>
        <v>0</v>
      </c>
      <c r="P14" s="4">
        <f t="shared" si="4"/>
        <v>246756.14999999944</v>
      </c>
      <c r="Q14" s="4"/>
      <c r="R14" s="4"/>
      <c r="S14" s="4">
        <f t="shared" si="5"/>
        <v>0</v>
      </c>
      <c r="T14" s="4">
        <f t="shared" si="6"/>
        <v>246000</v>
      </c>
      <c r="U14" s="4">
        <f t="shared" si="7"/>
        <v>-246000</v>
      </c>
      <c r="V14" s="4">
        <f t="shared" si="8"/>
        <v>-246000</v>
      </c>
      <c r="W14" s="4"/>
      <c r="X14" s="4"/>
      <c r="Y14" s="4"/>
      <c r="Z14" s="3"/>
      <c r="AA14" s="323"/>
      <c r="AB14" s="3">
        <v>742000</v>
      </c>
      <c r="AC14" s="483"/>
      <c r="AD14" s="4"/>
      <c r="AE14" s="4"/>
      <c r="AF14" s="4">
        <v>-246000</v>
      </c>
      <c r="AG14" s="4"/>
      <c r="AH14" s="4"/>
      <c r="AI14" s="4"/>
      <c r="AJ14" s="4"/>
      <c r="AK14" s="4"/>
      <c r="AL14" s="4">
        <f t="shared" si="9"/>
        <v>-246000</v>
      </c>
      <c r="AM14" s="4"/>
      <c r="AN14" s="4">
        <f t="shared" si="11"/>
        <v>-246000</v>
      </c>
      <c r="AO14" s="4">
        <f t="shared" si="12"/>
        <v>0</v>
      </c>
      <c r="AP14" s="4">
        <f t="shared" si="13"/>
        <v>-246000</v>
      </c>
      <c r="AQ14" s="4"/>
      <c r="AR14" s="4"/>
      <c r="AS14" s="4"/>
      <c r="AT14" s="4"/>
      <c r="AU14" s="4">
        <f t="shared" si="14"/>
        <v>0</v>
      </c>
      <c r="AV14" s="4">
        <f t="shared" si="15"/>
        <v>0</v>
      </c>
      <c r="AW14" s="4"/>
      <c r="AX14" s="4"/>
      <c r="AY14" s="4"/>
      <c r="AZ14" s="4">
        <f t="shared" si="16"/>
        <v>0</v>
      </c>
      <c r="BA14" s="4"/>
      <c r="BB14" s="4"/>
      <c r="BC14" s="4"/>
      <c r="BD14" s="3"/>
      <c r="BE14" s="14"/>
    </row>
    <row r="15" spans="1:57" s="5" customFormat="1" ht="19.95" customHeight="1">
      <c r="A15" s="3">
        <f>A14+1</f>
        <v>9</v>
      </c>
      <c r="B15" s="3">
        <v>638</v>
      </c>
      <c r="C15" s="3" t="s">
        <v>867</v>
      </c>
      <c r="D15" s="4">
        <v>7000000</v>
      </c>
      <c r="E15" s="4">
        <v>7000000</v>
      </c>
      <c r="F15" s="4">
        <f t="shared" si="0"/>
        <v>0</v>
      </c>
      <c r="G15" s="4">
        <v>4600000</v>
      </c>
      <c r="H15" s="4">
        <v>3454838.96</v>
      </c>
      <c r="I15" s="4">
        <v>74548.7</v>
      </c>
      <c r="J15" s="4">
        <v>7765.64</v>
      </c>
      <c r="K15" s="4">
        <f t="shared" si="1"/>
        <v>82314.34</v>
      </c>
      <c r="L15" s="4">
        <f t="shared" si="2"/>
        <v>3537153.3</v>
      </c>
      <c r="M15" s="4">
        <f>P15+S15</f>
        <v>1062846.7000000002</v>
      </c>
      <c r="N15" s="4"/>
      <c r="O15" s="4">
        <f t="shared" si="3"/>
        <v>2400000</v>
      </c>
      <c r="P15" s="4">
        <f t="shared" si="4"/>
        <v>1062846.7000000002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4">
        <f t="shared" si="8"/>
        <v>0</v>
      </c>
      <c r="W15" s="4"/>
      <c r="X15" s="4"/>
      <c r="Y15" s="4"/>
      <c r="Z15" s="3"/>
      <c r="AA15" s="323" t="s">
        <v>669</v>
      </c>
      <c r="AB15" s="3">
        <v>742000</v>
      </c>
      <c r="AC15" s="483"/>
      <c r="AD15" s="4"/>
      <c r="AE15" s="4"/>
      <c r="AF15" s="4"/>
      <c r="AG15" s="4"/>
      <c r="AH15" s="4"/>
      <c r="AI15" s="4"/>
      <c r="AJ15" s="4"/>
      <c r="AK15" s="4"/>
      <c r="AL15" s="4">
        <f t="shared" si="9"/>
        <v>0</v>
      </c>
      <c r="AM15" s="4"/>
      <c r="AN15" s="4">
        <f t="shared" si="11"/>
        <v>0</v>
      </c>
      <c r="AO15" s="4">
        <f t="shared" si="12"/>
        <v>0</v>
      </c>
      <c r="AP15" s="4">
        <f t="shared" si="13"/>
        <v>0</v>
      </c>
      <c r="AQ15" s="4"/>
      <c r="AR15" s="4"/>
      <c r="AS15" s="4"/>
      <c r="AT15" s="4"/>
      <c r="AU15" s="4">
        <f t="shared" si="14"/>
        <v>0</v>
      </c>
      <c r="AV15" s="4">
        <f t="shared" si="15"/>
        <v>0</v>
      </c>
      <c r="AW15" s="4"/>
      <c r="AX15" s="4"/>
      <c r="AY15" s="4"/>
      <c r="AZ15" s="4">
        <f t="shared" si="16"/>
        <v>0</v>
      </c>
      <c r="BA15" s="4"/>
      <c r="BB15" s="4"/>
      <c r="BC15" s="4"/>
      <c r="BD15" s="3"/>
      <c r="BE15" s="14"/>
    </row>
    <row r="16" spans="1:57" s="5" customFormat="1" ht="19.95" customHeight="1">
      <c r="A16" s="3">
        <f t="shared" si="10"/>
        <v>10</v>
      </c>
      <c r="B16" s="3">
        <v>1018</v>
      </c>
      <c r="C16" s="3" t="s">
        <v>27</v>
      </c>
      <c r="D16" s="4">
        <v>31900000</v>
      </c>
      <c r="E16" s="4">
        <v>31900000</v>
      </c>
      <c r="F16" s="4">
        <f t="shared" si="0"/>
        <v>0</v>
      </c>
      <c r="G16" s="4">
        <v>5100000</v>
      </c>
      <c r="H16" s="4">
        <v>3059586.79</v>
      </c>
      <c r="I16" s="4">
        <v>84192.99</v>
      </c>
      <c r="J16" s="4">
        <v>4379.93</v>
      </c>
      <c r="K16" s="4">
        <f t="shared" si="1"/>
        <v>88572.920000000013</v>
      </c>
      <c r="L16" s="4">
        <f t="shared" si="2"/>
        <v>3148159.71</v>
      </c>
      <c r="M16" s="4">
        <f>P16+S16-1000000-750000</f>
        <v>201840.29000000004</v>
      </c>
      <c r="N16" s="4">
        <f>2000000-250000</f>
        <v>1750000</v>
      </c>
      <c r="O16" s="4">
        <f t="shared" si="3"/>
        <v>26800000</v>
      </c>
      <c r="P16" s="4">
        <f t="shared" si="4"/>
        <v>1951840.29</v>
      </c>
      <c r="Q16" s="4"/>
      <c r="R16" s="4"/>
      <c r="S16" s="4">
        <f t="shared" si="5"/>
        <v>0</v>
      </c>
      <c r="T16" s="4">
        <f t="shared" si="6"/>
        <v>1750000</v>
      </c>
      <c r="U16" s="4">
        <f t="shared" si="7"/>
        <v>0</v>
      </c>
      <c r="V16" s="4">
        <f t="shared" si="8"/>
        <v>0</v>
      </c>
      <c r="W16" s="4"/>
      <c r="X16" s="4"/>
      <c r="Y16" s="4"/>
      <c r="Z16" s="3"/>
      <c r="AA16" s="323" t="s">
        <v>414</v>
      </c>
      <c r="AB16" s="3">
        <v>742000</v>
      </c>
      <c r="AC16" s="483"/>
      <c r="AD16" s="4"/>
      <c r="AE16" s="4"/>
      <c r="AF16" s="4"/>
      <c r="AG16" s="4"/>
      <c r="AH16" s="4"/>
      <c r="AI16" s="4"/>
      <c r="AJ16" s="4"/>
      <c r="AK16" s="4"/>
      <c r="AL16" s="4">
        <f t="shared" si="9"/>
        <v>0</v>
      </c>
      <c r="AM16" s="4"/>
      <c r="AN16" s="4">
        <f t="shared" si="11"/>
        <v>0</v>
      </c>
      <c r="AO16" s="4">
        <f t="shared" si="12"/>
        <v>0</v>
      </c>
      <c r="AP16" s="4">
        <f t="shared" si="13"/>
        <v>0</v>
      </c>
      <c r="AQ16" s="4"/>
      <c r="AR16" s="4"/>
      <c r="AS16" s="4"/>
      <c r="AT16" s="4"/>
      <c r="AU16" s="4">
        <f t="shared" si="14"/>
        <v>0</v>
      </c>
      <c r="AV16" s="4">
        <f t="shared" si="15"/>
        <v>0</v>
      </c>
      <c r="AW16" s="4"/>
      <c r="AX16" s="4"/>
      <c r="AY16" s="4"/>
      <c r="AZ16" s="4">
        <f t="shared" si="16"/>
        <v>0</v>
      </c>
      <c r="BA16" s="4"/>
      <c r="BB16" s="4"/>
      <c r="BC16" s="4"/>
      <c r="BD16" s="3"/>
      <c r="BE16" s="14"/>
    </row>
    <row r="17" spans="1:57" s="5" customFormat="1" ht="19.95" customHeight="1">
      <c r="A17" s="3">
        <f t="shared" si="10"/>
        <v>11</v>
      </c>
      <c r="B17" s="3">
        <v>1100</v>
      </c>
      <c r="C17" s="3" t="s">
        <v>17</v>
      </c>
      <c r="D17" s="4">
        <v>7000000</v>
      </c>
      <c r="E17" s="4">
        <v>7000000</v>
      </c>
      <c r="F17" s="4">
        <f t="shared" si="0"/>
        <v>0</v>
      </c>
      <c r="G17" s="4">
        <v>5600000</v>
      </c>
      <c r="H17" s="4">
        <v>2706855.1</v>
      </c>
      <c r="I17" s="4">
        <v>2159838.63</v>
      </c>
      <c r="J17" s="4">
        <v>155452.21</v>
      </c>
      <c r="K17" s="4">
        <f t="shared" si="1"/>
        <v>2315290.84</v>
      </c>
      <c r="L17" s="4">
        <f t="shared" si="2"/>
        <v>5022145.9399999995</v>
      </c>
      <c r="M17" s="4">
        <f>P17+S17</f>
        <v>577854.06000000052</v>
      </c>
      <c r="N17" s="4">
        <v>300000</v>
      </c>
      <c r="O17" s="4">
        <f t="shared" si="3"/>
        <v>1100000</v>
      </c>
      <c r="P17" s="4">
        <f t="shared" si="4"/>
        <v>577854.06000000052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300000</v>
      </c>
      <c r="V17" s="4">
        <f t="shared" si="8"/>
        <v>300000</v>
      </c>
      <c r="W17" s="4"/>
      <c r="X17" s="4"/>
      <c r="Y17" s="4"/>
      <c r="Z17" s="3"/>
      <c r="AA17" s="323" t="s">
        <v>415</v>
      </c>
      <c r="AB17" s="3">
        <v>732000</v>
      </c>
      <c r="AC17" s="483"/>
      <c r="AD17" s="4"/>
      <c r="AE17" s="4"/>
      <c r="AF17" s="4">
        <v>150000</v>
      </c>
      <c r="AG17" s="4"/>
      <c r="AH17" s="4"/>
      <c r="AI17" s="4"/>
      <c r="AJ17" s="4">
        <v>150000</v>
      </c>
      <c r="AK17" s="4"/>
      <c r="AL17" s="4">
        <f t="shared" si="9"/>
        <v>300000</v>
      </c>
      <c r="AM17" s="4"/>
      <c r="AN17" s="4">
        <f t="shared" si="11"/>
        <v>300000</v>
      </c>
      <c r="AO17" s="4">
        <f t="shared" si="12"/>
        <v>0</v>
      </c>
      <c r="AP17" s="4">
        <f t="shared" si="13"/>
        <v>300000</v>
      </c>
      <c r="AQ17" s="4"/>
      <c r="AR17" s="4"/>
      <c r="AS17" s="4"/>
      <c r="AT17" s="4"/>
      <c r="AU17" s="4">
        <f t="shared" si="14"/>
        <v>0</v>
      </c>
      <c r="AV17" s="4">
        <f t="shared" si="15"/>
        <v>0</v>
      </c>
      <c r="AW17" s="4"/>
      <c r="AX17" s="4"/>
      <c r="AY17" s="4"/>
      <c r="AZ17" s="4">
        <f t="shared" si="16"/>
        <v>0</v>
      </c>
      <c r="BA17" s="4"/>
      <c r="BB17" s="4"/>
      <c r="BC17" s="4"/>
      <c r="BD17" s="3"/>
      <c r="BE17" s="14"/>
    </row>
    <row r="18" spans="1:57" s="6" customFormat="1" ht="19.95" customHeight="1">
      <c r="A18" s="3">
        <f t="shared" si="10"/>
        <v>12</v>
      </c>
      <c r="B18" s="3">
        <v>1129</v>
      </c>
      <c r="C18" s="3" t="s">
        <v>35</v>
      </c>
      <c r="D18" s="4">
        <v>7000000</v>
      </c>
      <c r="E18" s="4">
        <v>7000000</v>
      </c>
      <c r="F18" s="4">
        <f t="shared" si="0"/>
        <v>0</v>
      </c>
      <c r="G18" s="4">
        <v>5991771</v>
      </c>
      <c r="H18" s="4">
        <v>5044953.63</v>
      </c>
      <c r="I18" s="4"/>
      <c r="J18" s="4">
        <v>55293.760000000002</v>
      </c>
      <c r="K18" s="4">
        <f t="shared" si="1"/>
        <v>55293.760000000002</v>
      </c>
      <c r="L18" s="4">
        <f t="shared" si="2"/>
        <v>5100247.3899999997</v>
      </c>
      <c r="M18" s="4">
        <f>P18+S18-750000</f>
        <v>141523.61000000034</v>
      </c>
      <c r="N18" s="4">
        <v>750000</v>
      </c>
      <c r="O18" s="4">
        <f t="shared" si="3"/>
        <v>1008229</v>
      </c>
      <c r="P18" s="4">
        <f t="shared" si="4"/>
        <v>891523.61000000034</v>
      </c>
      <c r="Q18" s="4"/>
      <c r="R18" s="4"/>
      <c r="S18" s="4">
        <f t="shared" si="5"/>
        <v>0</v>
      </c>
      <c r="T18" s="4">
        <f t="shared" si="6"/>
        <v>750000</v>
      </c>
      <c r="U18" s="4">
        <f t="shared" si="7"/>
        <v>0</v>
      </c>
      <c r="V18" s="4">
        <f t="shared" si="8"/>
        <v>0</v>
      </c>
      <c r="W18" s="4"/>
      <c r="X18" s="4"/>
      <c r="Y18" s="4"/>
      <c r="Z18" s="3"/>
      <c r="AA18" s="323" t="s">
        <v>670</v>
      </c>
      <c r="AB18" s="3">
        <v>742000</v>
      </c>
      <c r="AC18" s="483"/>
      <c r="AD18" s="4"/>
      <c r="AE18" s="4"/>
      <c r="AF18" s="4"/>
      <c r="AG18" s="4"/>
      <c r="AH18" s="4"/>
      <c r="AI18" s="4"/>
      <c r="AJ18" s="4"/>
      <c r="AK18" s="4"/>
      <c r="AL18" s="4">
        <f t="shared" si="9"/>
        <v>0</v>
      </c>
      <c r="AM18" s="4"/>
      <c r="AN18" s="4">
        <f t="shared" si="11"/>
        <v>0</v>
      </c>
      <c r="AO18" s="4">
        <f t="shared" si="12"/>
        <v>0</v>
      </c>
      <c r="AP18" s="4">
        <f t="shared" si="13"/>
        <v>0</v>
      </c>
      <c r="AQ18" s="4"/>
      <c r="AR18" s="4"/>
      <c r="AS18" s="4"/>
      <c r="AT18" s="4"/>
      <c r="AU18" s="4">
        <f t="shared" si="14"/>
        <v>0</v>
      </c>
      <c r="AV18" s="4">
        <f t="shared" si="15"/>
        <v>0</v>
      </c>
      <c r="AW18" s="4"/>
      <c r="AX18" s="4"/>
      <c r="AY18" s="4"/>
      <c r="AZ18" s="4">
        <f t="shared" si="16"/>
        <v>0</v>
      </c>
      <c r="BA18" s="4"/>
      <c r="BB18" s="4"/>
      <c r="BC18" s="4"/>
      <c r="BD18" s="3"/>
      <c r="BE18" s="14"/>
    </row>
    <row r="19" spans="1:57" s="5" customFormat="1" ht="19.95" customHeight="1">
      <c r="A19" s="3">
        <f>A18+1</f>
        <v>13</v>
      </c>
      <c r="B19" s="3">
        <v>1220</v>
      </c>
      <c r="C19" s="3" t="s">
        <v>37</v>
      </c>
      <c r="D19" s="4">
        <v>7000000</v>
      </c>
      <c r="E19" s="4">
        <v>7000000</v>
      </c>
      <c r="F19" s="4">
        <f t="shared" si="0"/>
        <v>0</v>
      </c>
      <c r="G19" s="4">
        <v>5600000</v>
      </c>
      <c r="H19" s="4">
        <v>4415045</v>
      </c>
      <c r="I19" s="4">
        <v>45396</v>
      </c>
      <c r="J19" s="4">
        <v>548104</v>
      </c>
      <c r="K19" s="4">
        <f t="shared" si="1"/>
        <v>593500</v>
      </c>
      <c r="L19" s="4">
        <f t="shared" si="2"/>
        <v>5008545</v>
      </c>
      <c r="M19" s="4">
        <f>P19+S19</f>
        <v>591455</v>
      </c>
      <c r="N19" s="4">
        <f>400000+300000</f>
        <v>700000</v>
      </c>
      <c r="O19" s="4">
        <f t="shared" si="3"/>
        <v>700000</v>
      </c>
      <c r="P19" s="4">
        <f t="shared" si="4"/>
        <v>591455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700000</v>
      </c>
      <c r="V19" s="4">
        <f t="shared" si="8"/>
        <v>700000</v>
      </c>
      <c r="W19" s="4"/>
      <c r="X19" s="4"/>
      <c r="Y19" s="4"/>
      <c r="Z19" s="3"/>
      <c r="AA19" s="323" t="s">
        <v>671</v>
      </c>
      <c r="AB19" s="3">
        <v>732000</v>
      </c>
      <c r="AC19" s="483"/>
      <c r="AD19" s="4"/>
      <c r="AE19" s="4"/>
      <c r="AF19" s="4"/>
      <c r="AG19" s="4"/>
      <c r="AH19" s="4"/>
      <c r="AI19" s="4"/>
      <c r="AJ19" s="4"/>
      <c r="AK19" s="4"/>
      <c r="AL19" s="4">
        <f t="shared" si="9"/>
        <v>0</v>
      </c>
      <c r="AM19" s="4"/>
      <c r="AN19" s="4">
        <f t="shared" si="11"/>
        <v>0</v>
      </c>
      <c r="AO19" s="4">
        <f t="shared" si="12"/>
        <v>700000</v>
      </c>
      <c r="AP19" s="4">
        <f t="shared" si="13"/>
        <v>0</v>
      </c>
      <c r="AQ19" s="4"/>
      <c r="AR19" s="4"/>
      <c r="AS19" s="4"/>
      <c r="AT19" s="4"/>
      <c r="AU19" s="4">
        <f t="shared" si="14"/>
        <v>0</v>
      </c>
      <c r="AV19" s="4">
        <f t="shared" si="15"/>
        <v>0</v>
      </c>
      <c r="AW19" s="4"/>
      <c r="AX19" s="4"/>
      <c r="AY19" s="4"/>
      <c r="AZ19" s="4">
        <f t="shared" si="16"/>
        <v>700000</v>
      </c>
      <c r="BA19" s="4"/>
      <c r="BB19" s="4"/>
      <c r="BC19" s="4"/>
      <c r="BD19" s="3"/>
      <c r="BE19" s="14"/>
    </row>
    <row r="20" spans="1:57" s="5" customFormat="1" ht="27.6">
      <c r="A20" s="3">
        <f t="shared" si="10"/>
        <v>14</v>
      </c>
      <c r="B20" s="3">
        <v>1314</v>
      </c>
      <c r="C20" s="3" t="s">
        <v>936</v>
      </c>
      <c r="D20" s="4">
        <f>3500000-300000</f>
        <v>3200000</v>
      </c>
      <c r="E20" s="4">
        <v>3200000</v>
      </c>
      <c r="F20" s="4">
        <f t="shared" si="0"/>
        <v>0</v>
      </c>
      <c r="G20" s="4">
        <v>400000</v>
      </c>
      <c r="H20" s="4">
        <v>359314.49</v>
      </c>
      <c r="I20" s="4"/>
      <c r="J20" s="4"/>
      <c r="K20" s="4">
        <f t="shared" si="1"/>
        <v>0</v>
      </c>
      <c r="L20" s="4">
        <f t="shared" si="2"/>
        <v>359314.49</v>
      </c>
      <c r="M20" s="4">
        <f>P20+S20</f>
        <v>40685.510000000009</v>
      </c>
      <c r="N20" s="4">
        <f>100000+150000</f>
        <v>250000</v>
      </c>
      <c r="O20" s="4">
        <f t="shared" si="3"/>
        <v>2550000</v>
      </c>
      <c r="P20" s="4">
        <f t="shared" si="4"/>
        <v>40685.510000000009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250000</v>
      </c>
      <c r="V20" s="4">
        <f t="shared" si="8"/>
        <v>250000</v>
      </c>
      <c r="W20" s="4"/>
      <c r="X20" s="4"/>
      <c r="Y20" s="4"/>
      <c r="Z20" s="3"/>
      <c r="AA20" s="323" t="s">
        <v>712</v>
      </c>
      <c r="AB20" s="3">
        <v>742000</v>
      </c>
      <c r="AC20" s="483"/>
      <c r="AD20" s="4"/>
      <c r="AE20" s="4"/>
      <c r="AF20" s="4"/>
      <c r="AG20" s="4"/>
      <c r="AH20" s="4"/>
      <c r="AI20" s="4"/>
      <c r="AJ20" s="4"/>
      <c r="AK20" s="4"/>
      <c r="AL20" s="4">
        <f t="shared" si="9"/>
        <v>0</v>
      </c>
      <c r="AM20" s="4"/>
      <c r="AN20" s="4">
        <f t="shared" si="11"/>
        <v>0</v>
      </c>
      <c r="AO20" s="4">
        <f t="shared" si="12"/>
        <v>250000</v>
      </c>
      <c r="AP20" s="4">
        <f t="shared" si="13"/>
        <v>0</v>
      </c>
      <c r="AQ20" s="4"/>
      <c r="AR20" s="4"/>
      <c r="AS20" s="4"/>
      <c r="AT20" s="4"/>
      <c r="AU20" s="4">
        <f t="shared" si="14"/>
        <v>0</v>
      </c>
      <c r="AV20" s="4">
        <f t="shared" si="15"/>
        <v>0</v>
      </c>
      <c r="AW20" s="4"/>
      <c r="AX20" s="4"/>
      <c r="AY20" s="4"/>
      <c r="AZ20" s="4">
        <f t="shared" si="16"/>
        <v>250000</v>
      </c>
      <c r="BA20" s="4"/>
      <c r="BB20" s="4"/>
      <c r="BC20" s="4"/>
      <c r="BD20" s="3"/>
      <c r="BE20" s="14"/>
    </row>
    <row r="21" spans="1:57" s="6" customFormat="1" ht="19.95" customHeight="1">
      <c r="A21" s="3">
        <f t="shared" si="10"/>
        <v>15</v>
      </c>
      <c r="B21" s="3">
        <v>1320</v>
      </c>
      <c r="C21" s="3" t="s">
        <v>52</v>
      </c>
      <c r="D21" s="4">
        <v>23500000</v>
      </c>
      <c r="E21" s="4">
        <v>23500000</v>
      </c>
      <c r="F21" s="4">
        <f t="shared" si="0"/>
        <v>0</v>
      </c>
      <c r="G21" s="4">
        <v>21550000</v>
      </c>
      <c r="H21" s="4">
        <v>21339439.079999998</v>
      </c>
      <c r="I21" s="4">
        <v>204226.2</v>
      </c>
      <c r="J21" s="4"/>
      <c r="K21" s="4">
        <f t="shared" si="1"/>
        <v>204226.2</v>
      </c>
      <c r="L21" s="4">
        <f t="shared" si="2"/>
        <v>21543665.279999997</v>
      </c>
      <c r="M21" s="4">
        <f>P21+S21</f>
        <v>6334.7200000025332</v>
      </c>
      <c r="N21" s="4">
        <f>1800000-1800000</f>
        <v>0</v>
      </c>
      <c r="O21" s="4">
        <f t="shared" si="3"/>
        <v>1950000</v>
      </c>
      <c r="P21" s="4">
        <f t="shared" si="4"/>
        <v>6334.7200000025332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0</v>
      </c>
      <c r="V21" s="4">
        <f t="shared" si="8"/>
        <v>0</v>
      </c>
      <c r="W21" s="4"/>
      <c r="X21" s="4"/>
      <c r="Y21" s="4"/>
      <c r="Z21" s="3"/>
      <c r="AA21" s="323"/>
      <c r="AB21" s="3">
        <v>746000</v>
      </c>
      <c r="AC21" s="483"/>
      <c r="AD21" s="4"/>
      <c r="AE21" s="4"/>
      <c r="AF21" s="4"/>
      <c r="AG21" s="4"/>
      <c r="AH21" s="4"/>
      <c r="AI21" s="4"/>
      <c r="AJ21" s="4"/>
      <c r="AK21" s="4"/>
      <c r="AL21" s="4">
        <f t="shared" si="9"/>
        <v>0</v>
      </c>
      <c r="AM21" s="4"/>
      <c r="AN21" s="4">
        <f t="shared" si="11"/>
        <v>0</v>
      </c>
      <c r="AO21" s="4">
        <f t="shared" si="12"/>
        <v>0</v>
      </c>
      <c r="AP21" s="4">
        <f t="shared" si="13"/>
        <v>0</v>
      </c>
      <c r="AQ21" s="4"/>
      <c r="AR21" s="4"/>
      <c r="AS21" s="4"/>
      <c r="AT21" s="4"/>
      <c r="AU21" s="4">
        <f t="shared" si="14"/>
        <v>0</v>
      </c>
      <c r="AV21" s="4">
        <f t="shared" si="15"/>
        <v>0</v>
      </c>
      <c r="AW21" s="4"/>
      <c r="AX21" s="4"/>
      <c r="AY21" s="4"/>
      <c r="AZ21" s="4">
        <f t="shared" si="16"/>
        <v>0</v>
      </c>
      <c r="BA21" s="4"/>
      <c r="BB21" s="4"/>
      <c r="BC21" s="4"/>
      <c r="BD21" s="3"/>
      <c r="BE21" s="14"/>
    </row>
    <row r="22" spans="1:57" s="5" customFormat="1" ht="19.95" customHeight="1">
      <c r="A22" s="3">
        <f t="shared" si="10"/>
        <v>16</v>
      </c>
      <c r="B22" s="3">
        <v>1322</v>
      </c>
      <c r="C22" s="3" t="s">
        <v>937</v>
      </c>
      <c r="D22" s="4">
        <v>18500000</v>
      </c>
      <c r="E22" s="4">
        <v>18500000</v>
      </c>
      <c r="F22" s="4">
        <f t="shared" si="0"/>
        <v>0</v>
      </c>
      <c r="G22" s="4">
        <f>11400000-350000</f>
        <v>11050000</v>
      </c>
      <c r="H22" s="4">
        <v>9625168.5899999999</v>
      </c>
      <c r="I22" s="4">
        <v>92414.99</v>
      </c>
      <c r="J22" s="4"/>
      <c r="K22" s="4">
        <f t="shared" si="1"/>
        <v>92414.99</v>
      </c>
      <c r="L22" s="4">
        <f t="shared" si="2"/>
        <v>9717583.5800000001</v>
      </c>
      <c r="M22" s="4">
        <f>P22+S22-1200000</f>
        <v>132416.41999999993</v>
      </c>
      <c r="N22" s="4">
        <f>4000000-3000000</f>
        <v>1000000</v>
      </c>
      <c r="O22" s="4">
        <f t="shared" si="3"/>
        <v>7650000</v>
      </c>
      <c r="P22" s="4">
        <f t="shared" si="4"/>
        <v>1332416.42</v>
      </c>
      <c r="Q22" s="4"/>
      <c r="R22" s="4"/>
      <c r="S22" s="4">
        <f t="shared" si="5"/>
        <v>0</v>
      </c>
      <c r="T22" s="4">
        <f t="shared" si="6"/>
        <v>1200000</v>
      </c>
      <c r="U22" s="4">
        <f t="shared" si="7"/>
        <v>-200000</v>
      </c>
      <c r="V22" s="4">
        <f t="shared" si="8"/>
        <v>-200000</v>
      </c>
      <c r="W22" s="4"/>
      <c r="X22" s="4"/>
      <c r="Y22" s="4"/>
      <c r="Z22" s="3"/>
      <c r="AA22" s="323" t="s">
        <v>416</v>
      </c>
      <c r="AB22" s="3">
        <v>742000</v>
      </c>
      <c r="AC22" s="483"/>
      <c r="AD22" s="4"/>
      <c r="AE22" s="4"/>
      <c r="AF22" s="4">
        <v>-200000</v>
      </c>
      <c r="AG22" s="4"/>
      <c r="AH22" s="4"/>
      <c r="AI22" s="4"/>
      <c r="AJ22" s="4"/>
      <c r="AK22" s="4"/>
      <c r="AL22" s="4">
        <f t="shared" si="9"/>
        <v>-200000</v>
      </c>
      <c r="AM22" s="4"/>
      <c r="AN22" s="4">
        <f t="shared" si="11"/>
        <v>-200000</v>
      </c>
      <c r="AO22" s="4">
        <f t="shared" si="12"/>
        <v>0</v>
      </c>
      <c r="AP22" s="4">
        <f t="shared" si="13"/>
        <v>-200000</v>
      </c>
      <c r="AQ22" s="4"/>
      <c r="AR22" s="4"/>
      <c r="AS22" s="4"/>
      <c r="AT22" s="4"/>
      <c r="AU22" s="4">
        <f t="shared" si="14"/>
        <v>0</v>
      </c>
      <c r="AV22" s="4">
        <f t="shared" si="15"/>
        <v>0</v>
      </c>
      <c r="AW22" s="4"/>
      <c r="AX22" s="4"/>
      <c r="AY22" s="4"/>
      <c r="AZ22" s="4">
        <f t="shared" si="16"/>
        <v>0</v>
      </c>
      <c r="BA22" s="4"/>
      <c r="BB22" s="4"/>
      <c r="BC22" s="4"/>
      <c r="BD22" s="3"/>
      <c r="BE22" s="14"/>
    </row>
    <row r="23" spans="1:57" s="5" customFormat="1" ht="19.95" customHeight="1">
      <c r="A23" s="3">
        <f t="shared" si="10"/>
        <v>17</v>
      </c>
      <c r="B23" s="3">
        <v>1324</v>
      </c>
      <c r="C23" s="3" t="s">
        <v>53</v>
      </c>
      <c r="D23" s="4">
        <v>180000</v>
      </c>
      <c r="E23" s="4">
        <v>180000</v>
      </c>
      <c r="F23" s="4">
        <f t="shared" si="0"/>
        <v>0</v>
      </c>
      <c r="G23" s="4">
        <v>180000</v>
      </c>
      <c r="H23" s="4">
        <v>120629.48</v>
      </c>
      <c r="I23" s="4"/>
      <c r="J23" s="4">
        <v>56544</v>
      </c>
      <c r="K23" s="4">
        <f t="shared" si="1"/>
        <v>56544</v>
      </c>
      <c r="L23" s="4">
        <f t="shared" si="2"/>
        <v>177173.47999999998</v>
      </c>
      <c r="M23" s="4">
        <f>P23+S23</f>
        <v>2826.5200000000186</v>
      </c>
      <c r="N23" s="4"/>
      <c r="O23" s="4">
        <f t="shared" si="3"/>
        <v>0</v>
      </c>
      <c r="P23" s="4">
        <f t="shared" si="4"/>
        <v>2826.5200000000186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4">
        <f t="shared" si="8"/>
        <v>0</v>
      </c>
      <c r="W23" s="4"/>
      <c r="X23" s="4"/>
      <c r="Y23" s="4"/>
      <c r="Z23" s="3"/>
      <c r="AA23" s="323"/>
      <c r="AB23" s="3">
        <v>742000</v>
      </c>
      <c r="AC23" s="483"/>
      <c r="AD23" s="4"/>
      <c r="AE23" s="4"/>
      <c r="AF23" s="4"/>
      <c r="AG23" s="4"/>
      <c r="AH23" s="4"/>
      <c r="AI23" s="4"/>
      <c r="AJ23" s="4"/>
      <c r="AK23" s="4"/>
      <c r="AL23" s="4">
        <f t="shared" si="9"/>
        <v>0</v>
      </c>
      <c r="AM23" s="4"/>
      <c r="AN23" s="4">
        <f t="shared" si="11"/>
        <v>0</v>
      </c>
      <c r="AO23" s="4">
        <f t="shared" si="12"/>
        <v>0</v>
      </c>
      <c r="AP23" s="4">
        <f t="shared" si="13"/>
        <v>0</v>
      </c>
      <c r="AQ23" s="4"/>
      <c r="AR23" s="4"/>
      <c r="AS23" s="4"/>
      <c r="AT23" s="4"/>
      <c r="AU23" s="4">
        <f t="shared" si="14"/>
        <v>0</v>
      </c>
      <c r="AV23" s="4">
        <f t="shared" si="15"/>
        <v>0</v>
      </c>
      <c r="AW23" s="4"/>
      <c r="AX23" s="4"/>
      <c r="AY23" s="4"/>
      <c r="AZ23" s="4">
        <f t="shared" si="16"/>
        <v>0</v>
      </c>
      <c r="BA23" s="4"/>
      <c r="BB23" s="4"/>
      <c r="BC23" s="4"/>
      <c r="BD23" s="3"/>
      <c r="BE23" s="14"/>
    </row>
    <row r="24" spans="1:57" s="5" customFormat="1" ht="19.95" customHeight="1">
      <c r="A24" s="3">
        <f>A23+1</f>
        <v>18</v>
      </c>
      <c r="B24" s="3">
        <v>1357</v>
      </c>
      <c r="C24" s="3" t="s">
        <v>938</v>
      </c>
      <c r="D24" s="4">
        <v>25000000</v>
      </c>
      <c r="E24" s="4">
        <v>25000000</v>
      </c>
      <c r="F24" s="4">
        <f t="shared" si="0"/>
        <v>0</v>
      </c>
      <c r="G24" s="4">
        <v>12612000</v>
      </c>
      <c r="H24" s="4">
        <v>12420746.140000001</v>
      </c>
      <c r="I24" s="4">
        <v>118498.13</v>
      </c>
      <c r="J24" s="4"/>
      <c r="K24" s="4">
        <f t="shared" si="1"/>
        <v>118498.13</v>
      </c>
      <c r="L24" s="4">
        <f t="shared" si="2"/>
        <v>12539244.270000001</v>
      </c>
      <c r="M24" s="4">
        <f>P24+S24</f>
        <v>72755.729999998584</v>
      </c>
      <c r="N24" s="4">
        <f>6500000-6500000</f>
        <v>0</v>
      </c>
      <c r="O24" s="4">
        <f t="shared" si="3"/>
        <v>12388000</v>
      </c>
      <c r="P24" s="4">
        <f t="shared" si="4"/>
        <v>72755.729999998584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0</v>
      </c>
      <c r="V24" s="4">
        <f t="shared" si="8"/>
        <v>0</v>
      </c>
      <c r="W24" s="4"/>
      <c r="X24" s="4"/>
      <c r="Y24" s="4"/>
      <c r="Z24" s="3"/>
      <c r="AA24" s="323"/>
      <c r="AB24" s="3">
        <v>829000</v>
      </c>
      <c r="AC24" s="483"/>
      <c r="AD24" s="4"/>
      <c r="AE24" s="4"/>
      <c r="AF24" s="4"/>
      <c r="AG24" s="4"/>
      <c r="AH24" s="4"/>
      <c r="AI24" s="4"/>
      <c r="AJ24" s="4"/>
      <c r="AK24" s="4"/>
      <c r="AL24" s="4">
        <f t="shared" si="9"/>
        <v>0</v>
      </c>
      <c r="AM24" s="4"/>
      <c r="AN24" s="4">
        <f t="shared" si="11"/>
        <v>0</v>
      </c>
      <c r="AO24" s="4">
        <f t="shared" si="12"/>
        <v>0</v>
      </c>
      <c r="AP24" s="4">
        <f t="shared" si="13"/>
        <v>0</v>
      </c>
      <c r="AQ24" s="4"/>
      <c r="AR24" s="4"/>
      <c r="AS24" s="4"/>
      <c r="AT24" s="4"/>
      <c r="AU24" s="4">
        <f t="shared" si="14"/>
        <v>0</v>
      </c>
      <c r="AV24" s="4">
        <f t="shared" si="15"/>
        <v>0</v>
      </c>
      <c r="AW24" s="4"/>
      <c r="AX24" s="4"/>
      <c r="AY24" s="4"/>
      <c r="AZ24" s="4">
        <f t="shared" si="16"/>
        <v>0</v>
      </c>
      <c r="BA24" s="4"/>
      <c r="BB24" s="4"/>
      <c r="BC24" s="4"/>
      <c r="BD24" s="3"/>
      <c r="BE24" s="14"/>
    </row>
    <row r="25" spans="1:57" s="5" customFormat="1" ht="19.95" customHeight="1">
      <c r="A25" s="3">
        <f t="shared" si="10"/>
        <v>19</v>
      </c>
      <c r="B25" s="3">
        <v>1363</v>
      </c>
      <c r="C25" s="3" t="s">
        <v>40</v>
      </c>
      <c r="D25" s="4">
        <v>15500000</v>
      </c>
      <c r="E25" s="4">
        <v>15500000</v>
      </c>
      <c r="F25" s="4">
        <f t="shared" si="0"/>
        <v>0</v>
      </c>
      <c r="G25" s="4">
        <v>6050000</v>
      </c>
      <c r="H25" s="4">
        <v>898457</v>
      </c>
      <c r="I25" s="4">
        <v>91890.9</v>
      </c>
      <c r="J25" s="4">
        <v>402974</v>
      </c>
      <c r="K25" s="4">
        <f t="shared" si="1"/>
        <v>494864.9</v>
      </c>
      <c r="L25" s="4">
        <f t="shared" si="2"/>
        <v>1393321.9</v>
      </c>
      <c r="M25" s="4">
        <f>P25+S25-4000000</f>
        <v>656678.09999999963</v>
      </c>
      <c r="N25" s="4">
        <v>6000000</v>
      </c>
      <c r="O25" s="4">
        <f t="shared" si="3"/>
        <v>7450000</v>
      </c>
      <c r="P25" s="4">
        <f t="shared" si="4"/>
        <v>4656678.0999999996</v>
      </c>
      <c r="Q25" s="4"/>
      <c r="R25" s="4"/>
      <c r="S25" s="4">
        <f t="shared" si="5"/>
        <v>0</v>
      </c>
      <c r="T25" s="4">
        <f t="shared" si="6"/>
        <v>4000000</v>
      </c>
      <c r="U25" s="4">
        <f t="shared" si="7"/>
        <v>2000000</v>
      </c>
      <c r="V25" s="4">
        <f t="shared" si="8"/>
        <v>2000000</v>
      </c>
      <c r="W25" s="4"/>
      <c r="X25" s="4"/>
      <c r="Y25" s="4"/>
      <c r="Z25" s="3"/>
      <c r="AA25" s="323" t="s">
        <v>715</v>
      </c>
      <c r="AB25" s="3">
        <v>742000</v>
      </c>
      <c r="AC25" s="483"/>
      <c r="AD25" s="4"/>
      <c r="AE25" s="4"/>
      <c r="AF25" s="4"/>
      <c r="AG25" s="4"/>
      <c r="AH25" s="4"/>
      <c r="AI25" s="4"/>
      <c r="AJ25" s="4"/>
      <c r="AK25" s="4">
        <v>2000000</v>
      </c>
      <c r="AL25" s="4">
        <f t="shared" si="9"/>
        <v>2000000</v>
      </c>
      <c r="AM25" s="4"/>
      <c r="AN25" s="4">
        <f t="shared" si="11"/>
        <v>2000000</v>
      </c>
      <c r="AO25" s="4">
        <f t="shared" si="12"/>
        <v>0</v>
      </c>
      <c r="AP25" s="4">
        <f t="shared" si="13"/>
        <v>2000000</v>
      </c>
      <c r="AQ25" s="4"/>
      <c r="AR25" s="4"/>
      <c r="AS25" s="4"/>
      <c r="AT25" s="4"/>
      <c r="AU25" s="4">
        <f t="shared" si="14"/>
        <v>0</v>
      </c>
      <c r="AV25" s="4">
        <f t="shared" si="15"/>
        <v>0</v>
      </c>
      <c r="AW25" s="4"/>
      <c r="AX25" s="4"/>
      <c r="AY25" s="4"/>
      <c r="AZ25" s="4">
        <f t="shared" si="16"/>
        <v>0</v>
      </c>
      <c r="BA25" s="4"/>
      <c r="BB25" s="4"/>
      <c r="BC25" s="4"/>
      <c r="BD25" s="3"/>
      <c r="BE25" s="14"/>
    </row>
    <row r="26" spans="1:57" s="6" customFormat="1" ht="19.95" customHeight="1">
      <c r="A26" s="3">
        <f t="shared" si="10"/>
        <v>20</v>
      </c>
      <c r="B26" s="3">
        <v>1366</v>
      </c>
      <c r="C26" s="3" t="s">
        <v>41</v>
      </c>
      <c r="D26" s="4">
        <v>1500000</v>
      </c>
      <c r="E26" s="4">
        <v>1500000</v>
      </c>
      <c r="F26" s="4">
        <f t="shared" si="0"/>
        <v>0</v>
      </c>
      <c r="G26" s="4">
        <v>916000</v>
      </c>
      <c r="H26" s="4">
        <v>738983</v>
      </c>
      <c r="I26" s="4"/>
      <c r="J26" s="4">
        <v>7821</v>
      </c>
      <c r="K26" s="4">
        <f t="shared" si="1"/>
        <v>7821</v>
      </c>
      <c r="L26" s="4">
        <f t="shared" si="2"/>
        <v>746804</v>
      </c>
      <c r="M26" s="4">
        <f>P26+S26-70000</f>
        <v>99196</v>
      </c>
      <c r="N26" s="4"/>
      <c r="O26" s="4">
        <f t="shared" si="3"/>
        <v>654000</v>
      </c>
      <c r="P26" s="4">
        <f t="shared" si="4"/>
        <v>169196</v>
      </c>
      <c r="Q26" s="4"/>
      <c r="R26" s="4"/>
      <c r="S26" s="4">
        <f t="shared" si="5"/>
        <v>0</v>
      </c>
      <c r="T26" s="4">
        <f t="shared" si="6"/>
        <v>70000</v>
      </c>
      <c r="U26" s="4">
        <f t="shared" si="7"/>
        <v>-70000</v>
      </c>
      <c r="V26" s="4">
        <f t="shared" si="8"/>
        <v>-70000</v>
      </c>
      <c r="W26" s="4"/>
      <c r="X26" s="4"/>
      <c r="Y26" s="4"/>
      <c r="Z26" s="3"/>
      <c r="AA26" s="323" t="s">
        <v>716</v>
      </c>
      <c r="AB26" s="3">
        <v>742000</v>
      </c>
      <c r="AC26" s="483"/>
      <c r="AD26" s="4"/>
      <c r="AE26" s="4"/>
      <c r="AF26" s="4">
        <v>-70000</v>
      </c>
      <c r="AG26" s="4"/>
      <c r="AH26" s="4"/>
      <c r="AI26" s="4"/>
      <c r="AJ26" s="4"/>
      <c r="AK26" s="4"/>
      <c r="AL26" s="4">
        <f t="shared" si="9"/>
        <v>-70000</v>
      </c>
      <c r="AM26" s="4"/>
      <c r="AN26" s="4">
        <f t="shared" si="11"/>
        <v>-70000</v>
      </c>
      <c r="AO26" s="4">
        <f t="shared" si="12"/>
        <v>0</v>
      </c>
      <c r="AP26" s="4">
        <f t="shared" si="13"/>
        <v>-70000</v>
      </c>
      <c r="AQ26" s="4"/>
      <c r="AR26" s="4"/>
      <c r="AS26" s="4"/>
      <c r="AT26" s="4"/>
      <c r="AU26" s="4">
        <f t="shared" si="14"/>
        <v>0</v>
      </c>
      <c r="AV26" s="4">
        <f t="shared" si="15"/>
        <v>0</v>
      </c>
      <c r="AW26" s="4"/>
      <c r="AX26" s="4"/>
      <c r="AY26" s="4"/>
      <c r="AZ26" s="4">
        <f t="shared" si="16"/>
        <v>0</v>
      </c>
      <c r="BA26" s="4"/>
      <c r="BB26" s="4"/>
      <c r="BC26" s="4"/>
      <c r="BD26" s="3"/>
      <c r="BE26" s="14"/>
    </row>
    <row r="27" spans="1:57" s="6" customFormat="1" ht="19.95" customHeight="1">
      <c r="A27" s="3">
        <f t="shared" si="10"/>
        <v>21</v>
      </c>
      <c r="B27" s="3">
        <v>1406</v>
      </c>
      <c r="C27" s="3" t="s">
        <v>152</v>
      </c>
      <c r="D27" s="4">
        <f>1400000+250000-350000</f>
        <v>1300000</v>
      </c>
      <c r="E27" s="4">
        <v>1300000</v>
      </c>
      <c r="F27" s="4">
        <f t="shared" si="0"/>
        <v>0</v>
      </c>
      <c r="G27" s="4">
        <f>1000000+300000</f>
        <v>1300000</v>
      </c>
      <c r="H27" s="4">
        <v>694328</v>
      </c>
      <c r="I27" s="4">
        <v>126373</v>
      </c>
      <c r="J27" s="4">
        <v>12432.48</v>
      </c>
      <c r="K27" s="4">
        <f t="shared" si="1"/>
        <v>138805.48000000001</v>
      </c>
      <c r="L27" s="4">
        <f t="shared" si="2"/>
        <v>833133.48</v>
      </c>
      <c r="M27" s="4">
        <f>P27+S27</f>
        <v>466866.52</v>
      </c>
      <c r="N27" s="4"/>
      <c r="O27" s="4">
        <f t="shared" si="3"/>
        <v>0</v>
      </c>
      <c r="P27" s="4">
        <f t="shared" si="4"/>
        <v>466866.52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0</v>
      </c>
      <c r="V27" s="4">
        <f t="shared" si="8"/>
        <v>0</v>
      </c>
      <c r="W27" s="4"/>
      <c r="X27" s="4"/>
      <c r="Y27" s="4"/>
      <c r="Z27" s="3"/>
      <c r="AA27" s="323" t="s">
        <v>672</v>
      </c>
      <c r="AB27" s="3">
        <v>732000</v>
      </c>
      <c r="AC27" s="483"/>
      <c r="AD27" s="4"/>
      <c r="AE27" s="4"/>
      <c r="AF27" s="4"/>
      <c r="AG27" s="4"/>
      <c r="AH27" s="4"/>
      <c r="AI27" s="4"/>
      <c r="AJ27" s="4"/>
      <c r="AK27" s="4"/>
      <c r="AL27" s="4">
        <f t="shared" si="9"/>
        <v>0</v>
      </c>
      <c r="AM27" s="4"/>
      <c r="AN27" s="4">
        <f t="shared" si="11"/>
        <v>0</v>
      </c>
      <c r="AO27" s="4">
        <f t="shared" si="12"/>
        <v>0</v>
      </c>
      <c r="AP27" s="4">
        <f t="shared" si="13"/>
        <v>0</v>
      </c>
      <c r="AQ27" s="4"/>
      <c r="AR27" s="4"/>
      <c r="AS27" s="4"/>
      <c r="AT27" s="4"/>
      <c r="AU27" s="4">
        <f t="shared" si="14"/>
        <v>0</v>
      </c>
      <c r="AV27" s="4">
        <f t="shared" si="15"/>
        <v>0</v>
      </c>
      <c r="AW27" s="4"/>
      <c r="AX27" s="4"/>
      <c r="AY27" s="4"/>
      <c r="AZ27" s="4">
        <f t="shared" si="16"/>
        <v>0</v>
      </c>
      <c r="BA27" s="4"/>
      <c r="BB27" s="4"/>
      <c r="BC27" s="4"/>
      <c r="BD27" s="3"/>
      <c r="BE27" s="14"/>
    </row>
    <row r="28" spans="1:57" s="6" customFormat="1" ht="19.95" customHeight="1">
      <c r="A28" s="3">
        <f t="shared" si="10"/>
        <v>22</v>
      </c>
      <c r="B28" s="3">
        <v>1407</v>
      </c>
      <c r="C28" s="3" t="s">
        <v>18</v>
      </c>
      <c r="D28" s="4">
        <f>6395000-1500000</f>
        <v>4895000</v>
      </c>
      <c r="E28" s="4">
        <v>4895000</v>
      </c>
      <c r="F28" s="4">
        <f t="shared" si="0"/>
        <v>0</v>
      </c>
      <c r="G28" s="4">
        <v>3495000</v>
      </c>
      <c r="H28" s="4">
        <v>2371902</v>
      </c>
      <c r="I28" s="4">
        <v>111224.98</v>
      </c>
      <c r="J28" s="4">
        <v>773210</v>
      </c>
      <c r="K28" s="4">
        <f t="shared" si="1"/>
        <v>884434.98</v>
      </c>
      <c r="L28" s="4">
        <f t="shared" si="2"/>
        <v>3256336.98</v>
      </c>
      <c r="M28" s="4">
        <f>P28+S28</f>
        <v>438663.02</v>
      </c>
      <c r="N28" s="4">
        <f>1000000-500000</f>
        <v>500000</v>
      </c>
      <c r="O28" s="4">
        <f t="shared" si="3"/>
        <v>700000</v>
      </c>
      <c r="P28" s="4">
        <f t="shared" si="4"/>
        <v>238663.02000000002</v>
      </c>
      <c r="Q28" s="4">
        <v>200000</v>
      </c>
      <c r="R28" s="4"/>
      <c r="S28" s="4">
        <f t="shared" si="5"/>
        <v>200000</v>
      </c>
      <c r="T28" s="4">
        <f t="shared" si="6"/>
        <v>0</v>
      </c>
      <c r="U28" s="4">
        <f t="shared" si="7"/>
        <v>500000</v>
      </c>
      <c r="V28" s="4">
        <f t="shared" si="8"/>
        <v>500000</v>
      </c>
      <c r="W28" s="4"/>
      <c r="X28" s="4"/>
      <c r="Y28" s="4"/>
      <c r="Z28" s="3"/>
      <c r="AA28" s="323" t="s">
        <v>673</v>
      </c>
      <c r="AB28" s="3">
        <v>732000</v>
      </c>
      <c r="AC28" s="483"/>
      <c r="AD28" s="4"/>
      <c r="AE28" s="4"/>
      <c r="AF28" s="4"/>
      <c r="AG28" s="4"/>
      <c r="AH28" s="4">
        <v>100000</v>
      </c>
      <c r="AI28" s="4"/>
      <c r="AJ28" s="4"/>
      <c r="AK28" s="4"/>
      <c r="AL28" s="4">
        <f t="shared" si="9"/>
        <v>100000</v>
      </c>
      <c r="AM28" s="4"/>
      <c r="AN28" s="4">
        <f t="shared" si="11"/>
        <v>100000</v>
      </c>
      <c r="AO28" s="4">
        <f t="shared" si="12"/>
        <v>400000</v>
      </c>
      <c r="AP28" s="4">
        <f t="shared" si="13"/>
        <v>100000</v>
      </c>
      <c r="AQ28" s="4"/>
      <c r="AR28" s="4"/>
      <c r="AS28" s="4"/>
      <c r="AT28" s="4"/>
      <c r="AU28" s="4">
        <f t="shared" si="14"/>
        <v>0</v>
      </c>
      <c r="AV28" s="4">
        <f t="shared" si="15"/>
        <v>0</v>
      </c>
      <c r="AW28" s="4"/>
      <c r="AX28" s="4"/>
      <c r="AY28" s="4"/>
      <c r="AZ28" s="4">
        <f t="shared" si="16"/>
        <v>400000</v>
      </c>
      <c r="BA28" s="4"/>
      <c r="BB28" s="4"/>
      <c r="BC28" s="4"/>
      <c r="BD28" s="3"/>
      <c r="BE28" s="14"/>
    </row>
    <row r="29" spans="1:57" s="6" customFormat="1" ht="19.95" customHeight="1">
      <c r="A29" s="3">
        <f t="shared" si="10"/>
        <v>23</v>
      </c>
      <c r="B29" s="188">
        <v>1408</v>
      </c>
      <c r="C29" s="188" t="s">
        <v>1331</v>
      </c>
      <c r="D29" s="4">
        <v>1000000</v>
      </c>
      <c r="E29" s="4">
        <v>1000000</v>
      </c>
      <c r="F29" s="4">
        <f t="shared" si="0"/>
        <v>0</v>
      </c>
      <c r="G29" s="4">
        <v>100000</v>
      </c>
      <c r="H29" s="4">
        <v>0</v>
      </c>
      <c r="I29" s="4"/>
      <c r="J29" s="4"/>
      <c r="K29" s="4">
        <f t="shared" si="1"/>
        <v>0</v>
      </c>
      <c r="L29" s="4">
        <f t="shared" si="2"/>
        <v>0</v>
      </c>
      <c r="M29" s="4">
        <f>P29+S29</f>
        <v>200000</v>
      </c>
      <c r="N29" s="4">
        <f>300000-300000</f>
        <v>0</v>
      </c>
      <c r="O29" s="4">
        <f t="shared" si="3"/>
        <v>800000</v>
      </c>
      <c r="P29" s="4">
        <f t="shared" si="4"/>
        <v>100000</v>
      </c>
      <c r="Q29" s="4">
        <v>100000</v>
      </c>
      <c r="R29" s="4"/>
      <c r="S29" s="4">
        <f t="shared" si="5"/>
        <v>100000</v>
      </c>
      <c r="T29" s="4">
        <f t="shared" si="6"/>
        <v>0</v>
      </c>
      <c r="U29" s="4">
        <f t="shared" si="7"/>
        <v>0</v>
      </c>
      <c r="V29" s="4">
        <f t="shared" si="8"/>
        <v>0</v>
      </c>
      <c r="W29" s="4"/>
      <c r="X29" s="4"/>
      <c r="Y29" s="4"/>
      <c r="Z29" s="3"/>
      <c r="AA29" s="323" t="s">
        <v>417</v>
      </c>
      <c r="AB29" s="3">
        <v>732000</v>
      </c>
      <c r="AC29" s="483"/>
      <c r="AD29" s="4"/>
      <c r="AE29" s="4"/>
      <c r="AF29" s="4"/>
      <c r="AG29" s="4"/>
      <c r="AH29" s="4"/>
      <c r="AI29" s="4"/>
      <c r="AJ29" s="4"/>
      <c r="AK29" s="4"/>
      <c r="AL29" s="4">
        <f t="shared" si="9"/>
        <v>0</v>
      </c>
      <c r="AM29" s="4"/>
      <c r="AN29" s="4">
        <f t="shared" si="11"/>
        <v>0</v>
      </c>
      <c r="AO29" s="4">
        <f t="shared" si="12"/>
        <v>0</v>
      </c>
      <c r="AP29" s="4">
        <f t="shared" si="13"/>
        <v>0</v>
      </c>
      <c r="AQ29" s="4"/>
      <c r="AR29" s="4"/>
      <c r="AS29" s="4"/>
      <c r="AT29" s="4"/>
      <c r="AU29" s="4">
        <f t="shared" si="14"/>
        <v>0</v>
      </c>
      <c r="AV29" s="4">
        <f t="shared" si="15"/>
        <v>0</v>
      </c>
      <c r="AW29" s="4"/>
      <c r="AX29" s="4"/>
      <c r="AY29" s="4"/>
      <c r="AZ29" s="4">
        <f t="shared" si="16"/>
        <v>0</v>
      </c>
      <c r="BA29" s="4"/>
      <c r="BB29" s="4"/>
      <c r="BC29" s="4"/>
      <c r="BD29" s="3"/>
      <c r="BE29" s="14"/>
    </row>
    <row r="30" spans="1:57" s="5" customFormat="1" ht="19.95" customHeight="1">
      <c r="A30" s="3">
        <f>A29+1</f>
        <v>24</v>
      </c>
      <c r="B30" s="3">
        <v>1409</v>
      </c>
      <c r="C30" s="39" t="s">
        <v>932</v>
      </c>
      <c r="D30" s="4">
        <v>7680000</v>
      </c>
      <c r="E30" s="4">
        <v>7300000</v>
      </c>
      <c r="F30" s="4">
        <f t="shared" si="0"/>
        <v>380000</v>
      </c>
      <c r="G30" s="4">
        <f>4000000+1000000</f>
        <v>5000000</v>
      </c>
      <c r="H30" s="4">
        <v>2980349</v>
      </c>
      <c r="I30" s="4">
        <v>558899.5</v>
      </c>
      <c r="J30" s="4">
        <v>324383</v>
      </c>
      <c r="K30" s="4">
        <f t="shared" si="1"/>
        <v>883282.5</v>
      </c>
      <c r="L30" s="4">
        <f t="shared" si="2"/>
        <v>3863631.5</v>
      </c>
      <c r="M30" s="4">
        <f>P30+S30-1000000</f>
        <v>136368.5</v>
      </c>
      <c r="N30" s="4">
        <f>3300000+380000</f>
        <v>3680000</v>
      </c>
      <c r="O30" s="4">
        <f t="shared" si="3"/>
        <v>0</v>
      </c>
      <c r="P30" s="4">
        <f t="shared" si="4"/>
        <v>1136368.5</v>
      </c>
      <c r="Q30" s="4"/>
      <c r="R30" s="4"/>
      <c r="S30" s="4">
        <f t="shared" si="5"/>
        <v>0</v>
      </c>
      <c r="T30" s="4">
        <f t="shared" si="6"/>
        <v>1000000</v>
      </c>
      <c r="U30" s="4">
        <f t="shared" si="7"/>
        <v>2680000</v>
      </c>
      <c r="V30" s="4">
        <f t="shared" si="8"/>
        <v>2680000</v>
      </c>
      <c r="W30" s="4"/>
      <c r="X30" s="4"/>
      <c r="Y30" s="4"/>
      <c r="Z30" s="3"/>
      <c r="AA30" s="323" t="s">
        <v>418</v>
      </c>
      <c r="AB30" s="3">
        <v>732000</v>
      </c>
      <c r="AC30" s="483"/>
      <c r="AD30" s="4"/>
      <c r="AE30" s="4"/>
      <c r="AF30" s="4"/>
      <c r="AG30" s="4"/>
      <c r="AH30" s="4">
        <v>2680000</v>
      </c>
      <c r="AI30" s="4"/>
      <c r="AJ30" s="4"/>
      <c r="AK30" s="4"/>
      <c r="AL30" s="4">
        <f t="shared" si="9"/>
        <v>2680000</v>
      </c>
      <c r="AM30" s="4"/>
      <c r="AN30" s="4">
        <f t="shared" si="11"/>
        <v>2680000</v>
      </c>
      <c r="AO30" s="4">
        <f t="shared" si="12"/>
        <v>0</v>
      </c>
      <c r="AP30" s="4">
        <f t="shared" si="13"/>
        <v>2680000</v>
      </c>
      <c r="AQ30" s="4"/>
      <c r="AR30" s="4"/>
      <c r="AS30" s="4"/>
      <c r="AT30" s="4"/>
      <c r="AU30" s="4">
        <f t="shared" si="14"/>
        <v>0</v>
      </c>
      <c r="AV30" s="4">
        <f t="shared" si="15"/>
        <v>0</v>
      </c>
      <c r="AW30" s="4"/>
      <c r="AX30" s="4"/>
      <c r="AY30" s="4"/>
      <c r="AZ30" s="4">
        <f t="shared" si="16"/>
        <v>0</v>
      </c>
      <c r="BA30" s="4"/>
      <c r="BB30" s="4"/>
      <c r="BC30" s="4"/>
      <c r="BD30" s="3"/>
      <c r="BE30" s="14"/>
    </row>
    <row r="31" spans="1:57" s="5" customFormat="1" ht="19.95" customHeight="1">
      <c r="A31" s="3">
        <f t="shared" si="10"/>
        <v>25</v>
      </c>
      <c r="B31" s="3">
        <v>1457</v>
      </c>
      <c r="C31" s="3" t="s">
        <v>214</v>
      </c>
      <c r="D31" s="4">
        <v>1100000</v>
      </c>
      <c r="E31" s="4">
        <v>1100000</v>
      </c>
      <c r="F31" s="4">
        <f t="shared" si="0"/>
        <v>0</v>
      </c>
      <c r="G31" s="4">
        <v>430000</v>
      </c>
      <c r="H31" s="4">
        <v>157316</v>
      </c>
      <c r="I31" s="4"/>
      <c r="J31" s="4">
        <v>44257</v>
      </c>
      <c r="K31" s="4">
        <f t="shared" si="1"/>
        <v>44257</v>
      </c>
      <c r="L31" s="4">
        <f t="shared" si="2"/>
        <v>201573</v>
      </c>
      <c r="M31" s="4">
        <f>P31+S31</f>
        <v>228427</v>
      </c>
      <c r="N31" s="4">
        <f>670000-170000-500000</f>
        <v>0</v>
      </c>
      <c r="O31" s="4">
        <f t="shared" si="3"/>
        <v>670000</v>
      </c>
      <c r="P31" s="4">
        <f t="shared" si="4"/>
        <v>228427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4">
        <f t="shared" si="8"/>
        <v>0</v>
      </c>
      <c r="W31" s="4"/>
      <c r="X31" s="4"/>
      <c r="Y31" s="4"/>
      <c r="Z31" s="3"/>
      <c r="AA31" s="323" t="s">
        <v>419</v>
      </c>
      <c r="AB31" s="3">
        <v>742000</v>
      </c>
      <c r="AC31" s="483"/>
      <c r="AD31" s="4"/>
      <c r="AE31" s="4"/>
      <c r="AF31" s="4"/>
      <c r="AG31" s="4"/>
      <c r="AH31" s="4"/>
      <c r="AI31" s="4"/>
      <c r="AJ31" s="4"/>
      <c r="AK31" s="4"/>
      <c r="AL31" s="4">
        <f t="shared" si="9"/>
        <v>0</v>
      </c>
      <c r="AM31" s="4"/>
      <c r="AN31" s="4">
        <f t="shared" si="11"/>
        <v>0</v>
      </c>
      <c r="AO31" s="4">
        <f t="shared" si="12"/>
        <v>0</v>
      </c>
      <c r="AP31" s="4">
        <f t="shared" si="13"/>
        <v>0</v>
      </c>
      <c r="AQ31" s="4"/>
      <c r="AR31" s="4"/>
      <c r="AS31" s="4"/>
      <c r="AT31" s="4"/>
      <c r="AU31" s="4">
        <f t="shared" si="14"/>
        <v>0</v>
      </c>
      <c r="AV31" s="4">
        <f t="shared" si="15"/>
        <v>0</v>
      </c>
      <c r="AW31" s="4"/>
      <c r="AX31" s="4"/>
      <c r="AY31" s="4"/>
      <c r="AZ31" s="4">
        <f t="shared" si="16"/>
        <v>0</v>
      </c>
      <c r="BA31" s="4"/>
      <c r="BB31" s="4"/>
      <c r="BC31" s="4"/>
      <c r="BD31" s="3"/>
      <c r="BE31" s="14"/>
    </row>
    <row r="32" spans="1:57" s="5" customFormat="1" ht="19.95" customHeight="1">
      <c r="A32" s="3">
        <f t="shared" si="10"/>
        <v>26</v>
      </c>
      <c r="B32" s="3">
        <v>1466</v>
      </c>
      <c r="C32" s="3" t="s">
        <v>19</v>
      </c>
      <c r="D32" s="4">
        <v>2200000</v>
      </c>
      <c r="E32" s="4">
        <v>2200000</v>
      </c>
      <c r="F32" s="4">
        <f t="shared" si="0"/>
        <v>0</v>
      </c>
      <c r="G32" s="4">
        <v>1500000</v>
      </c>
      <c r="H32" s="4">
        <v>1161644</v>
      </c>
      <c r="I32" s="4"/>
      <c r="J32" s="4">
        <v>110168</v>
      </c>
      <c r="K32" s="4">
        <f t="shared" si="1"/>
        <v>110168</v>
      </c>
      <c r="L32" s="4">
        <f t="shared" si="2"/>
        <v>1271812</v>
      </c>
      <c r="M32" s="4">
        <f>P32+S32-100000</f>
        <v>128188</v>
      </c>
      <c r="N32" s="4">
        <f>200000+50000</f>
        <v>250000</v>
      </c>
      <c r="O32" s="4">
        <f t="shared" si="3"/>
        <v>550000</v>
      </c>
      <c r="P32" s="4">
        <f t="shared" si="4"/>
        <v>228188</v>
      </c>
      <c r="Q32" s="4"/>
      <c r="R32" s="4"/>
      <c r="S32" s="4">
        <f t="shared" si="5"/>
        <v>0</v>
      </c>
      <c r="T32" s="4">
        <f t="shared" si="6"/>
        <v>100000</v>
      </c>
      <c r="U32" s="4">
        <f t="shared" si="7"/>
        <v>150000</v>
      </c>
      <c r="V32" s="4">
        <f t="shared" si="8"/>
        <v>150000</v>
      </c>
      <c r="W32" s="4"/>
      <c r="X32" s="4"/>
      <c r="Y32" s="4"/>
      <c r="Z32" s="3"/>
      <c r="AA32" s="323" t="s">
        <v>420</v>
      </c>
      <c r="AB32" s="3">
        <v>732000</v>
      </c>
      <c r="AC32" s="483"/>
      <c r="AD32" s="4"/>
      <c r="AE32" s="4"/>
      <c r="AF32" s="4"/>
      <c r="AG32" s="4"/>
      <c r="AH32" s="4"/>
      <c r="AI32" s="4"/>
      <c r="AJ32" s="4"/>
      <c r="AK32" s="4"/>
      <c r="AL32" s="4">
        <f t="shared" si="9"/>
        <v>0</v>
      </c>
      <c r="AM32" s="4"/>
      <c r="AN32" s="4">
        <f t="shared" si="11"/>
        <v>0</v>
      </c>
      <c r="AO32" s="4">
        <f t="shared" si="12"/>
        <v>150000</v>
      </c>
      <c r="AP32" s="4">
        <f t="shared" si="13"/>
        <v>0</v>
      </c>
      <c r="AQ32" s="4"/>
      <c r="AR32" s="4"/>
      <c r="AS32" s="4"/>
      <c r="AT32" s="4"/>
      <c r="AU32" s="4">
        <f t="shared" si="14"/>
        <v>0</v>
      </c>
      <c r="AV32" s="4">
        <f t="shared" si="15"/>
        <v>0</v>
      </c>
      <c r="AW32" s="4"/>
      <c r="AX32" s="4"/>
      <c r="AY32" s="4"/>
      <c r="AZ32" s="4">
        <f t="shared" si="16"/>
        <v>150000</v>
      </c>
      <c r="BA32" s="4"/>
      <c r="BB32" s="4"/>
      <c r="BC32" s="4"/>
      <c r="BD32" s="3"/>
      <c r="BE32" s="14"/>
    </row>
    <row r="33" spans="1:57" s="5" customFormat="1" ht="19.95" customHeight="1">
      <c r="A33" s="3">
        <f t="shared" si="10"/>
        <v>27</v>
      </c>
      <c r="B33" s="3">
        <v>1511</v>
      </c>
      <c r="C33" s="3" t="s">
        <v>43</v>
      </c>
      <c r="D33" s="4">
        <v>960000</v>
      </c>
      <c r="E33" s="4">
        <v>960000</v>
      </c>
      <c r="F33" s="4">
        <f t="shared" si="0"/>
        <v>0</v>
      </c>
      <c r="G33" s="4">
        <v>100000</v>
      </c>
      <c r="H33" s="4">
        <v>17284</v>
      </c>
      <c r="I33" s="4"/>
      <c r="J33" s="4"/>
      <c r="K33" s="4">
        <f t="shared" si="1"/>
        <v>0</v>
      </c>
      <c r="L33" s="4">
        <f t="shared" si="2"/>
        <v>17284</v>
      </c>
      <c r="M33" s="4">
        <f>P33+S33</f>
        <v>82716</v>
      </c>
      <c r="N33" s="4"/>
      <c r="O33" s="4">
        <f t="shared" si="3"/>
        <v>860000</v>
      </c>
      <c r="P33" s="4">
        <f t="shared" si="4"/>
        <v>82716</v>
      </c>
      <c r="Q33" s="4"/>
      <c r="R33" s="4"/>
      <c r="S33" s="4">
        <f t="shared" si="5"/>
        <v>0</v>
      </c>
      <c r="T33" s="4">
        <f t="shared" si="6"/>
        <v>0</v>
      </c>
      <c r="U33" s="4">
        <f t="shared" si="7"/>
        <v>0</v>
      </c>
      <c r="V33" s="4">
        <f t="shared" si="8"/>
        <v>0</v>
      </c>
      <c r="W33" s="4"/>
      <c r="X33" s="4"/>
      <c r="Y33" s="4"/>
      <c r="Z33" s="3"/>
      <c r="AA33" s="323" t="s">
        <v>421</v>
      </c>
      <c r="AB33" s="3">
        <v>742000</v>
      </c>
      <c r="AC33" s="483"/>
      <c r="AD33" s="4"/>
      <c r="AE33" s="4"/>
      <c r="AF33" s="4"/>
      <c r="AG33" s="4"/>
      <c r="AH33" s="4"/>
      <c r="AI33" s="4"/>
      <c r="AJ33" s="4"/>
      <c r="AK33" s="4"/>
      <c r="AL33" s="4">
        <f t="shared" si="9"/>
        <v>0</v>
      </c>
      <c r="AM33" s="4"/>
      <c r="AN33" s="4">
        <f t="shared" si="11"/>
        <v>0</v>
      </c>
      <c r="AO33" s="4">
        <f t="shared" si="12"/>
        <v>0</v>
      </c>
      <c r="AP33" s="4">
        <f t="shared" si="13"/>
        <v>0</v>
      </c>
      <c r="AQ33" s="4"/>
      <c r="AR33" s="4"/>
      <c r="AS33" s="4"/>
      <c r="AT33" s="4"/>
      <c r="AU33" s="4">
        <f t="shared" si="14"/>
        <v>0</v>
      </c>
      <c r="AV33" s="4">
        <f t="shared" si="15"/>
        <v>0</v>
      </c>
      <c r="AW33" s="4"/>
      <c r="AX33" s="4"/>
      <c r="AY33" s="4"/>
      <c r="AZ33" s="4">
        <f t="shared" si="16"/>
        <v>0</v>
      </c>
      <c r="BA33" s="4"/>
      <c r="BB33" s="4"/>
      <c r="BC33" s="4"/>
      <c r="BD33" s="3"/>
      <c r="BE33" s="14"/>
    </row>
    <row r="34" spans="1:57" s="5" customFormat="1" ht="19.95" customHeight="1">
      <c r="A34" s="3">
        <f t="shared" si="10"/>
        <v>28</v>
      </c>
      <c r="B34" s="3">
        <v>1527</v>
      </c>
      <c r="C34" s="3" t="s">
        <v>939</v>
      </c>
      <c r="D34" s="4">
        <v>3000000</v>
      </c>
      <c r="E34" s="4">
        <v>3000000</v>
      </c>
      <c r="F34" s="4">
        <f t="shared" si="0"/>
        <v>0</v>
      </c>
      <c r="G34" s="4">
        <v>1500000</v>
      </c>
      <c r="H34" s="4">
        <v>821144.02</v>
      </c>
      <c r="I34" s="4"/>
      <c r="J34" s="4">
        <v>1431</v>
      </c>
      <c r="K34" s="4">
        <f t="shared" si="1"/>
        <v>1431</v>
      </c>
      <c r="L34" s="4">
        <f t="shared" si="2"/>
        <v>822575.02</v>
      </c>
      <c r="M34" s="4">
        <f>P34+S34-650000</f>
        <v>27424.979999999981</v>
      </c>
      <c r="N34" s="4">
        <f>1000000-1000000</f>
        <v>0</v>
      </c>
      <c r="O34" s="4">
        <f t="shared" si="3"/>
        <v>2150000</v>
      </c>
      <c r="P34" s="4">
        <f t="shared" si="4"/>
        <v>677424.98</v>
      </c>
      <c r="Q34" s="4"/>
      <c r="R34" s="4"/>
      <c r="S34" s="4">
        <f t="shared" si="5"/>
        <v>0</v>
      </c>
      <c r="T34" s="4">
        <f t="shared" si="6"/>
        <v>650000</v>
      </c>
      <c r="U34" s="4">
        <f t="shared" si="7"/>
        <v>-650000</v>
      </c>
      <c r="V34" s="4">
        <f t="shared" si="8"/>
        <v>-650000</v>
      </c>
      <c r="W34" s="4"/>
      <c r="X34" s="4"/>
      <c r="Y34" s="4"/>
      <c r="Z34" s="3"/>
      <c r="AA34" s="323" t="s">
        <v>674</v>
      </c>
      <c r="AB34" s="3">
        <v>732000</v>
      </c>
      <c r="AC34" s="483"/>
      <c r="AD34" s="4"/>
      <c r="AE34" s="4"/>
      <c r="AF34" s="4">
        <v>-650000</v>
      </c>
      <c r="AG34" s="4"/>
      <c r="AH34" s="4"/>
      <c r="AI34" s="4"/>
      <c r="AJ34" s="4"/>
      <c r="AK34" s="4"/>
      <c r="AL34" s="4">
        <f t="shared" si="9"/>
        <v>-650000</v>
      </c>
      <c r="AM34" s="4"/>
      <c r="AN34" s="4">
        <f t="shared" si="11"/>
        <v>-650000</v>
      </c>
      <c r="AO34" s="4">
        <f t="shared" si="12"/>
        <v>0</v>
      </c>
      <c r="AP34" s="4">
        <f t="shared" si="13"/>
        <v>-650000</v>
      </c>
      <c r="AQ34" s="4"/>
      <c r="AR34" s="4"/>
      <c r="AS34" s="4"/>
      <c r="AT34" s="4"/>
      <c r="AU34" s="4">
        <f t="shared" si="14"/>
        <v>0</v>
      </c>
      <c r="AV34" s="4">
        <f t="shared" si="15"/>
        <v>0</v>
      </c>
      <c r="AW34" s="4"/>
      <c r="AX34" s="4"/>
      <c r="AY34" s="4"/>
      <c r="AZ34" s="4">
        <f t="shared" si="16"/>
        <v>0</v>
      </c>
      <c r="BA34" s="4"/>
      <c r="BB34" s="4"/>
      <c r="BC34" s="4"/>
      <c r="BD34" s="3"/>
      <c r="BE34" s="14"/>
    </row>
    <row r="35" spans="1:57" s="5" customFormat="1" ht="19.95" customHeight="1">
      <c r="A35" s="3">
        <f t="shared" si="10"/>
        <v>29</v>
      </c>
      <c r="B35" s="3">
        <v>1529</v>
      </c>
      <c r="C35" s="3" t="s">
        <v>55</v>
      </c>
      <c r="D35" s="4">
        <f>350000+50000</f>
        <v>400000</v>
      </c>
      <c r="E35" s="4">
        <v>350000</v>
      </c>
      <c r="F35" s="4">
        <f t="shared" si="0"/>
        <v>50000</v>
      </c>
      <c r="G35" s="4">
        <f>200000+100000+50000</f>
        <v>350000</v>
      </c>
      <c r="H35" s="4">
        <v>183866.55</v>
      </c>
      <c r="I35" s="4"/>
      <c r="J35" s="4"/>
      <c r="K35" s="4">
        <f t="shared" si="1"/>
        <v>0</v>
      </c>
      <c r="L35" s="4">
        <f t="shared" si="2"/>
        <v>183866.55</v>
      </c>
      <c r="M35" s="4">
        <f>P35+S35</f>
        <v>166133.45000000001</v>
      </c>
      <c r="N35" s="4">
        <v>50000</v>
      </c>
      <c r="O35" s="4">
        <f t="shared" si="3"/>
        <v>0</v>
      </c>
      <c r="P35" s="4">
        <f t="shared" si="4"/>
        <v>166133.45000000001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50000</v>
      </c>
      <c r="V35" s="4">
        <f t="shared" si="8"/>
        <v>50000</v>
      </c>
      <c r="W35" s="4"/>
      <c r="X35" s="4"/>
      <c r="Y35" s="4"/>
      <c r="Z35" s="3"/>
      <c r="AA35" s="323" t="s">
        <v>626</v>
      </c>
      <c r="AB35" s="3">
        <v>760000</v>
      </c>
      <c r="AC35" s="483"/>
      <c r="AD35" s="4"/>
      <c r="AE35" s="4"/>
      <c r="AF35" s="4">
        <v>50000</v>
      </c>
      <c r="AG35" s="4"/>
      <c r="AH35" s="4"/>
      <c r="AI35" s="4"/>
      <c r="AJ35" s="4"/>
      <c r="AK35" s="4"/>
      <c r="AL35" s="4">
        <f t="shared" si="9"/>
        <v>50000</v>
      </c>
      <c r="AM35" s="4"/>
      <c r="AN35" s="4">
        <f t="shared" si="11"/>
        <v>50000</v>
      </c>
      <c r="AO35" s="4">
        <f t="shared" si="12"/>
        <v>0</v>
      </c>
      <c r="AP35" s="4">
        <f t="shared" si="13"/>
        <v>50000</v>
      </c>
      <c r="AQ35" s="4"/>
      <c r="AR35" s="4"/>
      <c r="AS35" s="4"/>
      <c r="AT35" s="4"/>
      <c r="AU35" s="4">
        <f t="shared" si="14"/>
        <v>0</v>
      </c>
      <c r="AV35" s="4">
        <f t="shared" si="15"/>
        <v>0</v>
      </c>
      <c r="AW35" s="4"/>
      <c r="AX35" s="4"/>
      <c r="AY35" s="4"/>
      <c r="AZ35" s="4">
        <f t="shared" si="16"/>
        <v>0</v>
      </c>
      <c r="BA35" s="4"/>
      <c r="BB35" s="4"/>
      <c r="BC35" s="4"/>
      <c r="BD35" s="3"/>
      <c r="BE35" s="14"/>
    </row>
    <row r="36" spans="1:57" s="5" customFormat="1" ht="19.95" customHeight="1">
      <c r="A36" s="3">
        <f t="shared" si="10"/>
        <v>30</v>
      </c>
      <c r="B36" s="3">
        <v>1551</v>
      </c>
      <c r="C36" s="3" t="s">
        <v>126</v>
      </c>
      <c r="D36" s="4">
        <f>1225240-700000</f>
        <v>525240</v>
      </c>
      <c r="E36" s="4">
        <v>225240</v>
      </c>
      <c r="F36" s="4">
        <f t="shared" si="0"/>
        <v>300000</v>
      </c>
      <c r="G36" s="4">
        <v>225240</v>
      </c>
      <c r="H36" s="4">
        <v>204671</v>
      </c>
      <c r="I36" s="4"/>
      <c r="J36" s="4">
        <v>19855</v>
      </c>
      <c r="K36" s="4">
        <f t="shared" ref="K36:K66" si="17">SUM(I36:J36)</f>
        <v>19855</v>
      </c>
      <c r="L36" s="4">
        <f t="shared" si="2"/>
        <v>224526</v>
      </c>
      <c r="M36" s="4">
        <f>P36+S36</f>
        <v>714</v>
      </c>
      <c r="N36" s="4">
        <f>800000-500000</f>
        <v>300000</v>
      </c>
      <c r="O36" s="4">
        <f t="shared" si="3"/>
        <v>0</v>
      </c>
      <c r="P36" s="4">
        <f t="shared" si="4"/>
        <v>714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300000</v>
      </c>
      <c r="V36" s="4">
        <f t="shared" si="8"/>
        <v>300000</v>
      </c>
      <c r="W36" s="4"/>
      <c r="X36" s="4"/>
      <c r="Y36" s="4"/>
      <c r="Z36" s="3"/>
      <c r="AA36" s="323" t="s">
        <v>675</v>
      </c>
      <c r="AB36" s="3">
        <v>732000</v>
      </c>
      <c r="AC36" s="483"/>
      <c r="AD36" s="4"/>
      <c r="AE36" s="4"/>
      <c r="AF36" s="4">
        <v>150000</v>
      </c>
      <c r="AG36" s="4"/>
      <c r="AH36" s="4"/>
      <c r="AI36" s="4"/>
      <c r="AJ36" s="4"/>
      <c r="AK36" s="4"/>
      <c r="AL36" s="4">
        <f t="shared" si="9"/>
        <v>150000</v>
      </c>
      <c r="AM36" s="4"/>
      <c r="AN36" s="4">
        <f t="shared" si="11"/>
        <v>150000</v>
      </c>
      <c r="AO36" s="4">
        <f t="shared" si="12"/>
        <v>150000</v>
      </c>
      <c r="AP36" s="4">
        <f t="shared" si="13"/>
        <v>150000</v>
      </c>
      <c r="AQ36" s="4"/>
      <c r="AR36" s="4"/>
      <c r="AS36" s="4"/>
      <c r="AT36" s="4"/>
      <c r="AU36" s="4">
        <f t="shared" si="14"/>
        <v>0</v>
      </c>
      <c r="AV36" s="4">
        <f t="shared" si="15"/>
        <v>0</v>
      </c>
      <c r="AW36" s="4"/>
      <c r="AX36" s="4"/>
      <c r="AY36" s="4"/>
      <c r="AZ36" s="4">
        <f t="shared" si="16"/>
        <v>150000</v>
      </c>
      <c r="BA36" s="4"/>
      <c r="BB36" s="4"/>
      <c r="BC36" s="4"/>
      <c r="BD36" s="3"/>
      <c r="BE36" s="14"/>
    </row>
    <row r="37" spans="1:57" s="6" customFormat="1" ht="19.95" customHeight="1">
      <c r="A37" s="3">
        <f>A36+1</f>
        <v>31</v>
      </c>
      <c r="B37" s="3">
        <v>1568</v>
      </c>
      <c r="C37" s="3" t="s">
        <v>56</v>
      </c>
      <c r="D37" s="4">
        <v>46375301</v>
      </c>
      <c r="E37" s="4">
        <v>46375301</v>
      </c>
      <c r="F37" s="4">
        <f t="shared" si="0"/>
        <v>0</v>
      </c>
      <c r="G37" s="4">
        <v>28875301</v>
      </c>
      <c r="H37" s="4">
        <v>27763823.309999999</v>
      </c>
      <c r="I37" s="4">
        <v>822126.24</v>
      </c>
      <c r="J37" s="4">
        <v>55294</v>
      </c>
      <c r="K37" s="4">
        <f t="shared" si="17"/>
        <v>877420.24</v>
      </c>
      <c r="L37" s="4">
        <f t="shared" si="2"/>
        <v>28641243.549999997</v>
      </c>
      <c r="M37" s="4">
        <f>P37+S37</f>
        <v>234057.45000000298</v>
      </c>
      <c r="N37" s="4">
        <f>17500000-17500000</f>
        <v>0</v>
      </c>
      <c r="O37" s="4">
        <f t="shared" si="3"/>
        <v>17500000</v>
      </c>
      <c r="P37" s="4">
        <f t="shared" si="4"/>
        <v>234057.45000000298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0</v>
      </c>
      <c r="V37" s="4">
        <f t="shared" si="8"/>
        <v>0</v>
      </c>
      <c r="W37" s="4"/>
      <c r="X37" s="4"/>
      <c r="Y37" s="4"/>
      <c r="Z37" s="3"/>
      <c r="AA37" s="323"/>
      <c r="AB37" s="3">
        <v>746000</v>
      </c>
      <c r="AC37" s="483"/>
      <c r="AD37" s="4"/>
      <c r="AE37" s="4"/>
      <c r="AF37" s="4"/>
      <c r="AG37" s="4"/>
      <c r="AH37" s="4"/>
      <c r="AI37" s="4"/>
      <c r="AJ37" s="4"/>
      <c r="AK37" s="4"/>
      <c r="AL37" s="4">
        <f t="shared" si="9"/>
        <v>0</v>
      </c>
      <c r="AM37" s="4"/>
      <c r="AN37" s="4">
        <f t="shared" si="11"/>
        <v>0</v>
      </c>
      <c r="AO37" s="4">
        <f t="shared" si="12"/>
        <v>0</v>
      </c>
      <c r="AP37" s="4">
        <f t="shared" si="13"/>
        <v>0</v>
      </c>
      <c r="AQ37" s="4"/>
      <c r="AR37" s="4"/>
      <c r="AS37" s="4"/>
      <c r="AT37" s="4"/>
      <c r="AU37" s="4">
        <f t="shared" si="14"/>
        <v>0</v>
      </c>
      <c r="AV37" s="4">
        <f t="shared" si="15"/>
        <v>0</v>
      </c>
      <c r="AW37" s="4"/>
      <c r="AX37" s="4"/>
      <c r="AY37" s="4"/>
      <c r="AZ37" s="4">
        <f t="shared" si="16"/>
        <v>0</v>
      </c>
      <c r="BA37" s="4"/>
      <c r="BB37" s="4"/>
      <c r="BC37" s="4"/>
      <c r="BD37" s="3"/>
      <c r="BE37" s="14"/>
    </row>
    <row r="38" spans="1:57" s="6" customFormat="1" ht="19.95" customHeight="1">
      <c r="A38" s="3">
        <f t="shared" si="10"/>
        <v>32</v>
      </c>
      <c r="B38" s="3">
        <v>1576</v>
      </c>
      <c r="C38" s="3" t="s">
        <v>57</v>
      </c>
      <c r="D38" s="4">
        <v>1000000</v>
      </c>
      <c r="E38" s="4">
        <v>1000000</v>
      </c>
      <c r="F38" s="4">
        <f t="shared" si="0"/>
        <v>0</v>
      </c>
      <c r="G38" s="4">
        <v>450000</v>
      </c>
      <c r="H38" s="4">
        <v>356478.17</v>
      </c>
      <c r="I38" s="4">
        <v>42295</v>
      </c>
      <c r="J38" s="4"/>
      <c r="K38" s="4">
        <f t="shared" si="17"/>
        <v>42295</v>
      </c>
      <c r="L38" s="4">
        <f t="shared" si="2"/>
        <v>398773.17</v>
      </c>
      <c r="M38" s="4">
        <f>P38+S38-30000</f>
        <v>21226.830000000016</v>
      </c>
      <c r="N38" s="4"/>
      <c r="O38" s="4">
        <f t="shared" si="3"/>
        <v>580000</v>
      </c>
      <c r="P38" s="4">
        <f t="shared" si="4"/>
        <v>51226.830000000016</v>
      </c>
      <c r="Q38" s="4"/>
      <c r="R38" s="4"/>
      <c r="S38" s="4">
        <f t="shared" si="5"/>
        <v>0</v>
      </c>
      <c r="T38" s="4">
        <f t="shared" si="6"/>
        <v>30000</v>
      </c>
      <c r="U38" s="4">
        <f t="shared" si="7"/>
        <v>-30000</v>
      </c>
      <c r="V38" s="4">
        <f t="shared" si="8"/>
        <v>-30000</v>
      </c>
      <c r="W38" s="4"/>
      <c r="X38" s="4"/>
      <c r="Y38" s="4"/>
      <c r="Z38" s="3"/>
      <c r="AA38" s="323" t="s">
        <v>676</v>
      </c>
      <c r="AB38" s="3">
        <v>732000</v>
      </c>
      <c r="AC38" s="483"/>
      <c r="AD38" s="4"/>
      <c r="AE38" s="4"/>
      <c r="AF38" s="4">
        <v>-30000</v>
      </c>
      <c r="AG38" s="4"/>
      <c r="AH38" s="4"/>
      <c r="AI38" s="4"/>
      <c r="AJ38" s="4"/>
      <c r="AK38" s="4"/>
      <c r="AL38" s="4">
        <f t="shared" si="9"/>
        <v>-30000</v>
      </c>
      <c r="AM38" s="4"/>
      <c r="AN38" s="4">
        <f t="shared" si="11"/>
        <v>-30000</v>
      </c>
      <c r="AO38" s="4">
        <f t="shared" si="12"/>
        <v>0</v>
      </c>
      <c r="AP38" s="4">
        <f t="shared" si="13"/>
        <v>-30000</v>
      </c>
      <c r="AQ38" s="4"/>
      <c r="AR38" s="4"/>
      <c r="AS38" s="4"/>
      <c r="AT38" s="4"/>
      <c r="AU38" s="4">
        <f t="shared" si="14"/>
        <v>0</v>
      </c>
      <c r="AV38" s="4">
        <f t="shared" si="15"/>
        <v>0</v>
      </c>
      <c r="AW38" s="4"/>
      <c r="AX38" s="4"/>
      <c r="AY38" s="4"/>
      <c r="AZ38" s="4">
        <f t="shared" si="16"/>
        <v>0</v>
      </c>
      <c r="BA38" s="4"/>
      <c r="BB38" s="4"/>
      <c r="BC38" s="4"/>
      <c r="BD38" s="3"/>
      <c r="BE38" s="14"/>
    </row>
    <row r="39" spans="1:57" s="5" customFormat="1" ht="19.95" customHeight="1">
      <c r="A39" s="3">
        <f t="shared" si="10"/>
        <v>33</v>
      </c>
      <c r="B39" s="3">
        <v>1587</v>
      </c>
      <c r="C39" s="3" t="s">
        <v>128</v>
      </c>
      <c r="D39" s="4">
        <v>34200000</v>
      </c>
      <c r="E39" s="4">
        <v>34200000</v>
      </c>
      <c r="F39" s="4">
        <f t="shared" si="0"/>
        <v>0</v>
      </c>
      <c r="G39" s="4">
        <v>10800000</v>
      </c>
      <c r="H39" s="4">
        <v>7946383.1699999999</v>
      </c>
      <c r="I39" s="4">
        <v>512415.18</v>
      </c>
      <c r="J39" s="4">
        <v>182023</v>
      </c>
      <c r="K39" s="4">
        <f t="shared" si="17"/>
        <v>694438.17999999993</v>
      </c>
      <c r="L39" s="4">
        <f t="shared" si="2"/>
        <v>8640821.3499999996</v>
      </c>
      <c r="M39" s="4">
        <f>P39+S39</f>
        <v>2159178.6500000004</v>
      </c>
      <c r="N39" s="4">
        <f>12500000-6500000</f>
        <v>6000000</v>
      </c>
      <c r="O39" s="4">
        <f t="shared" si="3"/>
        <v>17400000</v>
      </c>
      <c r="P39" s="4">
        <f t="shared" si="4"/>
        <v>2159178.6500000004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6000000</v>
      </c>
      <c r="V39" s="4">
        <f t="shared" si="8"/>
        <v>6000000</v>
      </c>
      <c r="W39" s="4"/>
      <c r="X39" s="4"/>
      <c r="Y39" s="4"/>
      <c r="Z39" s="3"/>
      <c r="AA39" s="323" t="s">
        <v>624</v>
      </c>
      <c r="AB39" s="3">
        <v>742000</v>
      </c>
      <c r="AC39" s="483"/>
      <c r="AD39" s="4"/>
      <c r="AE39" s="4"/>
      <c r="AF39" s="4"/>
      <c r="AG39" s="4"/>
      <c r="AH39" s="4">
        <v>750000</v>
      </c>
      <c r="AI39" s="4"/>
      <c r="AJ39" s="4"/>
      <c r="AK39" s="4"/>
      <c r="AL39" s="4">
        <f t="shared" si="9"/>
        <v>750000</v>
      </c>
      <c r="AM39" s="4"/>
      <c r="AN39" s="4">
        <f t="shared" si="11"/>
        <v>750000</v>
      </c>
      <c r="AO39" s="4">
        <f t="shared" si="12"/>
        <v>5250000</v>
      </c>
      <c r="AP39" s="4">
        <f t="shared" si="13"/>
        <v>750000</v>
      </c>
      <c r="AQ39" s="4"/>
      <c r="AR39" s="4"/>
      <c r="AS39" s="4"/>
      <c r="AT39" s="4"/>
      <c r="AU39" s="4">
        <f t="shared" si="14"/>
        <v>0</v>
      </c>
      <c r="AV39" s="4">
        <f t="shared" si="15"/>
        <v>0</v>
      </c>
      <c r="AW39" s="4"/>
      <c r="AX39" s="4"/>
      <c r="AY39" s="4"/>
      <c r="AZ39" s="4">
        <f t="shared" si="16"/>
        <v>5250000</v>
      </c>
      <c r="BA39" s="4"/>
      <c r="BB39" s="4"/>
      <c r="BC39" s="4"/>
      <c r="BD39" s="3"/>
      <c r="BE39" s="14"/>
    </row>
    <row r="40" spans="1:57" s="6" customFormat="1" ht="19.95" customHeight="1">
      <c r="A40" s="3">
        <f t="shared" si="10"/>
        <v>34</v>
      </c>
      <c r="B40" s="3">
        <v>1601</v>
      </c>
      <c r="C40" s="3" t="s">
        <v>45</v>
      </c>
      <c r="D40" s="4">
        <v>700000</v>
      </c>
      <c r="E40" s="4">
        <v>700000</v>
      </c>
      <c r="F40" s="4">
        <f t="shared" si="0"/>
        <v>0</v>
      </c>
      <c r="G40" s="4">
        <v>650000</v>
      </c>
      <c r="H40" s="4">
        <v>484363</v>
      </c>
      <c r="I40" s="4"/>
      <c r="J40" s="4">
        <v>36804</v>
      </c>
      <c r="K40" s="4">
        <f t="shared" si="17"/>
        <v>36804</v>
      </c>
      <c r="L40" s="4">
        <f t="shared" si="2"/>
        <v>521167</v>
      </c>
      <c r="M40" s="4">
        <f>P40+S40</f>
        <v>128833</v>
      </c>
      <c r="N40" s="4"/>
      <c r="O40" s="4">
        <f t="shared" si="3"/>
        <v>50000</v>
      </c>
      <c r="P40" s="4">
        <f t="shared" si="4"/>
        <v>128833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4">
        <f t="shared" si="8"/>
        <v>0</v>
      </c>
      <c r="W40" s="4"/>
      <c r="X40" s="4"/>
      <c r="Y40" s="4"/>
      <c r="Z40" s="3"/>
      <c r="AA40" s="323"/>
      <c r="AB40" s="3">
        <v>742000</v>
      </c>
      <c r="AC40" s="483"/>
      <c r="AD40" s="4"/>
      <c r="AE40" s="4"/>
      <c r="AF40" s="4"/>
      <c r="AG40" s="4"/>
      <c r="AH40" s="4"/>
      <c r="AI40" s="4"/>
      <c r="AJ40" s="4"/>
      <c r="AK40" s="4"/>
      <c r="AL40" s="4">
        <f t="shared" si="9"/>
        <v>0</v>
      </c>
      <c r="AM40" s="4"/>
      <c r="AN40" s="4">
        <f t="shared" si="11"/>
        <v>0</v>
      </c>
      <c r="AO40" s="4">
        <f t="shared" si="12"/>
        <v>0</v>
      </c>
      <c r="AP40" s="4">
        <f t="shared" si="13"/>
        <v>0</v>
      </c>
      <c r="AQ40" s="4"/>
      <c r="AR40" s="4"/>
      <c r="AS40" s="4"/>
      <c r="AT40" s="4"/>
      <c r="AU40" s="4">
        <f t="shared" si="14"/>
        <v>0</v>
      </c>
      <c r="AV40" s="4">
        <f t="shared" si="15"/>
        <v>0</v>
      </c>
      <c r="AW40" s="4"/>
      <c r="AX40" s="4"/>
      <c r="AY40" s="4"/>
      <c r="AZ40" s="4">
        <f t="shared" si="16"/>
        <v>0</v>
      </c>
      <c r="BA40" s="4"/>
      <c r="BB40" s="4"/>
      <c r="BC40" s="4"/>
      <c r="BD40" s="3"/>
      <c r="BE40" s="14"/>
    </row>
    <row r="41" spans="1:57" s="5" customFormat="1" ht="19.95" customHeight="1">
      <c r="A41" s="3">
        <f>A40+1</f>
        <v>35</v>
      </c>
      <c r="B41" s="3">
        <v>1602</v>
      </c>
      <c r="C41" s="3" t="s">
        <v>29</v>
      </c>
      <c r="D41" s="4">
        <f>34500000-5000000</f>
        <v>29500000</v>
      </c>
      <c r="E41" s="4">
        <v>34500000</v>
      </c>
      <c r="F41" s="4">
        <f t="shared" si="0"/>
        <v>-5000000</v>
      </c>
      <c r="G41" s="4">
        <v>34500000</v>
      </c>
      <c r="H41" s="4">
        <v>12660980.98</v>
      </c>
      <c r="I41" s="4">
        <v>15501950.34</v>
      </c>
      <c r="J41" s="4">
        <v>185508.12</v>
      </c>
      <c r="K41" s="4">
        <f t="shared" si="17"/>
        <v>15687458.459999999</v>
      </c>
      <c r="L41" s="4">
        <f t="shared" si="2"/>
        <v>28348439.439999998</v>
      </c>
      <c r="M41" s="4">
        <f>P41+S41-5000000</f>
        <v>1151560.5600000024</v>
      </c>
      <c r="N41" s="4"/>
      <c r="O41" s="4">
        <f t="shared" si="3"/>
        <v>0</v>
      </c>
      <c r="P41" s="4">
        <f t="shared" si="4"/>
        <v>6151560.5600000024</v>
      </c>
      <c r="Q41" s="4"/>
      <c r="R41" s="4"/>
      <c r="S41" s="4">
        <f t="shared" si="5"/>
        <v>0</v>
      </c>
      <c r="T41" s="4">
        <f t="shared" si="6"/>
        <v>5000000</v>
      </c>
      <c r="U41" s="4">
        <f t="shared" si="7"/>
        <v>-5000000</v>
      </c>
      <c r="V41" s="4">
        <f t="shared" si="8"/>
        <v>-5000000</v>
      </c>
      <c r="W41" s="4"/>
      <c r="X41" s="4"/>
      <c r="Y41" s="4"/>
      <c r="Z41" s="3"/>
      <c r="AA41" s="323" t="s">
        <v>677</v>
      </c>
      <c r="AB41" s="3">
        <v>742000</v>
      </c>
      <c r="AC41" s="483"/>
      <c r="AD41" s="4"/>
      <c r="AE41" s="4"/>
      <c r="AF41" s="4">
        <v>-2000000</v>
      </c>
      <c r="AG41" s="4"/>
      <c r="AH41" s="4"/>
      <c r="AI41" s="4"/>
      <c r="AJ41" s="4"/>
      <c r="AK41" s="4"/>
      <c r="AL41" s="4">
        <f t="shared" si="9"/>
        <v>-2000000</v>
      </c>
      <c r="AM41" s="4"/>
      <c r="AN41" s="4">
        <f t="shared" si="11"/>
        <v>-2000000</v>
      </c>
      <c r="AO41" s="4">
        <f t="shared" si="12"/>
        <v>-3000000</v>
      </c>
      <c r="AP41" s="4">
        <f t="shared" si="13"/>
        <v>-2000000</v>
      </c>
      <c r="AQ41" s="4"/>
      <c r="AR41" s="4"/>
      <c r="AS41" s="4"/>
      <c r="AT41" s="4"/>
      <c r="AU41" s="4">
        <f t="shared" si="14"/>
        <v>0</v>
      </c>
      <c r="AV41" s="4">
        <f t="shared" si="15"/>
        <v>0</v>
      </c>
      <c r="AW41" s="4"/>
      <c r="AX41" s="4"/>
      <c r="AY41" s="4"/>
      <c r="AZ41" s="4">
        <f t="shared" si="16"/>
        <v>-3000000</v>
      </c>
      <c r="BA41" s="4"/>
      <c r="BB41" s="4"/>
      <c r="BC41" s="4"/>
      <c r="BD41" s="3"/>
      <c r="BE41" s="14"/>
    </row>
    <row r="42" spans="1:57" s="5" customFormat="1" ht="19.95" customHeight="1">
      <c r="A42" s="3">
        <f t="shared" si="10"/>
        <v>36</v>
      </c>
      <c r="B42" s="3">
        <v>1619</v>
      </c>
      <c r="C42" s="3" t="s">
        <v>127</v>
      </c>
      <c r="D42" s="4">
        <f>350000-100000</f>
        <v>250000</v>
      </c>
      <c r="E42" s="4">
        <v>200000</v>
      </c>
      <c r="F42" s="4">
        <f t="shared" si="0"/>
        <v>50000</v>
      </c>
      <c r="G42" s="4">
        <v>200000</v>
      </c>
      <c r="H42" s="4">
        <v>75387</v>
      </c>
      <c r="I42" s="4"/>
      <c r="J42" s="4">
        <v>25400.9</v>
      </c>
      <c r="K42" s="4">
        <f t="shared" si="17"/>
        <v>25400.9</v>
      </c>
      <c r="L42" s="4">
        <f t="shared" si="2"/>
        <v>100787.9</v>
      </c>
      <c r="M42" s="4">
        <f>P42+S42</f>
        <v>99212.1</v>
      </c>
      <c r="N42" s="4">
        <f>100000-50000</f>
        <v>50000</v>
      </c>
      <c r="O42" s="4">
        <f t="shared" si="3"/>
        <v>0</v>
      </c>
      <c r="P42" s="4">
        <f t="shared" si="4"/>
        <v>99212.1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50000</v>
      </c>
      <c r="V42" s="4">
        <f t="shared" si="8"/>
        <v>50000</v>
      </c>
      <c r="W42" s="4"/>
      <c r="X42" s="4"/>
      <c r="Y42" s="4"/>
      <c r="Z42" s="3"/>
      <c r="AA42" s="323" t="s">
        <v>678</v>
      </c>
      <c r="AB42" s="3">
        <v>732000</v>
      </c>
      <c r="AC42" s="483"/>
      <c r="AD42" s="4"/>
      <c r="AE42" s="4"/>
      <c r="AF42" s="4"/>
      <c r="AG42" s="4"/>
      <c r="AH42" s="4"/>
      <c r="AI42" s="4"/>
      <c r="AJ42" s="4"/>
      <c r="AK42" s="4"/>
      <c r="AL42" s="4">
        <f t="shared" si="9"/>
        <v>0</v>
      </c>
      <c r="AM42" s="4"/>
      <c r="AN42" s="4">
        <f t="shared" si="11"/>
        <v>0</v>
      </c>
      <c r="AO42" s="4">
        <f t="shared" si="12"/>
        <v>50000</v>
      </c>
      <c r="AP42" s="4">
        <f t="shared" si="13"/>
        <v>0</v>
      </c>
      <c r="AQ42" s="4"/>
      <c r="AR42" s="4"/>
      <c r="AS42" s="4"/>
      <c r="AT42" s="4"/>
      <c r="AU42" s="4">
        <f t="shared" si="14"/>
        <v>0</v>
      </c>
      <c r="AV42" s="4">
        <f t="shared" si="15"/>
        <v>0</v>
      </c>
      <c r="AW42" s="4"/>
      <c r="AX42" s="4"/>
      <c r="AY42" s="4"/>
      <c r="AZ42" s="4">
        <f t="shared" si="16"/>
        <v>50000</v>
      </c>
      <c r="BA42" s="4"/>
      <c r="BB42" s="4"/>
      <c r="BC42" s="4"/>
      <c r="BD42" s="3"/>
      <c r="BE42" s="14"/>
    </row>
    <row r="43" spans="1:57" s="5" customFormat="1" ht="19.95" customHeight="1">
      <c r="A43" s="3">
        <f t="shared" si="10"/>
        <v>37</v>
      </c>
      <c r="B43" s="3">
        <v>1620</v>
      </c>
      <c r="C43" s="39" t="s">
        <v>940</v>
      </c>
      <c r="D43" s="4">
        <v>1000000</v>
      </c>
      <c r="E43" s="4">
        <v>1000000</v>
      </c>
      <c r="F43" s="4">
        <f t="shared" si="0"/>
        <v>0</v>
      </c>
      <c r="G43" s="4">
        <v>100000</v>
      </c>
      <c r="H43" s="4">
        <v>0</v>
      </c>
      <c r="I43" s="4"/>
      <c r="J43" s="4"/>
      <c r="K43" s="4">
        <f t="shared" si="17"/>
        <v>0</v>
      </c>
      <c r="L43" s="4">
        <f t="shared" si="2"/>
        <v>0</v>
      </c>
      <c r="M43" s="4">
        <f>P43+S43</f>
        <v>100000</v>
      </c>
      <c r="N43" s="4">
        <f>300000-100000</f>
        <v>200000</v>
      </c>
      <c r="O43" s="4">
        <f t="shared" si="3"/>
        <v>700000</v>
      </c>
      <c r="P43" s="4">
        <f t="shared" si="4"/>
        <v>100000</v>
      </c>
      <c r="Q43" s="4"/>
      <c r="R43" s="4"/>
      <c r="S43" s="4">
        <f t="shared" si="5"/>
        <v>0</v>
      </c>
      <c r="T43" s="4">
        <f t="shared" si="6"/>
        <v>0</v>
      </c>
      <c r="U43" s="4">
        <f t="shared" si="7"/>
        <v>200000</v>
      </c>
      <c r="V43" s="4">
        <f t="shared" si="8"/>
        <v>200000</v>
      </c>
      <c r="W43" s="4"/>
      <c r="X43" s="4"/>
      <c r="Y43" s="4"/>
      <c r="Z43" s="3"/>
      <c r="AA43" s="323" t="s">
        <v>871</v>
      </c>
      <c r="AB43" s="3">
        <v>732000</v>
      </c>
      <c r="AC43" s="483"/>
      <c r="AD43" s="4">
        <v>100000</v>
      </c>
      <c r="AE43" s="4"/>
      <c r="AF43" s="4">
        <v>100000</v>
      </c>
      <c r="AG43" s="4"/>
      <c r="AH43" s="4"/>
      <c r="AI43" s="4"/>
      <c r="AJ43" s="4"/>
      <c r="AK43" s="4"/>
      <c r="AL43" s="4">
        <f t="shared" si="9"/>
        <v>200000</v>
      </c>
      <c r="AM43" s="4"/>
      <c r="AN43" s="4">
        <f t="shared" si="11"/>
        <v>200000</v>
      </c>
      <c r="AO43" s="4">
        <f t="shared" si="12"/>
        <v>0</v>
      </c>
      <c r="AP43" s="4">
        <f t="shared" si="13"/>
        <v>200000</v>
      </c>
      <c r="AQ43" s="4"/>
      <c r="AR43" s="4"/>
      <c r="AS43" s="4"/>
      <c r="AT43" s="4"/>
      <c r="AU43" s="4">
        <f t="shared" si="14"/>
        <v>0</v>
      </c>
      <c r="AV43" s="4">
        <f t="shared" si="15"/>
        <v>0</v>
      </c>
      <c r="AW43" s="4"/>
      <c r="AX43" s="4"/>
      <c r="AY43" s="4"/>
      <c r="AZ43" s="4">
        <f t="shared" si="16"/>
        <v>0</v>
      </c>
      <c r="BA43" s="4"/>
      <c r="BB43" s="4"/>
      <c r="BC43" s="4"/>
      <c r="BD43" s="3"/>
      <c r="BE43" s="14"/>
    </row>
    <row r="44" spans="1:57" s="5" customFormat="1" ht="19.95" customHeight="1">
      <c r="A44" s="3">
        <f t="shared" si="10"/>
        <v>38</v>
      </c>
      <c r="B44" s="3">
        <v>1660</v>
      </c>
      <c r="C44" s="3" t="s">
        <v>20</v>
      </c>
      <c r="D44" s="4">
        <v>2000000</v>
      </c>
      <c r="E44" s="4">
        <v>2000000</v>
      </c>
      <c r="F44" s="4">
        <f t="shared" si="0"/>
        <v>0</v>
      </c>
      <c r="G44" s="4">
        <v>350000</v>
      </c>
      <c r="H44" s="4">
        <v>91264</v>
      </c>
      <c r="I44" s="4"/>
      <c r="J44" s="4">
        <v>16666.650000000001</v>
      </c>
      <c r="K44" s="4">
        <f t="shared" si="17"/>
        <v>16666.650000000001</v>
      </c>
      <c r="L44" s="4">
        <f t="shared" si="2"/>
        <v>107930.65</v>
      </c>
      <c r="M44" s="4">
        <f>P44+S44-150000</f>
        <v>92069.35</v>
      </c>
      <c r="N44" s="4">
        <f>500000-100000</f>
        <v>400000</v>
      </c>
      <c r="O44" s="4">
        <f t="shared" si="3"/>
        <v>1400000</v>
      </c>
      <c r="P44" s="4">
        <f t="shared" si="4"/>
        <v>242069.35</v>
      </c>
      <c r="Q44" s="4"/>
      <c r="R44" s="4"/>
      <c r="S44" s="4">
        <f t="shared" si="5"/>
        <v>0</v>
      </c>
      <c r="T44" s="4">
        <f t="shared" si="6"/>
        <v>150000</v>
      </c>
      <c r="U44" s="4">
        <f t="shared" si="7"/>
        <v>250000</v>
      </c>
      <c r="V44" s="4">
        <f t="shared" si="8"/>
        <v>250000</v>
      </c>
      <c r="W44" s="4"/>
      <c r="X44" s="4"/>
      <c r="Y44" s="4"/>
      <c r="Z44" s="3"/>
      <c r="AA44" s="323" t="s">
        <v>422</v>
      </c>
      <c r="AB44" s="3">
        <v>732000</v>
      </c>
      <c r="AC44" s="483"/>
      <c r="AD44" s="4"/>
      <c r="AE44" s="4"/>
      <c r="AF44" s="4">
        <v>100000</v>
      </c>
      <c r="AG44" s="4"/>
      <c r="AH44" s="4">
        <v>150000</v>
      </c>
      <c r="AI44" s="4"/>
      <c r="AJ44" s="4"/>
      <c r="AK44" s="4"/>
      <c r="AL44" s="4">
        <f t="shared" si="9"/>
        <v>250000</v>
      </c>
      <c r="AM44" s="4"/>
      <c r="AN44" s="4">
        <f t="shared" si="11"/>
        <v>250000</v>
      </c>
      <c r="AO44" s="4">
        <f t="shared" si="12"/>
        <v>0</v>
      </c>
      <c r="AP44" s="4">
        <f t="shared" si="13"/>
        <v>250000</v>
      </c>
      <c r="AQ44" s="4"/>
      <c r="AR44" s="4"/>
      <c r="AS44" s="4"/>
      <c r="AT44" s="4"/>
      <c r="AU44" s="4">
        <f t="shared" si="14"/>
        <v>0</v>
      </c>
      <c r="AV44" s="4">
        <f t="shared" si="15"/>
        <v>0</v>
      </c>
      <c r="AW44" s="4"/>
      <c r="AX44" s="4"/>
      <c r="AY44" s="4"/>
      <c r="AZ44" s="4">
        <f t="shared" si="16"/>
        <v>0</v>
      </c>
      <c r="BA44" s="4"/>
      <c r="BB44" s="4"/>
      <c r="BC44" s="4"/>
      <c r="BD44" s="3"/>
      <c r="BE44" s="14"/>
    </row>
    <row r="45" spans="1:57" s="6" customFormat="1" ht="19.95" customHeight="1">
      <c r="A45" s="3">
        <f t="shared" si="10"/>
        <v>39</v>
      </c>
      <c r="B45" s="3">
        <v>1670</v>
      </c>
      <c r="C45" s="3" t="s">
        <v>129</v>
      </c>
      <c r="D45" s="4">
        <v>12500000</v>
      </c>
      <c r="E45" s="4">
        <v>12500000</v>
      </c>
      <c r="F45" s="4">
        <f t="shared" si="0"/>
        <v>0</v>
      </c>
      <c r="G45" s="4">
        <v>3800000</v>
      </c>
      <c r="H45" s="4">
        <v>168571</v>
      </c>
      <c r="I45" s="4">
        <v>195569.65</v>
      </c>
      <c r="J45" s="4">
        <f>968112-918635</f>
        <v>49477</v>
      </c>
      <c r="K45" s="4">
        <f t="shared" si="17"/>
        <v>245046.65</v>
      </c>
      <c r="L45" s="4">
        <f t="shared" si="2"/>
        <v>413617.65</v>
      </c>
      <c r="M45" s="4">
        <f>P45+S45-2450000-900000</f>
        <v>36382.350000000093</v>
      </c>
      <c r="N45" s="4">
        <f>2450000-2050000</f>
        <v>400000</v>
      </c>
      <c r="O45" s="4">
        <f t="shared" si="3"/>
        <v>11650000</v>
      </c>
      <c r="P45" s="4">
        <f t="shared" si="4"/>
        <v>3386382.35</v>
      </c>
      <c r="Q45" s="4"/>
      <c r="R45" s="4"/>
      <c r="S45" s="4">
        <f t="shared" si="5"/>
        <v>0</v>
      </c>
      <c r="T45" s="4">
        <f t="shared" si="6"/>
        <v>3350000</v>
      </c>
      <c r="U45" s="4">
        <f t="shared" si="7"/>
        <v>-2950000</v>
      </c>
      <c r="V45" s="4">
        <f t="shared" si="8"/>
        <v>-2950000</v>
      </c>
      <c r="W45" s="4"/>
      <c r="X45" s="4"/>
      <c r="Y45" s="4"/>
      <c r="Z45" s="3"/>
      <c r="AA45" s="323" t="s">
        <v>717</v>
      </c>
      <c r="AB45" s="3">
        <v>742000</v>
      </c>
      <c r="AC45" s="483"/>
      <c r="AD45" s="4"/>
      <c r="AE45" s="4"/>
      <c r="AF45" s="4">
        <v>-2950000</v>
      </c>
      <c r="AG45" s="4"/>
      <c r="AH45" s="4"/>
      <c r="AI45" s="4"/>
      <c r="AJ45" s="4"/>
      <c r="AK45" s="4"/>
      <c r="AL45" s="4">
        <f t="shared" si="9"/>
        <v>-2950000</v>
      </c>
      <c r="AM45" s="4"/>
      <c r="AN45" s="4">
        <f t="shared" si="11"/>
        <v>-2950000</v>
      </c>
      <c r="AO45" s="4">
        <f t="shared" si="12"/>
        <v>0</v>
      </c>
      <c r="AP45" s="4">
        <f t="shared" si="13"/>
        <v>-2950000</v>
      </c>
      <c r="AQ45" s="4"/>
      <c r="AR45" s="4"/>
      <c r="AS45" s="4"/>
      <c r="AT45" s="4"/>
      <c r="AU45" s="4">
        <f t="shared" si="14"/>
        <v>0</v>
      </c>
      <c r="AV45" s="4">
        <f t="shared" si="15"/>
        <v>0</v>
      </c>
      <c r="AW45" s="4"/>
      <c r="AX45" s="4"/>
      <c r="AY45" s="4"/>
      <c r="AZ45" s="4">
        <f t="shared" si="16"/>
        <v>0</v>
      </c>
      <c r="BA45" s="4"/>
      <c r="BB45" s="4"/>
      <c r="BC45" s="4"/>
      <c r="BD45" s="3"/>
      <c r="BE45" s="14"/>
    </row>
    <row r="46" spans="1:57" s="5" customFormat="1" ht="19.95" customHeight="1">
      <c r="A46" s="3">
        <f>A45+1</f>
        <v>40</v>
      </c>
      <c r="B46" s="3">
        <v>1674</v>
      </c>
      <c r="C46" s="3" t="s">
        <v>21</v>
      </c>
      <c r="D46" s="4">
        <v>2300000</v>
      </c>
      <c r="E46" s="4">
        <v>2100000</v>
      </c>
      <c r="F46" s="4">
        <f t="shared" si="0"/>
        <v>200000</v>
      </c>
      <c r="G46" s="4">
        <v>1800000</v>
      </c>
      <c r="H46" s="4">
        <v>1346844</v>
      </c>
      <c r="I46" s="4">
        <v>106408</v>
      </c>
      <c r="J46" s="4">
        <v>225895</v>
      </c>
      <c r="K46" s="4">
        <f t="shared" si="17"/>
        <v>332303</v>
      </c>
      <c r="L46" s="4">
        <f t="shared" si="2"/>
        <v>1679147</v>
      </c>
      <c r="M46" s="4">
        <f>P46+S46</f>
        <v>120853</v>
      </c>
      <c r="N46" s="4">
        <v>500000</v>
      </c>
      <c r="O46" s="4">
        <f t="shared" si="3"/>
        <v>0</v>
      </c>
      <c r="P46" s="4">
        <f t="shared" si="4"/>
        <v>120853</v>
      </c>
      <c r="Q46" s="4"/>
      <c r="R46" s="4"/>
      <c r="S46" s="4">
        <f t="shared" si="5"/>
        <v>0</v>
      </c>
      <c r="T46" s="4">
        <f t="shared" si="6"/>
        <v>0</v>
      </c>
      <c r="U46" s="4">
        <f t="shared" si="7"/>
        <v>500000</v>
      </c>
      <c r="V46" s="4">
        <f t="shared" si="8"/>
        <v>500000</v>
      </c>
      <c r="W46" s="4"/>
      <c r="X46" s="4"/>
      <c r="Y46" s="4"/>
      <c r="Z46" s="4"/>
      <c r="AA46" s="323" t="s">
        <v>423</v>
      </c>
      <c r="AB46" s="3">
        <v>732000</v>
      </c>
      <c r="AC46" s="483"/>
      <c r="AD46" s="4"/>
      <c r="AE46" s="4"/>
      <c r="AF46" s="4"/>
      <c r="AG46" s="4"/>
      <c r="AH46" s="4">
        <v>400000</v>
      </c>
      <c r="AI46" s="4"/>
      <c r="AJ46" s="4">
        <v>100000</v>
      </c>
      <c r="AK46" s="4"/>
      <c r="AL46" s="4">
        <f t="shared" si="9"/>
        <v>500000</v>
      </c>
      <c r="AM46" s="4"/>
      <c r="AN46" s="4">
        <f t="shared" si="11"/>
        <v>500000</v>
      </c>
      <c r="AO46" s="4">
        <f t="shared" si="12"/>
        <v>0</v>
      </c>
      <c r="AP46" s="4">
        <f t="shared" si="13"/>
        <v>500000</v>
      </c>
      <c r="AQ46" s="4"/>
      <c r="AR46" s="4"/>
      <c r="AS46" s="4"/>
      <c r="AT46" s="4"/>
      <c r="AU46" s="4">
        <f t="shared" si="14"/>
        <v>0</v>
      </c>
      <c r="AV46" s="4">
        <f t="shared" si="15"/>
        <v>0</v>
      </c>
      <c r="AW46" s="4"/>
      <c r="AX46" s="4"/>
      <c r="AY46" s="4"/>
      <c r="AZ46" s="4">
        <f t="shared" si="16"/>
        <v>0</v>
      </c>
      <c r="BA46" s="4"/>
      <c r="BB46" s="4"/>
      <c r="BC46" s="4"/>
      <c r="BD46" s="3"/>
      <c r="BE46" s="14"/>
    </row>
    <row r="47" spans="1:57" s="6" customFormat="1" ht="19.95" customHeight="1">
      <c r="A47" s="3">
        <f>A46+1</f>
        <v>41</v>
      </c>
      <c r="B47" s="3">
        <v>1692</v>
      </c>
      <c r="C47" s="3" t="s">
        <v>22</v>
      </c>
      <c r="D47" s="4">
        <v>2450000</v>
      </c>
      <c r="E47" s="4">
        <v>2450000</v>
      </c>
      <c r="F47" s="4">
        <f t="shared" si="0"/>
        <v>0</v>
      </c>
      <c r="G47" s="4">
        <v>1439186</v>
      </c>
      <c r="H47" s="4">
        <v>552319</v>
      </c>
      <c r="I47" s="4">
        <v>128716</v>
      </c>
      <c r="J47" s="4">
        <v>186</v>
      </c>
      <c r="K47" s="4">
        <f t="shared" si="17"/>
        <v>128902</v>
      </c>
      <c r="L47" s="4">
        <f t="shared" si="2"/>
        <v>681221</v>
      </c>
      <c r="M47" s="4">
        <f>P47+S47</f>
        <v>757965</v>
      </c>
      <c r="N47" s="4">
        <f>332242+370000</f>
        <v>702242</v>
      </c>
      <c r="O47" s="4">
        <f t="shared" si="3"/>
        <v>308572</v>
      </c>
      <c r="P47" s="4">
        <f t="shared" si="4"/>
        <v>757965</v>
      </c>
      <c r="Q47" s="4"/>
      <c r="R47" s="4"/>
      <c r="S47" s="4">
        <f t="shared" si="5"/>
        <v>0</v>
      </c>
      <c r="T47" s="4">
        <f t="shared" si="6"/>
        <v>0</v>
      </c>
      <c r="U47" s="4">
        <f t="shared" si="7"/>
        <v>702242</v>
      </c>
      <c r="V47" s="4">
        <f t="shared" si="8"/>
        <v>394919</v>
      </c>
      <c r="W47" s="4"/>
      <c r="X47" s="4"/>
      <c r="Y47" s="4"/>
      <c r="Z47" s="4">
        <f>307323</f>
        <v>307323</v>
      </c>
      <c r="AA47" s="323" t="s">
        <v>679</v>
      </c>
      <c r="AB47" s="3">
        <v>732000</v>
      </c>
      <c r="AC47" s="483"/>
      <c r="AD47" s="4"/>
      <c r="AE47" s="4"/>
      <c r="AF47" s="4"/>
      <c r="AG47" s="4"/>
      <c r="AH47" s="4"/>
      <c r="AI47" s="4"/>
      <c r="AJ47" s="4"/>
      <c r="AK47" s="4">
        <v>307323</v>
      </c>
      <c r="AL47" s="4">
        <f t="shared" si="9"/>
        <v>307323</v>
      </c>
      <c r="AM47" s="4"/>
      <c r="AN47" s="4">
        <f t="shared" si="11"/>
        <v>307323</v>
      </c>
      <c r="AO47" s="4">
        <f t="shared" si="12"/>
        <v>394919</v>
      </c>
      <c r="AP47" s="4">
        <f t="shared" si="13"/>
        <v>0</v>
      </c>
      <c r="AQ47" s="4"/>
      <c r="AR47" s="4"/>
      <c r="AS47" s="4"/>
      <c r="AT47" s="4">
        <v>307323</v>
      </c>
      <c r="AU47" s="4">
        <f t="shared" si="14"/>
        <v>0</v>
      </c>
      <c r="AV47" s="4">
        <f t="shared" si="15"/>
        <v>0</v>
      </c>
      <c r="AW47" s="4"/>
      <c r="AX47" s="4"/>
      <c r="AY47" s="4"/>
      <c r="AZ47" s="4">
        <f t="shared" si="16"/>
        <v>394919</v>
      </c>
      <c r="BA47" s="4"/>
      <c r="BB47" s="4"/>
      <c r="BC47" s="4"/>
      <c r="BD47" s="3"/>
      <c r="BE47" s="14"/>
    </row>
    <row r="48" spans="1:57" s="5" customFormat="1" ht="19.95" customHeight="1">
      <c r="A48" s="3">
        <f t="shared" ref="A48:A104" si="18">A47+1</f>
        <v>42</v>
      </c>
      <c r="B48" s="3">
        <v>1693</v>
      </c>
      <c r="C48" s="3" t="s">
        <v>153</v>
      </c>
      <c r="D48" s="4">
        <v>4500000</v>
      </c>
      <c r="E48" s="4">
        <v>4500000</v>
      </c>
      <c r="F48" s="4">
        <f t="shared" si="0"/>
        <v>0</v>
      </c>
      <c r="G48" s="4">
        <f>362478+1873003</f>
        <v>2235481</v>
      </c>
      <c r="H48" s="4">
        <v>312538.53000000003</v>
      </c>
      <c r="I48" s="4">
        <v>48062.98</v>
      </c>
      <c r="J48" s="4"/>
      <c r="K48" s="4">
        <f t="shared" si="17"/>
        <v>48062.98</v>
      </c>
      <c r="L48" s="4">
        <f t="shared" si="2"/>
        <v>360601.51</v>
      </c>
      <c r="M48" s="4">
        <f>P48+S48</f>
        <v>1874879.49</v>
      </c>
      <c r="N48" s="4">
        <f>1100000-1100000</f>
        <v>0</v>
      </c>
      <c r="O48" s="4">
        <f t="shared" si="3"/>
        <v>2264519</v>
      </c>
      <c r="P48" s="4">
        <f t="shared" si="4"/>
        <v>1874879.49</v>
      </c>
      <c r="Q48" s="4"/>
      <c r="R48" s="4"/>
      <c r="S48" s="4">
        <f t="shared" si="5"/>
        <v>0</v>
      </c>
      <c r="T48" s="4">
        <f t="shared" si="6"/>
        <v>0</v>
      </c>
      <c r="U48" s="4">
        <f t="shared" si="7"/>
        <v>0</v>
      </c>
      <c r="V48" s="4">
        <f t="shared" si="8"/>
        <v>-17810</v>
      </c>
      <c r="W48" s="4"/>
      <c r="X48" s="4"/>
      <c r="Y48" s="4"/>
      <c r="Z48" s="4">
        <v>17810</v>
      </c>
      <c r="AA48" s="323" t="s">
        <v>728</v>
      </c>
      <c r="AB48" s="3">
        <v>732000</v>
      </c>
      <c r="AC48" s="483"/>
      <c r="AD48" s="4"/>
      <c r="AE48" s="4"/>
      <c r="AF48" s="4"/>
      <c r="AG48" s="4"/>
      <c r="AH48" s="4"/>
      <c r="AI48" s="4"/>
      <c r="AJ48" s="4"/>
      <c r="AK48" s="4"/>
      <c r="AL48" s="4">
        <f t="shared" si="9"/>
        <v>0</v>
      </c>
      <c r="AM48" s="4"/>
      <c r="AN48" s="4">
        <f t="shared" si="11"/>
        <v>0</v>
      </c>
      <c r="AO48" s="4">
        <f t="shared" si="12"/>
        <v>0</v>
      </c>
      <c r="AP48" s="4">
        <f t="shared" si="13"/>
        <v>-17810</v>
      </c>
      <c r="AQ48" s="4"/>
      <c r="AR48" s="4"/>
      <c r="AS48" s="4"/>
      <c r="AT48" s="4">
        <v>17810</v>
      </c>
      <c r="AU48" s="4">
        <f t="shared" si="14"/>
        <v>0</v>
      </c>
      <c r="AV48" s="4">
        <f t="shared" si="15"/>
        <v>0</v>
      </c>
      <c r="AW48" s="4"/>
      <c r="AX48" s="4"/>
      <c r="AY48" s="4"/>
      <c r="AZ48" s="4">
        <f t="shared" si="16"/>
        <v>0</v>
      </c>
      <c r="BA48" s="4"/>
      <c r="BB48" s="4"/>
      <c r="BC48" s="4"/>
      <c r="BD48" s="3"/>
      <c r="BE48" s="14"/>
    </row>
    <row r="49" spans="1:57" s="5" customFormat="1" ht="19.95" customHeight="1">
      <c r="A49" s="3">
        <f t="shared" si="18"/>
        <v>43</v>
      </c>
      <c r="B49" s="3">
        <v>1701</v>
      </c>
      <c r="C49" s="3" t="s">
        <v>424</v>
      </c>
      <c r="D49" s="4">
        <v>1250000</v>
      </c>
      <c r="E49" s="4">
        <v>1250000</v>
      </c>
      <c r="F49" s="4">
        <f t="shared" si="0"/>
        <v>0</v>
      </c>
      <c r="G49" s="4">
        <v>850000</v>
      </c>
      <c r="H49" s="4">
        <v>108257</v>
      </c>
      <c r="I49" s="4">
        <v>104008.32000000001</v>
      </c>
      <c r="J49" s="4">
        <v>169952</v>
      </c>
      <c r="K49" s="4">
        <f t="shared" si="17"/>
        <v>273960.32000000001</v>
      </c>
      <c r="L49" s="4">
        <f t="shared" si="2"/>
        <v>382217.32</v>
      </c>
      <c r="M49" s="4">
        <f>P49+S49-270000</f>
        <v>197782.68</v>
      </c>
      <c r="N49" s="4">
        <v>270000</v>
      </c>
      <c r="O49" s="4">
        <f t="shared" si="3"/>
        <v>400000</v>
      </c>
      <c r="P49" s="4">
        <f t="shared" si="4"/>
        <v>467782.68</v>
      </c>
      <c r="Q49" s="4"/>
      <c r="R49" s="4"/>
      <c r="S49" s="4">
        <f t="shared" si="5"/>
        <v>0</v>
      </c>
      <c r="T49" s="4">
        <f t="shared" si="6"/>
        <v>270000</v>
      </c>
      <c r="U49" s="4">
        <f t="shared" si="7"/>
        <v>0</v>
      </c>
      <c r="V49" s="4">
        <f t="shared" si="8"/>
        <v>0</v>
      </c>
      <c r="W49" s="4"/>
      <c r="X49" s="4"/>
      <c r="Y49" s="4"/>
      <c r="Z49" s="3"/>
      <c r="AA49" s="323" t="s">
        <v>729</v>
      </c>
      <c r="AB49" s="3">
        <v>732000</v>
      </c>
      <c r="AC49" s="483"/>
      <c r="AD49" s="4"/>
      <c r="AE49" s="4"/>
      <c r="AF49" s="4"/>
      <c r="AG49" s="4"/>
      <c r="AH49" s="4"/>
      <c r="AI49" s="4"/>
      <c r="AJ49" s="4"/>
      <c r="AK49" s="4"/>
      <c r="AL49" s="4">
        <f t="shared" si="9"/>
        <v>0</v>
      </c>
      <c r="AM49" s="4"/>
      <c r="AN49" s="4">
        <f t="shared" si="11"/>
        <v>0</v>
      </c>
      <c r="AO49" s="4">
        <f t="shared" si="12"/>
        <v>0</v>
      </c>
      <c r="AP49" s="4">
        <f t="shared" si="13"/>
        <v>0</v>
      </c>
      <c r="AQ49" s="4"/>
      <c r="AR49" s="4"/>
      <c r="AS49" s="4"/>
      <c r="AT49" s="4"/>
      <c r="AU49" s="4">
        <f t="shared" si="14"/>
        <v>0</v>
      </c>
      <c r="AV49" s="4">
        <f t="shared" si="15"/>
        <v>0</v>
      </c>
      <c r="AW49" s="4"/>
      <c r="AX49" s="4"/>
      <c r="AY49" s="4"/>
      <c r="AZ49" s="4">
        <f t="shared" si="16"/>
        <v>0</v>
      </c>
      <c r="BA49" s="4"/>
      <c r="BB49" s="4"/>
      <c r="BC49" s="4"/>
      <c r="BD49" s="3"/>
      <c r="BE49" s="14"/>
    </row>
    <row r="50" spans="1:57" s="5" customFormat="1" ht="19.95" customHeight="1">
      <c r="A50" s="3">
        <f t="shared" si="18"/>
        <v>44</v>
      </c>
      <c r="B50" s="3">
        <v>1722</v>
      </c>
      <c r="C50" s="3" t="s">
        <v>47</v>
      </c>
      <c r="D50" s="4">
        <v>2400000</v>
      </c>
      <c r="E50" s="4">
        <v>2400000</v>
      </c>
      <c r="F50" s="4">
        <f t="shared" si="0"/>
        <v>0</v>
      </c>
      <c r="G50" s="4">
        <v>400000</v>
      </c>
      <c r="H50" s="4">
        <v>98067.4</v>
      </c>
      <c r="I50" s="4">
        <v>67052.7</v>
      </c>
      <c r="J50" s="4">
        <v>47158.73</v>
      </c>
      <c r="K50" s="4">
        <f t="shared" si="17"/>
        <v>114211.43</v>
      </c>
      <c r="L50" s="4">
        <f t="shared" si="2"/>
        <v>212278.83</v>
      </c>
      <c r="M50" s="4">
        <f>P50+S50-100000</f>
        <v>87721.170000000013</v>
      </c>
      <c r="N50" s="4"/>
      <c r="O50" s="4">
        <f t="shared" si="3"/>
        <v>2100000</v>
      </c>
      <c r="P50" s="4">
        <f t="shared" si="4"/>
        <v>187721.17</v>
      </c>
      <c r="Q50" s="4"/>
      <c r="R50" s="4"/>
      <c r="S50" s="4">
        <f t="shared" si="5"/>
        <v>0</v>
      </c>
      <c r="T50" s="4">
        <f t="shared" si="6"/>
        <v>100000</v>
      </c>
      <c r="U50" s="4">
        <f t="shared" si="7"/>
        <v>-100000</v>
      </c>
      <c r="V50" s="4">
        <f t="shared" si="8"/>
        <v>-100000</v>
      </c>
      <c r="W50" s="4"/>
      <c r="X50" s="4"/>
      <c r="Y50" s="4"/>
      <c r="Z50" s="3"/>
      <c r="AA50" s="323" t="s">
        <v>425</v>
      </c>
      <c r="AB50" s="3">
        <v>742000</v>
      </c>
      <c r="AC50" s="483"/>
      <c r="AD50" s="4"/>
      <c r="AE50" s="4"/>
      <c r="AF50" s="4">
        <v>-100000</v>
      </c>
      <c r="AG50" s="4"/>
      <c r="AH50" s="4"/>
      <c r="AI50" s="4"/>
      <c r="AJ50" s="4"/>
      <c r="AK50" s="4"/>
      <c r="AL50" s="4">
        <f t="shared" si="9"/>
        <v>-100000</v>
      </c>
      <c r="AM50" s="4"/>
      <c r="AN50" s="4">
        <f t="shared" si="11"/>
        <v>-100000</v>
      </c>
      <c r="AO50" s="4">
        <f t="shared" si="12"/>
        <v>0</v>
      </c>
      <c r="AP50" s="4">
        <f t="shared" si="13"/>
        <v>-100000</v>
      </c>
      <c r="AQ50" s="4"/>
      <c r="AR50" s="4"/>
      <c r="AS50" s="4"/>
      <c r="AT50" s="4"/>
      <c r="AU50" s="4">
        <f t="shared" si="14"/>
        <v>0</v>
      </c>
      <c r="AV50" s="4">
        <f t="shared" si="15"/>
        <v>0</v>
      </c>
      <c r="AW50" s="4"/>
      <c r="AX50" s="4"/>
      <c r="AY50" s="4"/>
      <c r="AZ50" s="4">
        <f t="shared" si="16"/>
        <v>0</v>
      </c>
      <c r="BA50" s="4"/>
      <c r="BB50" s="4"/>
      <c r="BC50" s="4"/>
      <c r="BD50" s="3"/>
      <c r="BE50" s="14"/>
    </row>
    <row r="51" spans="1:57" s="5" customFormat="1" ht="19.95" customHeight="1">
      <c r="A51" s="3">
        <f t="shared" si="18"/>
        <v>45</v>
      </c>
      <c r="B51" s="188">
        <v>1725</v>
      </c>
      <c r="C51" s="188" t="s">
        <v>1332</v>
      </c>
      <c r="D51" s="4">
        <v>13520000</v>
      </c>
      <c r="E51" s="4">
        <v>13520000</v>
      </c>
      <c r="F51" s="4">
        <f t="shared" si="0"/>
        <v>0</v>
      </c>
      <c r="G51" s="4">
        <v>13520000</v>
      </c>
      <c r="H51" s="4">
        <v>13343609.32</v>
      </c>
      <c r="I51" s="4">
        <v>48702.71</v>
      </c>
      <c r="J51" s="4">
        <v>26687.57</v>
      </c>
      <c r="K51" s="4">
        <f t="shared" si="17"/>
        <v>75390.28</v>
      </c>
      <c r="L51" s="4">
        <f t="shared" si="2"/>
        <v>13418999.6</v>
      </c>
      <c r="M51" s="4">
        <f>P51+S51-100000</f>
        <v>1000.4000000003725</v>
      </c>
      <c r="N51" s="4"/>
      <c r="O51" s="4">
        <f t="shared" si="3"/>
        <v>100000</v>
      </c>
      <c r="P51" s="4">
        <f t="shared" si="4"/>
        <v>101000.40000000037</v>
      </c>
      <c r="Q51" s="4"/>
      <c r="R51" s="4"/>
      <c r="S51" s="4">
        <f t="shared" si="5"/>
        <v>0</v>
      </c>
      <c r="T51" s="4">
        <f t="shared" si="6"/>
        <v>100000</v>
      </c>
      <c r="U51" s="4">
        <f t="shared" si="7"/>
        <v>-100000</v>
      </c>
      <c r="V51" s="4">
        <f t="shared" si="8"/>
        <v>-100000</v>
      </c>
      <c r="W51" s="4"/>
      <c r="X51" s="4"/>
      <c r="Y51" s="4"/>
      <c r="Z51" s="3"/>
      <c r="AA51" s="323"/>
      <c r="AB51" s="3">
        <v>742000</v>
      </c>
      <c r="AC51" s="483"/>
      <c r="AD51" s="4"/>
      <c r="AE51" s="4"/>
      <c r="AF51" s="4">
        <v>-100000</v>
      </c>
      <c r="AG51" s="4"/>
      <c r="AH51" s="4"/>
      <c r="AI51" s="4"/>
      <c r="AJ51" s="4"/>
      <c r="AK51" s="4"/>
      <c r="AL51" s="4">
        <f t="shared" si="9"/>
        <v>-100000</v>
      </c>
      <c r="AM51" s="4"/>
      <c r="AN51" s="4">
        <f t="shared" si="11"/>
        <v>-100000</v>
      </c>
      <c r="AO51" s="4">
        <f t="shared" si="12"/>
        <v>0</v>
      </c>
      <c r="AP51" s="4">
        <f t="shared" si="13"/>
        <v>-100000</v>
      </c>
      <c r="AQ51" s="4"/>
      <c r="AR51" s="4"/>
      <c r="AS51" s="4"/>
      <c r="AT51" s="4"/>
      <c r="AU51" s="4">
        <f t="shared" si="14"/>
        <v>0</v>
      </c>
      <c r="AV51" s="4">
        <f t="shared" si="15"/>
        <v>0</v>
      </c>
      <c r="AW51" s="4"/>
      <c r="AX51" s="4"/>
      <c r="AY51" s="4"/>
      <c r="AZ51" s="4">
        <f t="shared" si="16"/>
        <v>0</v>
      </c>
      <c r="BA51" s="4"/>
      <c r="BB51" s="4"/>
      <c r="BC51" s="4"/>
      <c r="BD51" s="3"/>
      <c r="BE51" s="14"/>
    </row>
    <row r="52" spans="1:57" s="5" customFormat="1" ht="19.95" customHeight="1">
      <c r="A52" s="3">
        <f t="shared" si="18"/>
        <v>46</v>
      </c>
      <c r="B52" s="3">
        <v>1744</v>
      </c>
      <c r="C52" s="3" t="s">
        <v>48</v>
      </c>
      <c r="D52" s="4">
        <v>13000000</v>
      </c>
      <c r="E52" s="4">
        <v>13000000</v>
      </c>
      <c r="F52" s="4">
        <f t="shared" si="0"/>
        <v>0</v>
      </c>
      <c r="G52" s="4">
        <v>8200000</v>
      </c>
      <c r="H52" s="4">
        <v>3125812</v>
      </c>
      <c r="I52" s="4"/>
      <c r="J52" s="4">
        <v>3820125</v>
      </c>
      <c r="K52" s="4">
        <f t="shared" si="17"/>
        <v>3820125</v>
      </c>
      <c r="L52" s="4">
        <f t="shared" si="2"/>
        <v>6945937</v>
      </c>
      <c r="M52" s="4">
        <f>P52+S52-700000</f>
        <v>554063</v>
      </c>
      <c r="N52" s="4">
        <f>4800000+700000</f>
        <v>5500000</v>
      </c>
      <c r="O52" s="4">
        <f t="shared" si="3"/>
        <v>0</v>
      </c>
      <c r="P52" s="4">
        <f t="shared" si="4"/>
        <v>1254063</v>
      </c>
      <c r="Q52" s="4"/>
      <c r="R52" s="4"/>
      <c r="S52" s="4">
        <f t="shared" si="5"/>
        <v>0</v>
      </c>
      <c r="T52" s="4">
        <f t="shared" si="6"/>
        <v>700000</v>
      </c>
      <c r="U52" s="4">
        <f t="shared" si="7"/>
        <v>4800000</v>
      </c>
      <c r="V52" s="4">
        <f t="shared" si="8"/>
        <v>4800000</v>
      </c>
      <c r="W52" s="4"/>
      <c r="X52" s="4"/>
      <c r="Y52" s="4"/>
      <c r="Z52" s="3"/>
      <c r="AA52" s="323" t="s">
        <v>730</v>
      </c>
      <c r="AB52" s="3">
        <v>742000</v>
      </c>
      <c r="AC52" s="483"/>
      <c r="AD52" s="4"/>
      <c r="AE52" s="4"/>
      <c r="AF52" s="4"/>
      <c r="AG52" s="4"/>
      <c r="AH52" s="4"/>
      <c r="AI52" s="4"/>
      <c r="AJ52" s="4"/>
      <c r="AK52" s="4"/>
      <c r="AL52" s="4">
        <f t="shared" si="9"/>
        <v>0</v>
      </c>
      <c r="AM52" s="4"/>
      <c r="AN52" s="4">
        <f t="shared" si="11"/>
        <v>0</v>
      </c>
      <c r="AO52" s="4">
        <f t="shared" si="12"/>
        <v>4800000</v>
      </c>
      <c r="AP52" s="4">
        <f t="shared" si="13"/>
        <v>0</v>
      </c>
      <c r="AQ52" s="4"/>
      <c r="AR52" s="4"/>
      <c r="AS52" s="4"/>
      <c r="AT52" s="4"/>
      <c r="AU52" s="4">
        <f t="shared" si="14"/>
        <v>0</v>
      </c>
      <c r="AV52" s="4">
        <f t="shared" si="15"/>
        <v>0</v>
      </c>
      <c r="AW52" s="4"/>
      <c r="AX52" s="4"/>
      <c r="AY52" s="4"/>
      <c r="AZ52" s="4">
        <f t="shared" si="16"/>
        <v>4800000</v>
      </c>
      <c r="BA52" s="4"/>
      <c r="BB52" s="4"/>
      <c r="BC52" s="4"/>
      <c r="BD52" s="3"/>
      <c r="BE52" s="14"/>
    </row>
    <row r="53" spans="1:57" s="5" customFormat="1" ht="19.95" customHeight="1">
      <c r="A53" s="3">
        <f t="shared" si="18"/>
        <v>47</v>
      </c>
      <c r="B53" s="3">
        <v>1746</v>
      </c>
      <c r="C53" s="3" t="s">
        <v>32</v>
      </c>
      <c r="D53" s="4">
        <v>55000000</v>
      </c>
      <c r="E53" s="4">
        <v>55000000</v>
      </c>
      <c r="F53" s="4">
        <f t="shared" si="0"/>
        <v>0</v>
      </c>
      <c r="G53" s="4">
        <v>0</v>
      </c>
      <c r="H53" s="4">
        <v>0</v>
      </c>
      <c r="I53" s="4"/>
      <c r="J53" s="4"/>
      <c r="K53" s="4">
        <f t="shared" si="17"/>
        <v>0</v>
      </c>
      <c r="L53" s="4">
        <f t="shared" si="2"/>
        <v>0</v>
      </c>
      <c r="M53" s="4">
        <f>P53+S53</f>
        <v>0</v>
      </c>
      <c r="N53" s="4"/>
      <c r="O53" s="4">
        <f t="shared" si="3"/>
        <v>55000000</v>
      </c>
      <c r="P53" s="4">
        <f t="shared" si="4"/>
        <v>0</v>
      </c>
      <c r="Q53" s="4"/>
      <c r="R53" s="4"/>
      <c r="S53" s="4">
        <f t="shared" si="5"/>
        <v>0</v>
      </c>
      <c r="T53" s="4">
        <f t="shared" si="6"/>
        <v>0</v>
      </c>
      <c r="U53" s="4">
        <f t="shared" si="7"/>
        <v>0</v>
      </c>
      <c r="V53" s="4">
        <f t="shared" si="8"/>
        <v>0</v>
      </c>
      <c r="W53" s="4"/>
      <c r="X53" s="4"/>
      <c r="Y53" s="4"/>
      <c r="Z53" s="3"/>
      <c r="AA53" s="323"/>
      <c r="AB53" s="3">
        <v>742000</v>
      </c>
      <c r="AC53" s="483"/>
      <c r="AD53" s="4"/>
      <c r="AE53" s="4"/>
      <c r="AF53" s="4"/>
      <c r="AG53" s="4"/>
      <c r="AH53" s="4"/>
      <c r="AI53" s="4"/>
      <c r="AJ53" s="4"/>
      <c r="AK53" s="4"/>
      <c r="AL53" s="4">
        <f t="shared" si="9"/>
        <v>0</v>
      </c>
      <c r="AM53" s="4"/>
      <c r="AN53" s="4">
        <f t="shared" si="11"/>
        <v>0</v>
      </c>
      <c r="AO53" s="4">
        <f t="shared" si="12"/>
        <v>0</v>
      </c>
      <c r="AP53" s="4">
        <f t="shared" si="13"/>
        <v>0</v>
      </c>
      <c r="AQ53" s="4"/>
      <c r="AR53" s="4"/>
      <c r="AS53" s="4"/>
      <c r="AT53" s="4"/>
      <c r="AU53" s="4">
        <f t="shared" si="14"/>
        <v>0</v>
      </c>
      <c r="AV53" s="4">
        <f t="shared" si="15"/>
        <v>0</v>
      </c>
      <c r="AW53" s="4"/>
      <c r="AX53" s="4"/>
      <c r="AY53" s="4"/>
      <c r="AZ53" s="4">
        <f t="shared" si="16"/>
        <v>0</v>
      </c>
      <c r="BA53" s="4"/>
      <c r="BB53" s="4"/>
      <c r="BC53" s="4"/>
      <c r="BD53" s="3"/>
      <c r="BE53" s="14"/>
    </row>
    <row r="54" spans="1:57" s="6" customFormat="1" ht="19.95" customHeight="1">
      <c r="A54" s="3">
        <f>A53+1</f>
        <v>48</v>
      </c>
      <c r="B54" s="3">
        <v>1748</v>
      </c>
      <c r="C54" s="3" t="s">
        <v>426</v>
      </c>
      <c r="D54" s="4">
        <f>1120000-1000000</f>
        <v>120000</v>
      </c>
      <c r="E54" s="4">
        <v>120000</v>
      </c>
      <c r="F54" s="4">
        <f t="shared" si="0"/>
        <v>0</v>
      </c>
      <c r="G54" s="4">
        <v>120000</v>
      </c>
      <c r="H54" s="4">
        <v>89830.86</v>
      </c>
      <c r="I54" s="4">
        <v>29280.55</v>
      </c>
      <c r="J54" s="4"/>
      <c r="K54" s="4">
        <f t="shared" si="17"/>
        <v>29280.55</v>
      </c>
      <c r="L54" s="4">
        <f t="shared" si="2"/>
        <v>119111.41</v>
      </c>
      <c r="M54" s="4">
        <f>P54+S54</f>
        <v>888.58999999999651</v>
      </c>
      <c r="N54" s="4">
        <f>1000000-1000000</f>
        <v>0</v>
      </c>
      <c r="O54" s="4">
        <f t="shared" si="3"/>
        <v>0</v>
      </c>
      <c r="P54" s="4">
        <f t="shared" si="4"/>
        <v>888.58999999999651</v>
      </c>
      <c r="Q54" s="4"/>
      <c r="R54" s="4"/>
      <c r="S54" s="4">
        <f t="shared" si="5"/>
        <v>0</v>
      </c>
      <c r="T54" s="4">
        <f t="shared" si="6"/>
        <v>0</v>
      </c>
      <c r="U54" s="4">
        <f t="shared" si="7"/>
        <v>0</v>
      </c>
      <c r="V54" s="4">
        <f t="shared" si="8"/>
        <v>0</v>
      </c>
      <c r="W54" s="4"/>
      <c r="X54" s="4"/>
      <c r="Y54" s="4"/>
      <c r="Z54" s="3"/>
      <c r="AA54" s="323"/>
      <c r="AB54" s="3">
        <v>732000</v>
      </c>
      <c r="AC54" s="483"/>
      <c r="AD54" s="4"/>
      <c r="AE54" s="4"/>
      <c r="AF54" s="4"/>
      <c r="AG54" s="4"/>
      <c r="AH54" s="4"/>
      <c r="AI54" s="4"/>
      <c r="AJ54" s="4"/>
      <c r="AK54" s="4"/>
      <c r="AL54" s="4">
        <f t="shared" si="9"/>
        <v>0</v>
      </c>
      <c r="AM54" s="4"/>
      <c r="AN54" s="4">
        <f t="shared" si="11"/>
        <v>0</v>
      </c>
      <c r="AO54" s="4">
        <f t="shared" si="12"/>
        <v>0</v>
      </c>
      <c r="AP54" s="4">
        <f t="shared" si="13"/>
        <v>0</v>
      </c>
      <c r="AQ54" s="4"/>
      <c r="AR54" s="4"/>
      <c r="AS54" s="4"/>
      <c r="AT54" s="4"/>
      <c r="AU54" s="4">
        <f t="shared" si="14"/>
        <v>0</v>
      </c>
      <c r="AV54" s="4">
        <f t="shared" si="15"/>
        <v>0</v>
      </c>
      <c r="AW54" s="4"/>
      <c r="AX54" s="4"/>
      <c r="AY54" s="4"/>
      <c r="AZ54" s="4">
        <f t="shared" si="16"/>
        <v>0</v>
      </c>
      <c r="BA54" s="4"/>
      <c r="BB54" s="4"/>
      <c r="BC54" s="4"/>
      <c r="BD54" s="3"/>
      <c r="BE54" s="14"/>
    </row>
    <row r="55" spans="1:57" s="6" customFormat="1" ht="19.95" customHeight="1">
      <c r="A55" s="3">
        <f t="shared" si="18"/>
        <v>49</v>
      </c>
      <c r="B55" s="3">
        <v>1755</v>
      </c>
      <c r="C55" s="3" t="s">
        <v>25</v>
      </c>
      <c r="D55" s="4">
        <v>200000</v>
      </c>
      <c r="E55" s="4">
        <v>200000</v>
      </c>
      <c r="F55" s="4">
        <f t="shared" si="0"/>
        <v>0</v>
      </c>
      <c r="G55" s="4">
        <v>200000</v>
      </c>
      <c r="H55" s="4">
        <v>69371.839999999997</v>
      </c>
      <c r="I55" s="4"/>
      <c r="J55" s="4">
        <v>21992.97</v>
      </c>
      <c r="K55" s="4">
        <f t="shared" si="17"/>
        <v>21992.97</v>
      </c>
      <c r="L55" s="4">
        <f t="shared" si="2"/>
        <v>91364.81</v>
      </c>
      <c r="M55" s="4">
        <f>P55+S55-100000</f>
        <v>8635.1900000000023</v>
      </c>
      <c r="N55" s="4"/>
      <c r="O55" s="4">
        <f t="shared" si="3"/>
        <v>100000</v>
      </c>
      <c r="P55" s="4">
        <f t="shared" si="4"/>
        <v>108635.19</v>
      </c>
      <c r="Q55" s="4"/>
      <c r="R55" s="4"/>
      <c r="S55" s="4">
        <f t="shared" si="5"/>
        <v>0</v>
      </c>
      <c r="T55" s="4">
        <f t="shared" si="6"/>
        <v>100000</v>
      </c>
      <c r="U55" s="4">
        <f t="shared" si="7"/>
        <v>-100000</v>
      </c>
      <c r="V55" s="4">
        <f t="shared" si="8"/>
        <v>-100000</v>
      </c>
      <c r="W55" s="4"/>
      <c r="X55" s="4"/>
      <c r="Y55" s="4"/>
      <c r="Z55" s="3"/>
      <c r="AA55" s="323" t="s">
        <v>680</v>
      </c>
      <c r="AB55" s="3">
        <v>732000</v>
      </c>
      <c r="AC55" s="483"/>
      <c r="AD55" s="4"/>
      <c r="AE55" s="4"/>
      <c r="AF55" s="4">
        <v>-100000</v>
      </c>
      <c r="AG55" s="4"/>
      <c r="AH55" s="4"/>
      <c r="AI55" s="4"/>
      <c r="AJ55" s="4"/>
      <c r="AK55" s="4"/>
      <c r="AL55" s="4">
        <f t="shared" si="9"/>
        <v>-100000</v>
      </c>
      <c r="AM55" s="4"/>
      <c r="AN55" s="4">
        <f t="shared" si="11"/>
        <v>-100000</v>
      </c>
      <c r="AO55" s="4">
        <f t="shared" si="12"/>
        <v>0</v>
      </c>
      <c r="AP55" s="4">
        <f t="shared" si="13"/>
        <v>-100000</v>
      </c>
      <c r="AQ55" s="4"/>
      <c r="AR55" s="4"/>
      <c r="AS55" s="4"/>
      <c r="AT55" s="4"/>
      <c r="AU55" s="4">
        <f t="shared" si="14"/>
        <v>0</v>
      </c>
      <c r="AV55" s="4">
        <f t="shared" si="15"/>
        <v>0</v>
      </c>
      <c r="AW55" s="4"/>
      <c r="AX55" s="4"/>
      <c r="AY55" s="4"/>
      <c r="AZ55" s="4">
        <f t="shared" si="16"/>
        <v>0</v>
      </c>
      <c r="BA55" s="4"/>
      <c r="BB55" s="4"/>
      <c r="BC55" s="4"/>
      <c r="BD55" s="3"/>
      <c r="BE55" s="14"/>
    </row>
    <row r="56" spans="1:57" s="6" customFormat="1" ht="19.95" customHeight="1">
      <c r="A56" s="3">
        <f t="shared" si="18"/>
        <v>50</v>
      </c>
      <c r="B56" s="3">
        <v>1756</v>
      </c>
      <c r="C56" s="3" t="s">
        <v>23</v>
      </c>
      <c r="D56" s="4">
        <v>800000</v>
      </c>
      <c r="E56" s="4">
        <v>800000</v>
      </c>
      <c r="F56" s="4">
        <f t="shared" si="0"/>
        <v>0</v>
      </c>
      <c r="G56" s="4">
        <v>400000</v>
      </c>
      <c r="H56" s="4">
        <v>239672</v>
      </c>
      <c r="I56" s="4"/>
      <c r="J56" s="4">
        <v>44604</v>
      </c>
      <c r="K56" s="4">
        <f t="shared" si="17"/>
        <v>44604</v>
      </c>
      <c r="L56" s="4">
        <f t="shared" si="2"/>
        <v>284276</v>
      </c>
      <c r="M56" s="4">
        <f>P56+S56-100000</f>
        <v>15724</v>
      </c>
      <c r="N56" s="4">
        <v>100000</v>
      </c>
      <c r="O56" s="4">
        <f t="shared" si="3"/>
        <v>400000</v>
      </c>
      <c r="P56" s="4">
        <f t="shared" si="4"/>
        <v>115724</v>
      </c>
      <c r="Q56" s="4"/>
      <c r="R56" s="4"/>
      <c r="S56" s="4">
        <f t="shared" si="5"/>
        <v>0</v>
      </c>
      <c r="T56" s="4">
        <f t="shared" si="6"/>
        <v>100000</v>
      </c>
      <c r="U56" s="4">
        <f t="shared" si="7"/>
        <v>0</v>
      </c>
      <c r="V56" s="4">
        <f t="shared" si="8"/>
        <v>0</v>
      </c>
      <c r="W56" s="4"/>
      <c r="X56" s="4"/>
      <c r="Y56" s="4"/>
      <c r="Z56" s="4"/>
      <c r="AA56" s="323" t="s">
        <v>627</v>
      </c>
      <c r="AB56" s="3">
        <v>732000</v>
      </c>
      <c r="AC56" s="483"/>
      <c r="AD56" s="4"/>
      <c r="AE56" s="4"/>
      <c r="AF56" s="4"/>
      <c r="AG56" s="4"/>
      <c r="AH56" s="4"/>
      <c r="AI56" s="4"/>
      <c r="AJ56" s="4"/>
      <c r="AK56" s="4"/>
      <c r="AL56" s="4">
        <f t="shared" si="9"/>
        <v>0</v>
      </c>
      <c r="AM56" s="4"/>
      <c r="AN56" s="4">
        <f t="shared" si="11"/>
        <v>0</v>
      </c>
      <c r="AO56" s="4">
        <f t="shared" si="12"/>
        <v>0</v>
      </c>
      <c r="AP56" s="4">
        <f t="shared" si="13"/>
        <v>0</v>
      </c>
      <c r="AQ56" s="4"/>
      <c r="AR56" s="4"/>
      <c r="AS56" s="4"/>
      <c r="AT56" s="4"/>
      <c r="AU56" s="4">
        <f t="shared" si="14"/>
        <v>0</v>
      </c>
      <c r="AV56" s="4">
        <f t="shared" si="15"/>
        <v>0</v>
      </c>
      <c r="AW56" s="4"/>
      <c r="AX56" s="4"/>
      <c r="AY56" s="4"/>
      <c r="AZ56" s="4">
        <f t="shared" si="16"/>
        <v>0</v>
      </c>
      <c r="BA56" s="4"/>
      <c r="BB56" s="4"/>
      <c r="BC56" s="4"/>
      <c r="BD56" s="3"/>
      <c r="BE56" s="14"/>
    </row>
    <row r="57" spans="1:57" s="5" customFormat="1" ht="19.95" customHeight="1">
      <c r="A57" s="3">
        <f t="shared" si="18"/>
        <v>51</v>
      </c>
      <c r="B57" s="3">
        <v>1757</v>
      </c>
      <c r="C57" s="3" t="s">
        <v>24</v>
      </c>
      <c r="D57" s="4">
        <v>300000</v>
      </c>
      <c r="E57" s="4">
        <v>300000</v>
      </c>
      <c r="F57" s="4">
        <f t="shared" si="0"/>
        <v>0</v>
      </c>
      <c r="G57" s="4">
        <v>110000</v>
      </c>
      <c r="H57" s="4">
        <v>10908.07</v>
      </c>
      <c r="I57" s="4">
        <v>908.93</v>
      </c>
      <c r="J57" s="4"/>
      <c r="K57" s="4">
        <f t="shared" si="17"/>
        <v>908.93</v>
      </c>
      <c r="L57" s="4">
        <f t="shared" si="2"/>
        <v>11817</v>
      </c>
      <c r="M57" s="4">
        <f>P57+S57</f>
        <v>98183</v>
      </c>
      <c r="N57" s="4"/>
      <c r="O57" s="4">
        <f t="shared" si="3"/>
        <v>190000</v>
      </c>
      <c r="P57" s="4">
        <f t="shared" si="4"/>
        <v>98183</v>
      </c>
      <c r="Q57" s="4"/>
      <c r="R57" s="4"/>
      <c r="S57" s="4">
        <f t="shared" si="5"/>
        <v>0</v>
      </c>
      <c r="T57" s="4">
        <f t="shared" si="6"/>
        <v>0</v>
      </c>
      <c r="U57" s="4">
        <f t="shared" si="7"/>
        <v>0</v>
      </c>
      <c r="V57" s="4">
        <f t="shared" si="8"/>
        <v>0</v>
      </c>
      <c r="W57" s="4"/>
      <c r="X57" s="4"/>
      <c r="Y57" s="4"/>
      <c r="Z57" s="4"/>
      <c r="AA57" s="323"/>
      <c r="AB57" s="3">
        <v>732000</v>
      </c>
      <c r="AC57" s="483"/>
      <c r="AD57" s="4"/>
      <c r="AE57" s="4"/>
      <c r="AF57" s="4"/>
      <c r="AG57" s="4"/>
      <c r="AH57" s="4"/>
      <c r="AI57" s="4"/>
      <c r="AJ57" s="4"/>
      <c r="AK57" s="4"/>
      <c r="AL57" s="4">
        <f t="shared" si="9"/>
        <v>0</v>
      </c>
      <c r="AM57" s="4"/>
      <c r="AN57" s="4">
        <f t="shared" si="11"/>
        <v>0</v>
      </c>
      <c r="AO57" s="4">
        <f t="shared" si="12"/>
        <v>0</v>
      </c>
      <c r="AP57" s="4">
        <f t="shared" si="13"/>
        <v>0</v>
      </c>
      <c r="AQ57" s="4"/>
      <c r="AR57" s="4"/>
      <c r="AS57" s="4"/>
      <c r="AT57" s="4"/>
      <c r="AU57" s="4">
        <f t="shared" si="14"/>
        <v>0</v>
      </c>
      <c r="AV57" s="4">
        <f t="shared" si="15"/>
        <v>0</v>
      </c>
      <c r="AW57" s="4"/>
      <c r="AX57" s="4"/>
      <c r="AY57" s="4"/>
      <c r="AZ57" s="4">
        <f t="shared" si="16"/>
        <v>0</v>
      </c>
      <c r="BA57" s="4"/>
      <c r="BB57" s="4"/>
      <c r="BC57" s="4"/>
      <c r="BD57" s="3"/>
      <c r="BE57" s="14"/>
    </row>
    <row r="58" spans="1:57" s="6" customFormat="1" ht="19.95" customHeight="1">
      <c r="A58" s="3">
        <f t="shared" si="18"/>
        <v>52</v>
      </c>
      <c r="B58" s="3">
        <v>1758</v>
      </c>
      <c r="C58" s="3" t="s">
        <v>125</v>
      </c>
      <c r="D58" s="4">
        <v>300000</v>
      </c>
      <c r="E58" s="4">
        <v>300000</v>
      </c>
      <c r="F58" s="4">
        <f t="shared" si="0"/>
        <v>0</v>
      </c>
      <c r="G58" s="4">
        <v>120000</v>
      </c>
      <c r="H58" s="4">
        <v>10908.07</v>
      </c>
      <c r="I58" s="4">
        <v>4828.43</v>
      </c>
      <c r="J58" s="4"/>
      <c r="K58" s="4">
        <f t="shared" si="17"/>
        <v>4828.43</v>
      </c>
      <c r="L58" s="4">
        <f t="shared" si="2"/>
        <v>15736.5</v>
      </c>
      <c r="M58" s="4">
        <f>P58+S58-104000</f>
        <v>263.5</v>
      </c>
      <c r="N58" s="4"/>
      <c r="O58" s="4">
        <f t="shared" si="3"/>
        <v>284000</v>
      </c>
      <c r="P58" s="4">
        <f t="shared" si="4"/>
        <v>104263.5</v>
      </c>
      <c r="Q58" s="4"/>
      <c r="R58" s="4"/>
      <c r="S58" s="4">
        <f t="shared" si="5"/>
        <v>0</v>
      </c>
      <c r="T58" s="4">
        <f t="shared" si="6"/>
        <v>104000</v>
      </c>
      <c r="U58" s="4">
        <f t="shared" si="7"/>
        <v>-104000</v>
      </c>
      <c r="V58" s="4">
        <f t="shared" si="8"/>
        <v>-104000</v>
      </c>
      <c r="W58" s="4"/>
      <c r="X58" s="4"/>
      <c r="Y58" s="4"/>
      <c r="Z58" s="3"/>
      <c r="AA58" s="323"/>
      <c r="AB58" s="3">
        <v>732000</v>
      </c>
      <c r="AC58" s="483"/>
      <c r="AD58" s="4"/>
      <c r="AE58" s="4"/>
      <c r="AF58" s="4">
        <v>-104000</v>
      </c>
      <c r="AG58" s="4"/>
      <c r="AH58" s="4"/>
      <c r="AI58" s="4"/>
      <c r="AJ58" s="4"/>
      <c r="AK58" s="4"/>
      <c r="AL58" s="4">
        <f t="shared" si="9"/>
        <v>-104000</v>
      </c>
      <c r="AM58" s="4"/>
      <c r="AN58" s="4">
        <f t="shared" si="11"/>
        <v>-104000</v>
      </c>
      <c r="AO58" s="4">
        <f t="shared" si="12"/>
        <v>0</v>
      </c>
      <c r="AP58" s="4">
        <f t="shared" si="13"/>
        <v>-104000</v>
      </c>
      <c r="AQ58" s="4"/>
      <c r="AR58" s="4"/>
      <c r="AS58" s="4"/>
      <c r="AT58" s="4"/>
      <c r="AU58" s="4">
        <f t="shared" si="14"/>
        <v>0</v>
      </c>
      <c r="AV58" s="4">
        <f t="shared" si="15"/>
        <v>0</v>
      </c>
      <c r="AW58" s="4"/>
      <c r="AX58" s="4"/>
      <c r="AY58" s="4"/>
      <c r="AZ58" s="4">
        <f t="shared" si="16"/>
        <v>0</v>
      </c>
      <c r="BA58" s="4"/>
      <c r="BB58" s="4"/>
      <c r="BC58" s="4"/>
      <c r="BD58" s="3"/>
      <c r="BE58" s="14"/>
    </row>
    <row r="59" spans="1:57" s="5" customFormat="1" ht="27.6">
      <c r="A59" s="3">
        <f t="shared" si="18"/>
        <v>53</v>
      </c>
      <c r="B59" s="3">
        <v>1759</v>
      </c>
      <c r="C59" s="3" t="s">
        <v>941</v>
      </c>
      <c r="D59" s="4">
        <v>940000</v>
      </c>
      <c r="E59" s="4">
        <v>600000</v>
      </c>
      <c r="F59" s="4">
        <f t="shared" si="0"/>
        <v>340000</v>
      </c>
      <c r="G59" s="4">
        <v>500000</v>
      </c>
      <c r="H59" s="4">
        <v>478660</v>
      </c>
      <c r="I59" s="4">
        <v>600</v>
      </c>
      <c r="J59" s="4">
        <v>17151.75</v>
      </c>
      <c r="K59" s="4">
        <f t="shared" si="17"/>
        <v>17751.75</v>
      </c>
      <c r="L59" s="4">
        <f t="shared" si="2"/>
        <v>496411.75</v>
      </c>
      <c r="M59" s="4">
        <f>P59+S59</f>
        <v>3588.25</v>
      </c>
      <c r="N59" s="4">
        <v>440000</v>
      </c>
      <c r="O59" s="4">
        <f t="shared" si="3"/>
        <v>0</v>
      </c>
      <c r="P59" s="4">
        <f t="shared" si="4"/>
        <v>3588.25</v>
      </c>
      <c r="Q59" s="4"/>
      <c r="R59" s="4"/>
      <c r="S59" s="4">
        <f t="shared" si="5"/>
        <v>0</v>
      </c>
      <c r="T59" s="4">
        <f t="shared" si="6"/>
        <v>0</v>
      </c>
      <c r="U59" s="4">
        <f t="shared" si="7"/>
        <v>440000</v>
      </c>
      <c r="V59" s="4">
        <f t="shared" si="8"/>
        <v>440000</v>
      </c>
      <c r="W59" s="4"/>
      <c r="X59" s="4"/>
      <c r="Y59" s="4"/>
      <c r="Z59" s="3"/>
      <c r="AA59" s="323" t="s">
        <v>878</v>
      </c>
      <c r="AB59" s="3">
        <v>732000</v>
      </c>
      <c r="AC59" s="483"/>
      <c r="AD59" s="4"/>
      <c r="AE59" s="4"/>
      <c r="AF59" s="4"/>
      <c r="AG59" s="4"/>
      <c r="AH59" s="4">
        <v>440000</v>
      </c>
      <c r="AI59" s="4"/>
      <c r="AJ59" s="4"/>
      <c r="AK59" s="4"/>
      <c r="AL59" s="4">
        <f t="shared" si="9"/>
        <v>440000</v>
      </c>
      <c r="AM59" s="4"/>
      <c r="AN59" s="4">
        <f t="shared" si="11"/>
        <v>440000</v>
      </c>
      <c r="AO59" s="4">
        <f t="shared" si="12"/>
        <v>0</v>
      </c>
      <c r="AP59" s="4">
        <f t="shared" si="13"/>
        <v>440000</v>
      </c>
      <c r="AQ59" s="4"/>
      <c r="AR59" s="4"/>
      <c r="AS59" s="4"/>
      <c r="AT59" s="4"/>
      <c r="AU59" s="4">
        <f t="shared" si="14"/>
        <v>0</v>
      </c>
      <c r="AV59" s="4">
        <f t="shared" si="15"/>
        <v>0</v>
      </c>
      <c r="AW59" s="4"/>
      <c r="AX59" s="4"/>
      <c r="AY59" s="4"/>
      <c r="AZ59" s="4">
        <f t="shared" si="16"/>
        <v>0</v>
      </c>
      <c r="BA59" s="4"/>
      <c r="BB59" s="4"/>
      <c r="BC59" s="4"/>
      <c r="BD59" s="3"/>
      <c r="BE59" s="14"/>
    </row>
    <row r="60" spans="1:57" s="5" customFormat="1" ht="19.95" customHeight="1">
      <c r="A60" s="3">
        <f t="shared" si="18"/>
        <v>54</v>
      </c>
      <c r="B60" s="3">
        <v>1760</v>
      </c>
      <c r="C60" s="3" t="s">
        <v>942</v>
      </c>
      <c r="D60" s="4">
        <f>1100000-200000</f>
        <v>900000</v>
      </c>
      <c r="E60" s="4">
        <v>900000</v>
      </c>
      <c r="F60" s="4">
        <f t="shared" si="0"/>
        <v>0</v>
      </c>
      <c r="G60" s="4">
        <v>300000</v>
      </c>
      <c r="H60" s="4">
        <v>38898</v>
      </c>
      <c r="I60" s="4"/>
      <c r="J60" s="4">
        <v>1228</v>
      </c>
      <c r="K60" s="4">
        <f t="shared" si="17"/>
        <v>1228</v>
      </c>
      <c r="L60" s="4">
        <f t="shared" si="2"/>
        <v>40126</v>
      </c>
      <c r="M60" s="4">
        <f>P60+S60</f>
        <v>259874</v>
      </c>
      <c r="N60" s="4"/>
      <c r="O60" s="4">
        <f t="shared" si="3"/>
        <v>600000</v>
      </c>
      <c r="P60" s="4">
        <f t="shared" si="4"/>
        <v>259874</v>
      </c>
      <c r="Q60" s="4">
        <f>100000-100000</f>
        <v>0</v>
      </c>
      <c r="R60" s="4"/>
      <c r="S60" s="4">
        <f t="shared" si="5"/>
        <v>0</v>
      </c>
      <c r="T60" s="4">
        <f t="shared" si="6"/>
        <v>0</v>
      </c>
      <c r="U60" s="4">
        <f t="shared" si="7"/>
        <v>0</v>
      </c>
      <c r="V60" s="4">
        <f t="shared" si="8"/>
        <v>0</v>
      </c>
      <c r="W60" s="4"/>
      <c r="X60" s="4"/>
      <c r="Y60" s="4"/>
      <c r="Z60" s="3"/>
      <c r="AA60" s="323" t="s">
        <v>879</v>
      </c>
      <c r="AB60" s="3">
        <v>732000</v>
      </c>
      <c r="AC60" s="483"/>
      <c r="AD60" s="4"/>
      <c r="AE60" s="4"/>
      <c r="AF60" s="4"/>
      <c r="AG60" s="4"/>
      <c r="AH60" s="4"/>
      <c r="AI60" s="4"/>
      <c r="AJ60" s="4"/>
      <c r="AK60" s="4"/>
      <c r="AL60" s="4">
        <f t="shared" si="9"/>
        <v>0</v>
      </c>
      <c r="AM60" s="4"/>
      <c r="AN60" s="4">
        <f t="shared" si="11"/>
        <v>0</v>
      </c>
      <c r="AO60" s="4">
        <f t="shared" si="12"/>
        <v>0</v>
      </c>
      <c r="AP60" s="4">
        <f t="shared" si="13"/>
        <v>0</v>
      </c>
      <c r="AQ60" s="4"/>
      <c r="AR60" s="4"/>
      <c r="AS60" s="4"/>
      <c r="AT60" s="4"/>
      <c r="AU60" s="4">
        <f t="shared" si="14"/>
        <v>0</v>
      </c>
      <c r="AV60" s="4">
        <f t="shared" si="15"/>
        <v>0</v>
      </c>
      <c r="AW60" s="4"/>
      <c r="AX60" s="4"/>
      <c r="AY60" s="4"/>
      <c r="AZ60" s="4">
        <f t="shared" si="16"/>
        <v>0</v>
      </c>
      <c r="BA60" s="4"/>
      <c r="BB60" s="4"/>
      <c r="BC60" s="4"/>
      <c r="BD60" s="3"/>
      <c r="BE60" s="14"/>
    </row>
    <row r="61" spans="1:57" s="6" customFormat="1" ht="19.95" customHeight="1">
      <c r="A61" s="3">
        <f t="shared" si="18"/>
        <v>55</v>
      </c>
      <c r="B61" s="188">
        <v>1762</v>
      </c>
      <c r="C61" s="188" t="s">
        <v>1243</v>
      </c>
      <c r="D61" s="4">
        <v>500000</v>
      </c>
      <c r="E61" s="4">
        <v>500000</v>
      </c>
      <c r="F61" s="4">
        <f t="shared" si="0"/>
        <v>0</v>
      </c>
      <c r="G61" s="4">
        <v>100000</v>
      </c>
      <c r="H61" s="4">
        <v>11442</v>
      </c>
      <c r="I61" s="4"/>
      <c r="J61" s="4"/>
      <c r="K61" s="4">
        <f t="shared" si="17"/>
        <v>0</v>
      </c>
      <c r="L61" s="4">
        <f t="shared" si="2"/>
        <v>11442</v>
      </c>
      <c r="M61" s="4">
        <f>P61+S61-30000</f>
        <v>58558</v>
      </c>
      <c r="N61" s="4"/>
      <c r="O61" s="4">
        <f t="shared" si="3"/>
        <v>430000</v>
      </c>
      <c r="P61" s="4">
        <f t="shared" si="4"/>
        <v>88558</v>
      </c>
      <c r="Q61" s="4"/>
      <c r="R61" s="4"/>
      <c r="S61" s="4">
        <f t="shared" si="5"/>
        <v>0</v>
      </c>
      <c r="T61" s="4">
        <f t="shared" si="6"/>
        <v>30000</v>
      </c>
      <c r="U61" s="4">
        <f t="shared" si="7"/>
        <v>-30000</v>
      </c>
      <c r="V61" s="4">
        <f t="shared" si="8"/>
        <v>-30000</v>
      </c>
      <c r="W61" s="4"/>
      <c r="X61" s="4"/>
      <c r="Y61" s="4"/>
      <c r="Z61" s="3"/>
      <c r="AA61" s="323" t="s">
        <v>427</v>
      </c>
      <c r="AB61" s="3">
        <v>732000</v>
      </c>
      <c r="AC61" s="483"/>
      <c r="AD61" s="4"/>
      <c r="AE61" s="4"/>
      <c r="AF61" s="4">
        <v>-30000</v>
      </c>
      <c r="AG61" s="4"/>
      <c r="AH61" s="4"/>
      <c r="AI61" s="4"/>
      <c r="AJ61" s="4"/>
      <c r="AK61" s="4"/>
      <c r="AL61" s="4">
        <f t="shared" si="9"/>
        <v>-30000</v>
      </c>
      <c r="AM61" s="4"/>
      <c r="AN61" s="4">
        <f t="shared" si="11"/>
        <v>-30000</v>
      </c>
      <c r="AO61" s="4">
        <f t="shared" si="12"/>
        <v>0</v>
      </c>
      <c r="AP61" s="4">
        <f t="shared" si="13"/>
        <v>-30000</v>
      </c>
      <c r="AQ61" s="4"/>
      <c r="AR61" s="4"/>
      <c r="AS61" s="4"/>
      <c r="AT61" s="4"/>
      <c r="AU61" s="4">
        <f t="shared" si="14"/>
        <v>0</v>
      </c>
      <c r="AV61" s="4">
        <f t="shared" si="15"/>
        <v>0</v>
      </c>
      <c r="AW61" s="4"/>
      <c r="AX61" s="4"/>
      <c r="AY61" s="4"/>
      <c r="AZ61" s="4">
        <f t="shared" si="16"/>
        <v>0</v>
      </c>
      <c r="BA61" s="4"/>
      <c r="BB61" s="4"/>
      <c r="BC61" s="4"/>
      <c r="BD61" s="3"/>
      <c r="BE61" s="14"/>
    </row>
    <row r="62" spans="1:57" s="5" customFormat="1" ht="19.95" customHeight="1">
      <c r="A62" s="3">
        <f t="shared" si="18"/>
        <v>56</v>
      </c>
      <c r="B62" s="3">
        <v>1799</v>
      </c>
      <c r="C62" s="3" t="s">
        <v>138</v>
      </c>
      <c r="D62" s="4">
        <v>1000000</v>
      </c>
      <c r="E62" s="4">
        <v>1000000</v>
      </c>
      <c r="F62" s="4">
        <f t="shared" si="0"/>
        <v>0</v>
      </c>
      <c r="G62" s="4">
        <v>350000</v>
      </c>
      <c r="H62" s="4">
        <v>24106</v>
      </c>
      <c r="I62" s="4"/>
      <c r="J62" s="4">
        <v>20567.86</v>
      </c>
      <c r="K62" s="4">
        <f t="shared" si="17"/>
        <v>20567.86</v>
      </c>
      <c r="L62" s="4">
        <f t="shared" si="2"/>
        <v>44673.86</v>
      </c>
      <c r="M62" s="4">
        <f>P62+S62-200000</f>
        <v>105326.14000000001</v>
      </c>
      <c r="N62" s="4">
        <f>100000+200000-100000</f>
        <v>200000</v>
      </c>
      <c r="O62" s="4">
        <f t="shared" si="3"/>
        <v>650000</v>
      </c>
      <c r="P62" s="4">
        <f t="shared" si="4"/>
        <v>305326.14</v>
      </c>
      <c r="Q62" s="4"/>
      <c r="R62" s="4"/>
      <c r="S62" s="4">
        <f t="shared" si="5"/>
        <v>0</v>
      </c>
      <c r="T62" s="4">
        <f t="shared" si="6"/>
        <v>200000</v>
      </c>
      <c r="U62" s="4">
        <f t="shared" si="7"/>
        <v>0</v>
      </c>
      <c r="V62" s="4">
        <f t="shared" si="8"/>
        <v>0</v>
      </c>
      <c r="W62" s="4"/>
      <c r="X62" s="4"/>
      <c r="Y62" s="4"/>
      <c r="Z62" s="3"/>
      <c r="AA62" s="323" t="s">
        <v>731</v>
      </c>
      <c r="AB62" s="3">
        <v>732000</v>
      </c>
      <c r="AC62" s="483"/>
      <c r="AD62" s="4"/>
      <c r="AE62" s="4"/>
      <c r="AF62" s="4"/>
      <c r="AG62" s="4"/>
      <c r="AH62" s="4"/>
      <c r="AI62" s="4"/>
      <c r="AJ62" s="4"/>
      <c r="AK62" s="4"/>
      <c r="AL62" s="4">
        <f t="shared" si="9"/>
        <v>0</v>
      </c>
      <c r="AM62" s="4"/>
      <c r="AN62" s="4">
        <f t="shared" si="11"/>
        <v>0</v>
      </c>
      <c r="AO62" s="4">
        <f t="shared" si="12"/>
        <v>0</v>
      </c>
      <c r="AP62" s="4">
        <f t="shared" si="13"/>
        <v>0</v>
      </c>
      <c r="AQ62" s="4"/>
      <c r="AR62" s="4"/>
      <c r="AS62" s="4"/>
      <c r="AT62" s="4"/>
      <c r="AU62" s="4">
        <f t="shared" si="14"/>
        <v>0</v>
      </c>
      <c r="AV62" s="4">
        <f t="shared" si="15"/>
        <v>0</v>
      </c>
      <c r="AW62" s="4"/>
      <c r="AX62" s="4"/>
      <c r="AY62" s="4"/>
      <c r="AZ62" s="4">
        <f t="shared" si="16"/>
        <v>0</v>
      </c>
      <c r="BA62" s="4"/>
      <c r="BB62" s="4"/>
      <c r="BC62" s="4"/>
      <c r="BD62" s="3"/>
      <c r="BE62" s="14"/>
    </row>
    <row r="63" spans="1:57" s="5" customFormat="1" ht="19.95" customHeight="1">
      <c r="A63" s="3">
        <f t="shared" si="18"/>
        <v>57</v>
      </c>
      <c r="B63" s="3">
        <v>1804</v>
      </c>
      <c r="C63" s="3" t="s">
        <v>139</v>
      </c>
      <c r="D63" s="4">
        <f>50000+150000</f>
        <v>200000</v>
      </c>
      <c r="E63" s="4">
        <v>200000</v>
      </c>
      <c r="F63" s="4">
        <f t="shared" si="0"/>
        <v>0</v>
      </c>
      <c r="G63" s="4">
        <v>200000</v>
      </c>
      <c r="H63" s="4">
        <v>0</v>
      </c>
      <c r="I63" s="4"/>
      <c r="J63" s="4">
        <v>47073.2</v>
      </c>
      <c r="K63" s="4">
        <f t="shared" si="17"/>
        <v>47073.2</v>
      </c>
      <c r="L63" s="4">
        <f t="shared" si="2"/>
        <v>47073.2</v>
      </c>
      <c r="M63" s="4">
        <f>P63+S63</f>
        <v>152926.79999999999</v>
      </c>
      <c r="N63" s="4"/>
      <c r="O63" s="4">
        <f t="shared" si="3"/>
        <v>0</v>
      </c>
      <c r="P63" s="4">
        <f t="shared" si="4"/>
        <v>152926.79999999999</v>
      </c>
      <c r="Q63" s="4"/>
      <c r="R63" s="4"/>
      <c r="S63" s="4">
        <f t="shared" si="5"/>
        <v>0</v>
      </c>
      <c r="T63" s="4">
        <f t="shared" si="6"/>
        <v>0</v>
      </c>
      <c r="U63" s="4">
        <f t="shared" si="7"/>
        <v>0</v>
      </c>
      <c r="V63" s="4">
        <f t="shared" si="8"/>
        <v>0</v>
      </c>
      <c r="W63" s="4"/>
      <c r="X63" s="4"/>
      <c r="Y63" s="4"/>
      <c r="Z63" s="3"/>
      <c r="AA63" s="323"/>
      <c r="AB63" s="3">
        <v>742000</v>
      </c>
      <c r="AC63" s="483"/>
      <c r="AD63" s="4"/>
      <c r="AE63" s="4"/>
      <c r="AF63" s="4"/>
      <c r="AG63" s="4"/>
      <c r="AH63" s="4"/>
      <c r="AI63" s="4"/>
      <c r="AJ63" s="4"/>
      <c r="AK63" s="4"/>
      <c r="AL63" s="4">
        <f t="shared" si="9"/>
        <v>0</v>
      </c>
      <c r="AM63" s="4"/>
      <c r="AN63" s="4">
        <f t="shared" si="11"/>
        <v>0</v>
      </c>
      <c r="AO63" s="4">
        <f t="shared" si="12"/>
        <v>0</v>
      </c>
      <c r="AP63" s="4">
        <f t="shared" si="13"/>
        <v>0</v>
      </c>
      <c r="AQ63" s="4"/>
      <c r="AR63" s="4"/>
      <c r="AS63" s="4"/>
      <c r="AT63" s="4"/>
      <c r="AU63" s="4">
        <f t="shared" si="14"/>
        <v>0</v>
      </c>
      <c r="AV63" s="4">
        <f t="shared" si="15"/>
        <v>0</v>
      </c>
      <c r="AW63" s="4"/>
      <c r="AX63" s="4"/>
      <c r="AY63" s="4"/>
      <c r="AZ63" s="4">
        <f t="shared" si="16"/>
        <v>0</v>
      </c>
      <c r="BA63" s="4"/>
      <c r="BB63" s="4"/>
      <c r="BC63" s="4"/>
      <c r="BD63" s="3"/>
      <c r="BE63" s="14"/>
    </row>
    <row r="64" spans="1:57" s="5" customFormat="1" ht="19.95" customHeight="1">
      <c r="A64" s="3">
        <f t="shared" si="18"/>
        <v>58</v>
      </c>
      <c r="B64" s="3">
        <v>1805</v>
      </c>
      <c r="C64" s="3" t="s">
        <v>140</v>
      </c>
      <c r="D64" s="4">
        <v>1000000</v>
      </c>
      <c r="E64" s="4">
        <v>1000000</v>
      </c>
      <c r="F64" s="4">
        <f t="shared" si="0"/>
        <v>0</v>
      </c>
      <c r="G64" s="4">
        <v>110000</v>
      </c>
      <c r="H64" s="4">
        <v>2677</v>
      </c>
      <c r="I64" s="4"/>
      <c r="J64" s="4"/>
      <c r="K64" s="4">
        <f t="shared" si="17"/>
        <v>0</v>
      </c>
      <c r="L64" s="4">
        <f t="shared" si="2"/>
        <v>2677</v>
      </c>
      <c r="M64" s="4">
        <f>P64+S64-50000</f>
        <v>57323</v>
      </c>
      <c r="N64" s="4"/>
      <c r="O64" s="4">
        <f t="shared" si="3"/>
        <v>940000</v>
      </c>
      <c r="P64" s="4">
        <f t="shared" si="4"/>
        <v>107323</v>
      </c>
      <c r="Q64" s="4"/>
      <c r="R64" s="4"/>
      <c r="S64" s="4">
        <f t="shared" si="5"/>
        <v>0</v>
      </c>
      <c r="T64" s="4">
        <f t="shared" si="6"/>
        <v>50000</v>
      </c>
      <c r="U64" s="4">
        <f t="shared" si="7"/>
        <v>-50000</v>
      </c>
      <c r="V64" s="4">
        <f t="shared" si="8"/>
        <v>-50000</v>
      </c>
      <c r="W64" s="4"/>
      <c r="X64" s="4"/>
      <c r="Y64" s="4"/>
      <c r="Z64" s="3"/>
      <c r="AA64" s="323" t="s">
        <v>681</v>
      </c>
      <c r="AB64" s="3">
        <v>742000</v>
      </c>
      <c r="AC64" s="483"/>
      <c r="AD64" s="4"/>
      <c r="AE64" s="4"/>
      <c r="AF64" s="4">
        <v>-50000</v>
      </c>
      <c r="AG64" s="4"/>
      <c r="AH64" s="4"/>
      <c r="AI64" s="4"/>
      <c r="AJ64" s="4"/>
      <c r="AK64" s="4"/>
      <c r="AL64" s="4">
        <f t="shared" si="9"/>
        <v>-50000</v>
      </c>
      <c r="AM64" s="4"/>
      <c r="AN64" s="4">
        <f t="shared" si="11"/>
        <v>-50000</v>
      </c>
      <c r="AO64" s="4">
        <f t="shared" si="12"/>
        <v>0</v>
      </c>
      <c r="AP64" s="4">
        <f t="shared" si="13"/>
        <v>-50000</v>
      </c>
      <c r="AQ64" s="4"/>
      <c r="AR64" s="4"/>
      <c r="AS64" s="4"/>
      <c r="AT64" s="4"/>
      <c r="AU64" s="4">
        <f t="shared" si="14"/>
        <v>0</v>
      </c>
      <c r="AV64" s="4">
        <f t="shared" si="15"/>
        <v>0</v>
      </c>
      <c r="AW64" s="4"/>
      <c r="AX64" s="4"/>
      <c r="AY64" s="4"/>
      <c r="AZ64" s="4">
        <f t="shared" si="16"/>
        <v>0</v>
      </c>
      <c r="BA64" s="4"/>
      <c r="BB64" s="4"/>
      <c r="BC64" s="4"/>
      <c r="BD64" s="3"/>
      <c r="BE64" s="14"/>
    </row>
    <row r="65" spans="1:57" s="5" customFormat="1" ht="19.95" customHeight="1">
      <c r="A65" s="3">
        <f t="shared" si="18"/>
        <v>59</v>
      </c>
      <c r="B65" s="3">
        <v>1811</v>
      </c>
      <c r="C65" s="3" t="s">
        <v>141</v>
      </c>
      <c r="D65" s="4">
        <v>250000</v>
      </c>
      <c r="E65" s="4">
        <v>250000</v>
      </c>
      <c r="F65" s="4">
        <f t="shared" si="0"/>
        <v>0</v>
      </c>
      <c r="G65" s="4">
        <v>250000</v>
      </c>
      <c r="H65" s="4">
        <v>0</v>
      </c>
      <c r="I65" s="4"/>
      <c r="J65" s="4"/>
      <c r="K65" s="4">
        <f t="shared" si="17"/>
        <v>0</v>
      </c>
      <c r="L65" s="4">
        <f t="shared" si="2"/>
        <v>0</v>
      </c>
      <c r="M65" s="4">
        <f>P65+S65</f>
        <v>250000</v>
      </c>
      <c r="N65" s="4"/>
      <c r="O65" s="4">
        <f t="shared" si="3"/>
        <v>0</v>
      </c>
      <c r="P65" s="4">
        <f t="shared" si="4"/>
        <v>250000</v>
      </c>
      <c r="Q65" s="4"/>
      <c r="R65" s="4"/>
      <c r="S65" s="4">
        <f t="shared" si="5"/>
        <v>0</v>
      </c>
      <c r="T65" s="4">
        <f t="shared" si="6"/>
        <v>0</v>
      </c>
      <c r="U65" s="4">
        <f t="shared" si="7"/>
        <v>0</v>
      </c>
      <c r="V65" s="4">
        <f t="shared" si="8"/>
        <v>0</v>
      </c>
      <c r="W65" s="4"/>
      <c r="X65" s="4"/>
      <c r="Y65" s="4"/>
      <c r="Z65" s="3"/>
      <c r="AA65" s="323" t="s">
        <v>732</v>
      </c>
      <c r="AB65" s="3">
        <v>732000</v>
      </c>
      <c r="AC65" s="483"/>
      <c r="AD65" s="4"/>
      <c r="AE65" s="4"/>
      <c r="AF65" s="4"/>
      <c r="AG65" s="4"/>
      <c r="AH65" s="4"/>
      <c r="AI65" s="4"/>
      <c r="AJ65" s="4"/>
      <c r="AK65" s="4"/>
      <c r="AL65" s="4">
        <f t="shared" si="9"/>
        <v>0</v>
      </c>
      <c r="AM65" s="4"/>
      <c r="AN65" s="4">
        <f t="shared" si="11"/>
        <v>0</v>
      </c>
      <c r="AO65" s="4">
        <f t="shared" si="12"/>
        <v>0</v>
      </c>
      <c r="AP65" s="4">
        <f t="shared" si="13"/>
        <v>0</v>
      </c>
      <c r="AQ65" s="4"/>
      <c r="AR65" s="4"/>
      <c r="AS65" s="4"/>
      <c r="AT65" s="4"/>
      <c r="AU65" s="4">
        <f t="shared" si="14"/>
        <v>0</v>
      </c>
      <c r="AV65" s="4">
        <f t="shared" si="15"/>
        <v>0</v>
      </c>
      <c r="AW65" s="4"/>
      <c r="AX65" s="4"/>
      <c r="AY65" s="4"/>
      <c r="AZ65" s="4">
        <f t="shared" si="16"/>
        <v>0</v>
      </c>
      <c r="BA65" s="4"/>
      <c r="BB65" s="4"/>
      <c r="BC65" s="4"/>
      <c r="BD65" s="3"/>
      <c r="BE65" s="14"/>
    </row>
    <row r="66" spans="1:57" s="5" customFormat="1" ht="19.95" customHeight="1">
      <c r="A66" s="3">
        <f t="shared" si="18"/>
        <v>60</v>
      </c>
      <c r="B66" s="3">
        <v>1826</v>
      </c>
      <c r="C66" s="3" t="s">
        <v>145</v>
      </c>
      <c r="D66" s="4">
        <v>1500000</v>
      </c>
      <c r="E66" s="4">
        <v>1500000</v>
      </c>
      <c r="F66" s="4">
        <f t="shared" si="0"/>
        <v>0</v>
      </c>
      <c r="G66" s="4">
        <v>400000</v>
      </c>
      <c r="H66" s="4">
        <v>14227</v>
      </c>
      <c r="I66" s="4"/>
      <c r="J66" s="4">
        <v>11756.75</v>
      </c>
      <c r="K66" s="4">
        <f t="shared" si="17"/>
        <v>11756.75</v>
      </c>
      <c r="L66" s="4">
        <f t="shared" si="2"/>
        <v>25983.75</v>
      </c>
      <c r="M66" s="4">
        <f>P66+S66</f>
        <v>374016.25</v>
      </c>
      <c r="N66" s="4">
        <v>1100000</v>
      </c>
      <c r="O66" s="4">
        <f t="shared" si="3"/>
        <v>0</v>
      </c>
      <c r="P66" s="4">
        <f t="shared" si="4"/>
        <v>374016.25</v>
      </c>
      <c r="Q66" s="4"/>
      <c r="R66" s="4"/>
      <c r="S66" s="4">
        <f t="shared" si="5"/>
        <v>0</v>
      </c>
      <c r="T66" s="4">
        <f t="shared" si="6"/>
        <v>0</v>
      </c>
      <c r="U66" s="4">
        <f t="shared" si="7"/>
        <v>1100000</v>
      </c>
      <c r="V66" s="4">
        <f t="shared" si="8"/>
        <v>1100000</v>
      </c>
      <c r="W66" s="4"/>
      <c r="X66" s="4"/>
      <c r="Y66" s="4"/>
      <c r="Z66" s="3"/>
      <c r="AA66" s="323" t="s">
        <v>682</v>
      </c>
      <c r="AB66" s="3">
        <v>742000</v>
      </c>
      <c r="AC66" s="483"/>
      <c r="AD66" s="4"/>
      <c r="AE66" s="4"/>
      <c r="AF66" s="4"/>
      <c r="AG66" s="4"/>
      <c r="AH66" s="4"/>
      <c r="AI66" s="4">
        <f>1100000-1100000</f>
        <v>0</v>
      </c>
      <c r="AJ66" s="4"/>
      <c r="AK66" s="4"/>
      <c r="AL66" s="4">
        <f t="shared" si="9"/>
        <v>0</v>
      </c>
      <c r="AM66" s="4"/>
      <c r="AN66" s="4">
        <f t="shared" si="11"/>
        <v>0</v>
      </c>
      <c r="AO66" s="4">
        <f t="shared" si="12"/>
        <v>1100000</v>
      </c>
      <c r="AP66" s="4">
        <f t="shared" si="13"/>
        <v>0</v>
      </c>
      <c r="AQ66" s="4"/>
      <c r="AR66" s="4"/>
      <c r="AS66" s="4"/>
      <c r="AT66" s="4"/>
      <c r="AU66" s="4">
        <f t="shared" si="14"/>
        <v>0</v>
      </c>
      <c r="AV66" s="4">
        <f t="shared" si="15"/>
        <v>0</v>
      </c>
      <c r="AW66" s="4"/>
      <c r="AX66" s="4"/>
      <c r="AY66" s="4"/>
      <c r="AZ66" s="4">
        <f t="shared" si="16"/>
        <v>1100000</v>
      </c>
      <c r="BA66" s="4"/>
      <c r="BB66" s="4"/>
      <c r="BC66" s="4"/>
      <c r="BD66" s="3"/>
      <c r="BE66" s="14"/>
    </row>
    <row r="67" spans="1:57" s="6" customFormat="1" ht="28.2" customHeight="1">
      <c r="A67" s="3">
        <f t="shared" si="18"/>
        <v>61</v>
      </c>
      <c r="B67" s="188">
        <v>1842</v>
      </c>
      <c r="C67" s="188" t="s">
        <v>1443</v>
      </c>
      <c r="D67" s="4">
        <v>800000</v>
      </c>
      <c r="E67" s="4">
        <v>800000</v>
      </c>
      <c r="F67" s="4">
        <f t="shared" si="0"/>
        <v>0</v>
      </c>
      <c r="G67" s="4">
        <v>200000</v>
      </c>
      <c r="H67" s="4">
        <v>0</v>
      </c>
      <c r="I67" s="4"/>
      <c r="J67" s="4"/>
      <c r="K67" s="4">
        <f t="shared" ref="K67:K83" si="19">SUM(I67:J67)</f>
        <v>0</v>
      </c>
      <c r="L67" s="4">
        <f t="shared" si="2"/>
        <v>0</v>
      </c>
      <c r="M67" s="4">
        <f>P67+S67</f>
        <v>200000</v>
      </c>
      <c r="N67" s="4"/>
      <c r="O67" s="4">
        <f t="shared" si="3"/>
        <v>600000</v>
      </c>
      <c r="P67" s="4">
        <f t="shared" si="4"/>
        <v>200000</v>
      </c>
      <c r="Q67" s="4"/>
      <c r="R67" s="4"/>
      <c r="S67" s="4">
        <f t="shared" si="5"/>
        <v>0</v>
      </c>
      <c r="T67" s="4">
        <f t="shared" si="6"/>
        <v>0</v>
      </c>
      <c r="U67" s="4">
        <f t="shared" si="7"/>
        <v>0</v>
      </c>
      <c r="V67" s="4">
        <f t="shared" si="8"/>
        <v>0</v>
      </c>
      <c r="W67" s="4"/>
      <c r="X67" s="4"/>
      <c r="Y67" s="4"/>
      <c r="Z67" s="3"/>
      <c r="AA67" s="323" t="s">
        <v>683</v>
      </c>
      <c r="AB67" s="3">
        <v>732000</v>
      </c>
      <c r="AC67" s="483"/>
      <c r="AD67" s="4"/>
      <c r="AE67" s="4"/>
      <c r="AF67" s="4"/>
      <c r="AG67" s="4"/>
      <c r="AH67" s="4"/>
      <c r="AI67" s="4"/>
      <c r="AJ67" s="4"/>
      <c r="AK67" s="4"/>
      <c r="AL67" s="4">
        <f t="shared" si="9"/>
        <v>0</v>
      </c>
      <c r="AM67" s="4"/>
      <c r="AN67" s="4">
        <f t="shared" si="11"/>
        <v>0</v>
      </c>
      <c r="AO67" s="4">
        <f t="shared" si="12"/>
        <v>0</v>
      </c>
      <c r="AP67" s="4">
        <f t="shared" si="13"/>
        <v>0</v>
      </c>
      <c r="AQ67" s="4"/>
      <c r="AR67" s="4"/>
      <c r="AS67" s="4"/>
      <c r="AT67" s="4"/>
      <c r="AU67" s="4">
        <f t="shared" si="14"/>
        <v>0</v>
      </c>
      <c r="AV67" s="4">
        <f t="shared" si="15"/>
        <v>0</v>
      </c>
      <c r="AW67" s="4"/>
      <c r="AX67" s="4"/>
      <c r="AY67" s="4"/>
      <c r="AZ67" s="4">
        <f t="shared" si="16"/>
        <v>0</v>
      </c>
      <c r="BA67" s="4"/>
      <c r="BB67" s="4"/>
      <c r="BC67" s="4"/>
      <c r="BD67" s="3"/>
      <c r="BE67" s="14"/>
    </row>
    <row r="68" spans="1:57" s="5" customFormat="1" ht="19.95" customHeight="1">
      <c r="A68" s="3">
        <f t="shared" si="18"/>
        <v>62</v>
      </c>
      <c r="B68" s="3">
        <v>1843</v>
      </c>
      <c r="C68" s="3" t="s">
        <v>148</v>
      </c>
      <c r="D68" s="4">
        <v>380000</v>
      </c>
      <c r="E68" s="4">
        <v>380000</v>
      </c>
      <c r="F68" s="4">
        <f t="shared" si="0"/>
        <v>0</v>
      </c>
      <c r="G68" s="4">
        <v>70000</v>
      </c>
      <c r="H68" s="4">
        <v>0</v>
      </c>
      <c r="I68" s="4">
        <v>1.17</v>
      </c>
      <c r="J68" s="4"/>
      <c r="K68" s="4">
        <f t="shared" si="19"/>
        <v>1.17</v>
      </c>
      <c r="L68" s="4">
        <f t="shared" si="2"/>
        <v>1.17</v>
      </c>
      <c r="M68" s="4">
        <f>P68+S68-69000</f>
        <v>998.83000000000175</v>
      </c>
      <c r="N68" s="4">
        <f>350000-100000</f>
        <v>250000</v>
      </c>
      <c r="O68" s="4">
        <f t="shared" si="3"/>
        <v>129000</v>
      </c>
      <c r="P68" s="4">
        <f t="shared" si="4"/>
        <v>69998.83</v>
      </c>
      <c r="Q68" s="4"/>
      <c r="R68" s="4"/>
      <c r="S68" s="4">
        <f t="shared" si="5"/>
        <v>0</v>
      </c>
      <c r="T68" s="4">
        <f t="shared" si="6"/>
        <v>69000</v>
      </c>
      <c r="U68" s="4">
        <f t="shared" si="7"/>
        <v>181000</v>
      </c>
      <c r="V68" s="4">
        <f t="shared" si="8"/>
        <v>181000</v>
      </c>
      <c r="W68" s="4"/>
      <c r="X68" s="4"/>
      <c r="Y68" s="4"/>
      <c r="Z68" s="3"/>
      <c r="AA68" s="323" t="s">
        <v>428</v>
      </c>
      <c r="AB68" s="3">
        <v>732000</v>
      </c>
      <c r="AC68" s="483"/>
      <c r="AD68" s="4"/>
      <c r="AE68" s="4"/>
      <c r="AF68" s="4"/>
      <c r="AG68" s="4"/>
      <c r="AH68" s="4"/>
      <c r="AI68" s="4"/>
      <c r="AJ68" s="4"/>
      <c r="AK68" s="4"/>
      <c r="AL68" s="4">
        <f t="shared" si="9"/>
        <v>0</v>
      </c>
      <c r="AM68" s="4"/>
      <c r="AN68" s="4">
        <f t="shared" si="11"/>
        <v>0</v>
      </c>
      <c r="AO68" s="4">
        <f t="shared" si="12"/>
        <v>181000</v>
      </c>
      <c r="AP68" s="4">
        <f t="shared" si="13"/>
        <v>0</v>
      </c>
      <c r="AQ68" s="4"/>
      <c r="AR68" s="4"/>
      <c r="AS68" s="4"/>
      <c r="AT68" s="4"/>
      <c r="AU68" s="4">
        <f t="shared" si="14"/>
        <v>0</v>
      </c>
      <c r="AV68" s="4">
        <f t="shared" si="15"/>
        <v>0</v>
      </c>
      <c r="AW68" s="4"/>
      <c r="AX68" s="4"/>
      <c r="AY68" s="4"/>
      <c r="AZ68" s="4">
        <f t="shared" si="16"/>
        <v>181000</v>
      </c>
      <c r="BA68" s="4"/>
      <c r="BB68" s="4"/>
      <c r="BC68" s="4"/>
      <c r="BD68" s="3"/>
      <c r="BE68" s="14"/>
    </row>
    <row r="69" spans="1:57" s="5" customFormat="1" ht="19.95" customHeight="1">
      <c r="A69" s="3">
        <f t="shared" si="18"/>
        <v>63</v>
      </c>
      <c r="B69" s="3">
        <v>1844</v>
      </c>
      <c r="C69" s="3" t="s">
        <v>725</v>
      </c>
      <c r="D69" s="4">
        <v>2078338</v>
      </c>
      <c r="E69" s="4">
        <v>732000</v>
      </c>
      <c r="F69" s="4">
        <f t="shared" si="0"/>
        <v>1346338</v>
      </c>
      <c r="G69" s="4">
        <v>70000</v>
      </c>
      <c r="H69" s="4">
        <v>62477.48</v>
      </c>
      <c r="I69" s="4"/>
      <c r="J69" s="4"/>
      <c r="K69" s="4">
        <f t="shared" si="19"/>
        <v>0</v>
      </c>
      <c r="L69" s="4">
        <f t="shared" si="2"/>
        <v>62477.48</v>
      </c>
      <c r="M69" s="4">
        <f>P69+S69</f>
        <v>7522.5199999999968</v>
      </c>
      <c r="N69" s="4">
        <f>1338338+670000</f>
        <v>2008338</v>
      </c>
      <c r="O69" s="4">
        <f t="shared" si="3"/>
        <v>0</v>
      </c>
      <c r="P69" s="4">
        <f t="shared" si="4"/>
        <v>7522.5199999999968</v>
      </c>
      <c r="Q69" s="4"/>
      <c r="R69" s="4"/>
      <c r="S69" s="4">
        <f t="shared" si="5"/>
        <v>0</v>
      </c>
      <c r="T69" s="4">
        <f t="shared" si="6"/>
        <v>0</v>
      </c>
      <c r="U69" s="4">
        <f t="shared" si="7"/>
        <v>2008338</v>
      </c>
      <c r="V69" s="4">
        <f t="shared" si="8"/>
        <v>753894</v>
      </c>
      <c r="W69" s="4"/>
      <c r="X69" s="4"/>
      <c r="Y69" s="4"/>
      <c r="Z69" s="4">
        <v>1254444</v>
      </c>
      <c r="AA69" s="323" t="s">
        <v>733</v>
      </c>
      <c r="AB69" s="3">
        <v>732000</v>
      </c>
      <c r="AC69" s="483"/>
      <c r="AD69" s="4"/>
      <c r="AE69" s="4"/>
      <c r="AF69" s="4">
        <v>50000</v>
      </c>
      <c r="AG69" s="4"/>
      <c r="AH69" s="4"/>
      <c r="AI69" s="4"/>
      <c r="AJ69" s="4"/>
      <c r="AK69" s="4"/>
      <c r="AL69" s="4">
        <f t="shared" si="9"/>
        <v>50000</v>
      </c>
      <c r="AM69" s="4"/>
      <c r="AN69" s="4">
        <f t="shared" si="11"/>
        <v>50000</v>
      </c>
      <c r="AO69" s="4">
        <f t="shared" si="12"/>
        <v>1958338</v>
      </c>
      <c r="AP69" s="4">
        <f t="shared" si="13"/>
        <v>50000</v>
      </c>
      <c r="AQ69" s="4"/>
      <c r="AR69" s="4"/>
      <c r="AS69" s="4"/>
      <c r="AT69" s="4"/>
      <c r="AU69" s="4">
        <f t="shared" si="14"/>
        <v>0</v>
      </c>
      <c r="AV69" s="4">
        <f t="shared" si="15"/>
        <v>0</v>
      </c>
      <c r="AW69" s="4"/>
      <c r="AX69" s="4"/>
      <c r="AY69" s="4"/>
      <c r="AZ69" s="4">
        <f t="shared" si="16"/>
        <v>703894</v>
      </c>
      <c r="BA69" s="4"/>
      <c r="BB69" s="4"/>
      <c r="BC69" s="4"/>
      <c r="BD69" s="4">
        <v>1254444</v>
      </c>
      <c r="BE69" s="14"/>
    </row>
    <row r="70" spans="1:57" s="5" customFormat="1" ht="19.95" customHeight="1">
      <c r="A70" s="3">
        <f t="shared" si="18"/>
        <v>64</v>
      </c>
      <c r="B70" s="3">
        <v>1882</v>
      </c>
      <c r="C70" s="3" t="s">
        <v>149</v>
      </c>
      <c r="D70" s="4">
        <v>14300000</v>
      </c>
      <c r="E70" s="4">
        <v>14300000</v>
      </c>
      <c r="F70" s="4">
        <f t="shared" si="0"/>
        <v>0</v>
      </c>
      <c r="G70" s="4">
        <v>200000</v>
      </c>
      <c r="H70" s="4">
        <v>0</v>
      </c>
      <c r="I70" s="4"/>
      <c r="J70" s="4"/>
      <c r="K70" s="4">
        <f t="shared" si="19"/>
        <v>0</v>
      </c>
      <c r="L70" s="4">
        <f t="shared" si="2"/>
        <v>0</v>
      </c>
      <c r="M70" s="4">
        <f>P70+S70-200000</f>
        <v>0</v>
      </c>
      <c r="N70" s="4">
        <f>200000+250000</f>
        <v>450000</v>
      </c>
      <c r="O70" s="4">
        <f t="shared" si="3"/>
        <v>13850000</v>
      </c>
      <c r="P70" s="4">
        <f t="shared" si="4"/>
        <v>200000</v>
      </c>
      <c r="Q70" s="4"/>
      <c r="R70" s="4"/>
      <c r="S70" s="4">
        <f t="shared" si="5"/>
        <v>0</v>
      </c>
      <c r="T70" s="4">
        <f t="shared" si="6"/>
        <v>200000</v>
      </c>
      <c r="U70" s="4">
        <f t="shared" si="7"/>
        <v>250000</v>
      </c>
      <c r="V70" s="4">
        <f t="shared" si="8"/>
        <v>250000</v>
      </c>
      <c r="W70" s="4"/>
      <c r="X70" s="4"/>
      <c r="Y70" s="4"/>
      <c r="Z70" s="3"/>
      <c r="AA70" s="323" t="s">
        <v>734</v>
      </c>
      <c r="AB70" s="3">
        <v>742000</v>
      </c>
      <c r="AC70" s="483"/>
      <c r="AD70" s="4"/>
      <c r="AE70" s="4"/>
      <c r="AF70" s="4"/>
      <c r="AG70" s="4"/>
      <c r="AH70" s="4"/>
      <c r="AI70" s="4"/>
      <c r="AJ70" s="4"/>
      <c r="AK70" s="4"/>
      <c r="AL70" s="4">
        <f t="shared" si="9"/>
        <v>0</v>
      </c>
      <c r="AM70" s="4"/>
      <c r="AN70" s="4">
        <f t="shared" si="11"/>
        <v>0</v>
      </c>
      <c r="AO70" s="4">
        <f t="shared" si="12"/>
        <v>250000</v>
      </c>
      <c r="AP70" s="4">
        <f t="shared" si="13"/>
        <v>0</v>
      </c>
      <c r="AQ70" s="4"/>
      <c r="AR70" s="4"/>
      <c r="AS70" s="4"/>
      <c r="AT70" s="4"/>
      <c r="AU70" s="4">
        <f t="shared" si="14"/>
        <v>0</v>
      </c>
      <c r="AV70" s="4">
        <f t="shared" si="15"/>
        <v>0</v>
      </c>
      <c r="AW70" s="4"/>
      <c r="AX70" s="4"/>
      <c r="AY70" s="4"/>
      <c r="AZ70" s="4">
        <f t="shared" si="16"/>
        <v>250000</v>
      </c>
      <c r="BA70" s="4"/>
      <c r="BB70" s="4"/>
      <c r="BC70" s="4"/>
      <c r="BD70" s="3"/>
      <c r="BE70" s="14"/>
    </row>
    <row r="71" spans="1:57" s="5" customFormat="1" ht="19.95" customHeight="1">
      <c r="A71" s="3">
        <f t="shared" si="18"/>
        <v>65</v>
      </c>
      <c r="B71" s="3">
        <v>1937</v>
      </c>
      <c r="C71" s="3" t="s">
        <v>726</v>
      </c>
      <c r="D71" s="4">
        <f>1000000+50000-300000</f>
        <v>750000</v>
      </c>
      <c r="E71" s="4">
        <v>700000</v>
      </c>
      <c r="F71" s="4">
        <f t="shared" ref="F71:F103" si="20">D71-E71</f>
        <v>50000</v>
      </c>
      <c r="G71" s="4">
        <v>450000</v>
      </c>
      <c r="H71" s="4">
        <v>39885</v>
      </c>
      <c r="I71" s="4">
        <v>261133</v>
      </c>
      <c r="J71" s="4">
        <v>40357.54</v>
      </c>
      <c r="K71" s="4">
        <f t="shared" si="19"/>
        <v>301490.53999999998</v>
      </c>
      <c r="L71" s="4">
        <f t="shared" ref="L71:L95" si="21">H71+K71</f>
        <v>341375.54</v>
      </c>
      <c r="M71" s="4">
        <f t="shared" ref="M71:M77" si="22">P71+S71</f>
        <v>108624.46000000002</v>
      </c>
      <c r="N71" s="4">
        <f>400000-100000</f>
        <v>300000</v>
      </c>
      <c r="O71" s="4">
        <f t="shared" ref="O71:O103" si="23">D71-L71-M71-N71</f>
        <v>0</v>
      </c>
      <c r="P71" s="4">
        <f t="shared" ref="P71:P103" si="24">G71-L71</f>
        <v>108624.46000000002</v>
      </c>
      <c r="Q71" s="4"/>
      <c r="R71" s="4"/>
      <c r="S71" s="4">
        <f t="shared" ref="S71:S83" si="25">SUM(Q71:R71)</f>
        <v>0</v>
      </c>
      <c r="T71" s="4">
        <f t="shared" ref="T71:T83" si="26">P71-M71+S71</f>
        <v>0</v>
      </c>
      <c r="U71" s="4">
        <f t="shared" ref="U71:U103" si="27">N71-T71</f>
        <v>300000</v>
      </c>
      <c r="V71" s="4">
        <f t="shared" ref="V71:V103" si="28">U71-Z71-W71-Y71</f>
        <v>300000</v>
      </c>
      <c r="W71" s="4"/>
      <c r="X71" s="4"/>
      <c r="Y71" s="4"/>
      <c r="Z71" s="3"/>
      <c r="AA71" s="323" t="s">
        <v>735</v>
      </c>
      <c r="AB71" s="3">
        <v>732000</v>
      </c>
      <c r="AC71" s="483"/>
      <c r="AD71" s="4"/>
      <c r="AE71" s="4"/>
      <c r="AF71" s="4">
        <v>300000</v>
      </c>
      <c r="AG71" s="4"/>
      <c r="AH71" s="4"/>
      <c r="AI71" s="4"/>
      <c r="AJ71" s="4"/>
      <c r="AK71" s="4"/>
      <c r="AL71" s="4">
        <f t="shared" si="9"/>
        <v>300000</v>
      </c>
      <c r="AM71" s="4"/>
      <c r="AN71" s="4">
        <f t="shared" si="11"/>
        <v>300000</v>
      </c>
      <c r="AO71" s="4">
        <f t="shared" si="12"/>
        <v>0</v>
      </c>
      <c r="AP71" s="4">
        <f t="shared" si="13"/>
        <v>300000</v>
      </c>
      <c r="AQ71" s="4"/>
      <c r="AR71" s="4"/>
      <c r="AS71" s="4"/>
      <c r="AT71" s="4"/>
      <c r="AU71" s="4">
        <f t="shared" si="14"/>
        <v>0</v>
      </c>
      <c r="AV71" s="4">
        <f t="shared" si="15"/>
        <v>0</v>
      </c>
      <c r="AW71" s="4"/>
      <c r="AX71" s="4"/>
      <c r="AY71" s="4"/>
      <c r="AZ71" s="4">
        <f t="shared" si="16"/>
        <v>0</v>
      </c>
      <c r="BA71" s="4"/>
      <c r="BB71" s="4"/>
      <c r="BC71" s="4"/>
      <c r="BD71" s="3"/>
      <c r="BE71" s="14"/>
    </row>
    <row r="72" spans="1:57" s="6" customFormat="1" ht="19.95" customHeight="1">
      <c r="A72" s="3">
        <f t="shared" si="18"/>
        <v>66</v>
      </c>
      <c r="B72" s="3">
        <v>1943</v>
      </c>
      <c r="C72" s="3" t="s">
        <v>212</v>
      </c>
      <c r="D72" s="4">
        <v>6750000</v>
      </c>
      <c r="E72" s="4">
        <v>6500000</v>
      </c>
      <c r="F72" s="4">
        <f t="shared" si="20"/>
        <v>250000</v>
      </c>
      <c r="G72" s="4">
        <v>6500000</v>
      </c>
      <c r="H72" s="4">
        <v>3839511</v>
      </c>
      <c r="I72" s="4">
        <v>208106</v>
      </c>
      <c r="J72" s="4">
        <v>2351722</v>
      </c>
      <c r="K72" s="4">
        <f t="shared" si="19"/>
        <v>2559828</v>
      </c>
      <c r="L72" s="4">
        <f t="shared" si="21"/>
        <v>6399339</v>
      </c>
      <c r="M72" s="4">
        <f t="shared" si="22"/>
        <v>100661</v>
      </c>
      <c r="N72" s="4">
        <v>250000</v>
      </c>
      <c r="O72" s="4">
        <f t="shared" si="23"/>
        <v>0</v>
      </c>
      <c r="P72" s="4">
        <f t="shared" si="24"/>
        <v>100661</v>
      </c>
      <c r="Q72" s="4"/>
      <c r="R72" s="4"/>
      <c r="S72" s="4">
        <f t="shared" si="25"/>
        <v>0</v>
      </c>
      <c r="T72" s="4">
        <f t="shared" si="26"/>
        <v>0</v>
      </c>
      <c r="U72" s="4">
        <f t="shared" si="27"/>
        <v>250000</v>
      </c>
      <c r="V72" s="4">
        <f t="shared" si="28"/>
        <v>250000</v>
      </c>
      <c r="W72" s="4"/>
      <c r="X72" s="4"/>
      <c r="Y72" s="4"/>
      <c r="Z72" s="3"/>
      <c r="AA72" s="323" t="s">
        <v>736</v>
      </c>
      <c r="AB72" s="3">
        <v>744000</v>
      </c>
      <c r="AC72" s="483"/>
      <c r="AD72" s="4"/>
      <c r="AE72" s="4"/>
      <c r="AF72" s="4">
        <v>250000</v>
      </c>
      <c r="AG72" s="4"/>
      <c r="AH72" s="4"/>
      <c r="AI72" s="4"/>
      <c r="AJ72" s="4"/>
      <c r="AK72" s="4"/>
      <c r="AL72" s="4">
        <f t="shared" ref="AL72:AL104" si="29">SUM(AC72:AK72)</f>
        <v>250000</v>
      </c>
      <c r="AM72" s="4"/>
      <c r="AN72" s="4">
        <f t="shared" si="11"/>
        <v>250000</v>
      </c>
      <c r="AO72" s="4">
        <f t="shared" si="12"/>
        <v>0</v>
      </c>
      <c r="AP72" s="4">
        <f t="shared" si="13"/>
        <v>250000</v>
      </c>
      <c r="AQ72" s="4"/>
      <c r="AR72" s="4"/>
      <c r="AS72" s="4"/>
      <c r="AT72" s="4"/>
      <c r="AU72" s="4">
        <f t="shared" si="14"/>
        <v>0</v>
      </c>
      <c r="AV72" s="4">
        <f t="shared" si="15"/>
        <v>0</v>
      </c>
      <c r="AW72" s="4"/>
      <c r="AX72" s="4"/>
      <c r="AY72" s="4"/>
      <c r="AZ72" s="4">
        <f t="shared" si="16"/>
        <v>0</v>
      </c>
      <c r="BA72" s="4"/>
      <c r="BB72" s="4"/>
      <c r="BC72" s="4"/>
      <c r="BD72" s="3"/>
      <c r="BE72" s="14"/>
    </row>
    <row r="73" spans="1:57" s="5" customFormat="1" ht="19.95" customHeight="1">
      <c r="A73" s="3">
        <f t="shared" si="18"/>
        <v>67</v>
      </c>
      <c r="B73" s="3">
        <v>1950</v>
      </c>
      <c r="C73" s="39" t="s">
        <v>429</v>
      </c>
      <c r="D73" s="4">
        <v>500000</v>
      </c>
      <c r="E73" s="4">
        <v>500000</v>
      </c>
      <c r="F73" s="4">
        <f t="shared" si="20"/>
        <v>0</v>
      </c>
      <c r="G73" s="4">
        <v>100000</v>
      </c>
      <c r="H73" s="4">
        <v>0</v>
      </c>
      <c r="I73" s="4"/>
      <c r="J73" s="4"/>
      <c r="K73" s="4">
        <f t="shared" si="19"/>
        <v>0</v>
      </c>
      <c r="L73" s="4">
        <f t="shared" si="21"/>
        <v>0</v>
      </c>
      <c r="M73" s="4">
        <f t="shared" si="22"/>
        <v>100000</v>
      </c>
      <c r="N73" s="4">
        <v>100000</v>
      </c>
      <c r="O73" s="4">
        <f t="shared" si="23"/>
        <v>300000</v>
      </c>
      <c r="P73" s="4">
        <f t="shared" si="24"/>
        <v>100000</v>
      </c>
      <c r="Q73" s="4"/>
      <c r="R73" s="4"/>
      <c r="S73" s="4">
        <f t="shared" si="25"/>
        <v>0</v>
      </c>
      <c r="T73" s="4">
        <f t="shared" si="26"/>
        <v>0</v>
      </c>
      <c r="U73" s="4">
        <f t="shared" si="27"/>
        <v>100000</v>
      </c>
      <c r="V73" s="4">
        <f t="shared" si="28"/>
        <v>100000</v>
      </c>
      <c r="W73" s="4"/>
      <c r="X73" s="4"/>
      <c r="Y73" s="4"/>
      <c r="Z73" s="3"/>
      <c r="AA73" s="323" t="s">
        <v>430</v>
      </c>
      <c r="AB73" s="3">
        <v>732000</v>
      </c>
      <c r="AC73" s="483"/>
      <c r="AD73" s="4"/>
      <c r="AE73" s="4"/>
      <c r="AF73" s="4"/>
      <c r="AG73" s="4"/>
      <c r="AH73" s="4"/>
      <c r="AI73" s="4"/>
      <c r="AJ73" s="4"/>
      <c r="AK73" s="4"/>
      <c r="AL73" s="4">
        <f t="shared" si="29"/>
        <v>0</v>
      </c>
      <c r="AM73" s="4"/>
      <c r="AN73" s="4">
        <f t="shared" si="11"/>
        <v>0</v>
      </c>
      <c r="AO73" s="4">
        <f t="shared" si="12"/>
        <v>100000</v>
      </c>
      <c r="AP73" s="4">
        <f t="shared" si="13"/>
        <v>0</v>
      </c>
      <c r="AQ73" s="4"/>
      <c r="AR73" s="4"/>
      <c r="AS73" s="4"/>
      <c r="AT73" s="4"/>
      <c r="AU73" s="4">
        <f t="shared" si="14"/>
        <v>0</v>
      </c>
      <c r="AV73" s="4">
        <f t="shared" si="15"/>
        <v>0</v>
      </c>
      <c r="AW73" s="4"/>
      <c r="AX73" s="4"/>
      <c r="AY73" s="4"/>
      <c r="AZ73" s="4">
        <f t="shared" si="16"/>
        <v>100000</v>
      </c>
      <c r="BA73" s="4"/>
      <c r="BB73" s="4"/>
      <c r="BC73" s="4"/>
      <c r="BD73" s="3"/>
      <c r="BE73" s="14"/>
    </row>
    <row r="74" spans="1:57" s="5" customFormat="1" ht="19.95" customHeight="1">
      <c r="A74" s="3">
        <f t="shared" si="18"/>
        <v>68</v>
      </c>
      <c r="B74" s="3">
        <v>1951</v>
      </c>
      <c r="C74" s="3" t="s">
        <v>189</v>
      </c>
      <c r="D74" s="4">
        <v>300000</v>
      </c>
      <c r="E74" s="4">
        <v>300000</v>
      </c>
      <c r="F74" s="4">
        <f t="shared" si="20"/>
        <v>0</v>
      </c>
      <c r="G74" s="4">
        <v>160000</v>
      </c>
      <c r="H74" s="4">
        <v>123575</v>
      </c>
      <c r="I74" s="4">
        <v>35100</v>
      </c>
      <c r="J74" s="4"/>
      <c r="K74" s="4">
        <f t="shared" si="19"/>
        <v>35100</v>
      </c>
      <c r="L74" s="4">
        <f t="shared" si="21"/>
        <v>158675</v>
      </c>
      <c r="M74" s="4">
        <f t="shared" si="22"/>
        <v>1325</v>
      </c>
      <c r="N74" s="4"/>
      <c r="O74" s="4">
        <f t="shared" si="23"/>
        <v>140000</v>
      </c>
      <c r="P74" s="4">
        <f t="shared" si="24"/>
        <v>1325</v>
      </c>
      <c r="Q74" s="4"/>
      <c r="R74" s="4"/>
      <c r="S74" s="4">
        <f t="shared" si="25"/>
        <v>0</v>
      </c>
      <c r="T74" s="4">
        <f t="shared" si="26"/>
        <v>0</v>
      </c>
      <c r="U74" s="4">
        <f t="shared" si="27"/>
        <v>0</v>
      </c>
      <c r="V74" s="4">
        <f t="shared" si="28"/>
        <v>0</v>
      </c>
      <c r="W74" s="4"/>
      <c r="X74" s="4"/>
      <c r="Y74" s="4"/>
      <c r="Z74" s="3"/>
      <c r="AA74" s="323"/>
      <c r="AB74" s="3">
        <v>732000</v>
      </c>
      <c r="AC74" s="483"/>
      <c r="AD74" s="4"/>
      <c r="AE74" s="4"/>
      <c r="AF74" s="4"/>
      <c r="AG74" s="4"/>
      <c r="AH74" s="4"/>
      <c r="AI74" s="4"/>
      <c r="AJ74" s="4"/>
      <c r="AK74" s="4"/>
      <c r="AL74" s="4">
        <f t="shared" si="29"/>
        <v>0</v>
      </c>
      <c r="AM74" s="4"/>
      <c r="AN74" s="4">
        <f t="shared" ref="AN74:AN104" si="30">AL74+AM74</f>
        <v>0</v>
      </c>
      <c r="AO74" s="4">
        <f t="shared" ref="AO74:AO104" si="31">U74-AN74</f>
        <v>0</v>
      </c>
      <c r="AP74" s="4">
        <f t="shared" ref="AP74:AP104" si="32">AN74-AQ74-AR74-AS74-AT74</f>
        <v>0</v>
      </c>
      <c r="AQ74" s="4"/>
      <c r="AR74" s="4"/>
      <c r="AS74" s="4"/>
      <c r="AT74" s="4"/>
      <c r="AU74" s="4">
        <f t="shared" ref="AU74:AU104" si="33">AM74-AV74-AW74-AX74-AY74</f>
        <v>0</v>
      </c>
      <c r="AV74" s="4">
        <f t="shared" ref="AV74:AV104" si="34">AS74-BC74</f>
        <v>0</v>
      </c>
      <c r="AW74" s="4"/>
      <c r="AX74" s="4"/>
      <c r="AY74" s="4"/>
      <c r="AZ74" s="4">
        <f t="shared" ref="AZ74:AZ104" si="35">AO74-BA74-BB74-BC74-BD74</f>
        <v>0</v>
      </c>
      <c r="BA74" s="4"/>
      <c r="BB74" s="4"/>
      <c r="BC74" s="4"/>
      <c r="BD74" s="3"/>
      <c r="BE74" s="14"/>
    </row>
    <row r="75" spans="1:57" s="5" customFormat="1" ht="19.95" customHeight="1">
      <c r="A75" s="3">
        <f t="shared" si="18"/>
        <v>69</v>
      </c>
      <c r="B75" s="188">
        <v>1952</v>
      </c>
      <c r="C75" s="188" t="s">
        <v>1244</v>
      </c>
      <c r="D75" s="4">
        <v>200000</v>
      </c>
      <c r="E75" s="4">
        <v>200000</v>
      </c>
      <c r="F75" s="4">
        <f t="shared" si="20"/>
        <v>0</v>
      </c>
      <c r="G75" s="4">
        <v>100000</v>
      </c>
      <c r="H75" s="4">
        <v>0</v>
      </c>
      <c r="I75" s="4"/>
      <c r="J75" s="4"/>
      <c r="K75" s="4">
        <f t="shared" si="19"/>
        <v>0</v>
      </c>
      <c r="L75" s="4">
        <f t="shared" si="21"/>
        <v>0</v>
      </c>
      <c r="M75" s="4">
        <f t="shared" si="22"/>
        <v>100000</v>
      </c>
      <c r="N75" s="4">
        <f>100000-100000</f>
        <v>0</v>
      </c>
      <c r="O75" s="4">
        <f t="shared" si="23"/>
        <v>100000</v>
      </c>
      <c r="P75" s="4">
        <f t="shared" si="24"/>
        <v>100000</v>
      </c>
      <c r="Q75" s="4"/>
      <c r="R75" s="4"/>
      <c r="S75" s="4">
        <f t="shared" si="25"/>
        <v>0</v>
      </c>
      <c r="T75" s="4">
        <f t="shared" si="26"/>
        <v>0</v>
      </c>
      <c r="U75" s="4">
        <f t="shared" si="27"/>
        <v>0</v>
      </c>
      <c r="V75" s="4">
        <f t="shared" si="28"/>
        <v>0</v>
      </c>
      <c r="W75" s="4"/>
      <c r="X75" s="4"/>
      <c r="Y75" s="4"/>
      <c r="Z75" s="3"/>
      <c r="AA75" s="323" t="s">
        <v>431</v>
      </c>
      <c r="AB75" s="3">
        <v>829000</v>
      </c>
      <c r="AC75" s="483"/>
      <c r="AD75" s="4"/>
      <c r="AE75" s="4"/>
      <c r="AF75" s="4"/>
      <c r="AG75" s="4"/>
      <c r="AH75" s="4"/>
      <c r="AI75" s="4"/>
      <c r="AJ75" s="4"/>
      <c r="AK75" s="4"/>
      <c r="AL75" s="4">
        <f t="shared" si="29"/>
        <v>0</v>
      </c>
      <c r="AM75" s="4"/>
      <c r="AN75" s="4">
        <f t="shared" si="30"/>
        <v>0</v>
      </c>
      <c r="AO75" s="4">
        <f t="shared" si="31"/>
        <v>0</v>
      </c>
      <c r="AP75" s="4">
        <f t="shared" si="32"/>
        <v>0</v>
      </c>
      <c r="AQ75" s="4"/>
      <c r="AR75" s="4"/>
      <c r="AS75" s="4"/>
      <c r="AT75" s="4"/>
      <c r="AU75" s="4">
        <f t="shared" si="33"/>
        <v>0</v>
      </c>
      <c r="AV75" s="4">
        <f t="shared" si="34"/>
        <v>0</v>
      </c>
      <c r="AW75" s="4"/>
      <c r="AX75" s="4"/>
      <c r="AY75" s="4"/>
      <c r="AZ75" s="4">
        <f t="shared" si="35"/>
        <v>0</v>
      </c>
      <c r="BA75" s="4"/>
      <c r="BB75" s="4"/>
      <c r="BC75" s="4"/>
      <c r="BD75" s="3"/>
      <c r="BE75" s="14"/>
    </row>
    <row r="76" spans="1:57" s="5" customFormat="1" ht="19.95" customHeight="1">
      <c r="A76" s="3">
        <f t="shared" si="18"/>
        <v>70</v>
      </c>
      <c r="B76" s="3">
        <v>2007</v>
      </c>
      <c r="C76" s="3" t="s">
        <v>432</v>
      </c>
      <c r="D76" s="4">
        <f>3000000-1900000</f>
        <v>1100000</v>
      </c>
      <c r="E76" s="4">
        <v>3000000</v>
      </c>
      <c r="F76" s="4">
        <f t="shared" si="20"/>
        <v>-1900000</v>
      </c>
      <c r="G76" s="4">
        <f>500000+600000</f>
        <v>1100000</v>
      </c>
      <c r="H76" s="4">
        <v>0</v>
      </c>
      <c r="I76" s="4"/>
      <c r="J76" s="4">
        <f>64313+918635</f>
        <v>982948</v>
      </c>
      <c r="K76" s="4">
        <f t="shared" si="19"/>
        <v>982948</v>
      </c>
      <c r="L76" s="4">
        <f t="shared" si="21"/>
        <v>982948</v>
      </c>
      <c r="M76" s="4">
        <f t="shared" si="22"/>
        <v>117052</v>
      </c>
      <c r="N76" s="4"/>
      <c r="O76" s="4">
        <f t="shared" si="23"/>
        <v>0</v>
      </c>
      <c r="P76" s="4">
        <f t="shared" si="24"/>
        <v>117052</v>
      </c>
      <c r="Q76" s="4"/>
      <c r="R76" s="4"/>
      <c r="S76" s="4">
        <f t="shared" si="25"/>
        <v>0</v>
      </c>
      <c r="T76" s="4">
        <f t="shared" si="26"/>
        <v>0</v>
      </c>
      <c r="U76" s="4">
        <f t="shared" si="27"/>
        <v>0</v>
      </c>
      <c r="V76" s="4">
        <f t="shared" si="28"/>
        <v>0</v>
      </c>
      <c r="W76" s="4"/>
      <c r="X76" s="4"/>
      <c r="Y76" s="4"/>
      <c r="Z76" s="3"/>
      <c r="AA76" s="323" t="s">
        <v>433</v>
      </c>
      <c r="AB76" s="3">
        <v>742000</v>
      </c>
      <c r="AC76" s="483"/>
      <c r="AD76" s="4"/>
      <c r="AE76" s="4"/>
      <c r="AF76" s="4"/>
      <c r="AG76" s="4"/>
      <c r="AH76" s="4"/>
      <c r="AI76" s="4"/>
      <c r="AJ76" s="4"/>
      <c r="AK76" s="4"/>
      <c r="AL76" s="4">
        <f t="shared" si="29"/>
        <v>0</v>
      </c>
      <c r="AM76" s="4"/>
      <c r="AN76" s="4">
        <f t="shared" si="30"/>
        <v>0</v>
      </c>
      <c r="AO76" s="4">
        <f t="shared" si="31"/>
        <v>0</v>
      </c>
      <c r="AP76" s="4">
        <f t="shared" si="32"/>
        <v>0</v>
      </c>
      <c r="AQ76" s="4"/>
      <c r="AR76" s="4"/>
      <c r="AS76" s="4"/>
      <c r="AT76" s="4"/>
      <c r="AU76" s="4">
        <f t="shared" si="33"/>
        <v>0</v>
      </c>
      <c r="AV76" s="4">
        <f t="shared" si="34"/>
        <v>0</v>
      </c>
      <c r="AW76" s="4"/>
      <c r="AX76" s="4"/>
      <c r="AY76" s="4"/>
      <c r="AZ76" s="4">
        <f t="shared" si="35"/>
        <v>0</v>
      </c>
      <c r="BA76" s="4"/>
      <c r="BB76" s="4"/>
      <c r="BC76" s="4"/>
      <c r="BD76" s="3"/>
      <c r="BE76" s="14"/>
    </row>
    <row r="77" spans="1:57" s="5" customFormat="1" ht="19.95" customHeight="1">
      <c r="A77" s="3">
        <f t="shared" si="18"/>
        <v>71</v>
      </c>
      <c r="B77" s="3">
        <v>2009</v>
      </c>
      <c r="C77" s="3" t="s">
        <v>356</v>
      </c>
      <c r="D77" s="4">
        <v>9000000</v>
      </c>
      <c r="E77" s="4">
        <v>9000000</v>
      </c>
      <c r="F77" s="4">
        <f t="shared" si="20"/>
        <v>0</v>
      </c>
      <c r="G77" s="4">
        <v>0</v>
      </c>
      <c r="H77" s="4">
        <v>0</v>
      </c>
      <c r="I77" s="4"/>
      <c r="J77" s="4"/>
      <c r="K77" s="4">
        <f t="shared" si="19"/>
        <v>0</v>
      </c>
      <c r="L77" s="4">
        <f t="shared" si="21"/>
        <v>0</v>
      </c>
      <c r="M77" s="4">
        <f t="shared" si="22"/>
        <v>0</v>
      </c>
      <c r="N77" s="4">
        <f>500000+500000</f>
        <v>1000000</v>
      </c>
      <c r="O77" s="4">
        <f t="shared" si="23"/>
        <v>8000000</v>
      </c>
      <c r="P77" s="4">
        <f t="shared" si="24"/>
        <v>0</v>
      </c>
      <c r="Q77" s="4"/>
      <c r="R77" s="4"/>
      <c r="S77" s="4">
        <f t="shared" si="25"/>
        <v>0</v>
      </c>
      <c r="T77" s="4">
        <f t="shared" si="26"/>
        <v>0</v>
      </c>
      <c r="U77" s="4">
        <f t="shared" si="27"/>
        <v>1000000</v>
      </c>
      <c r="V77" s="4">
        <f t="shared" si="28"/>
        <v>1000000</v>
      </c>
      <c r="W77" s="4"/>
      <c r="X77" s="4"/>
      <c r="Y77" s="4"/>
      <c r="Z77" s="3"/>
      <c r="AA77" s="323" t="s">
        <v>628</v>
      </c>
      <c r="AB77" s="3">
        <v>742000</v>
      </c>
      <c r="AC77" s="483"/>
      <c r="AD77" s="4"/>
      <c r="AE77" s="4"/>
      <c r="AF77" s="4"/>
      <c r="AG77" s="4"/>
      <c r="AH77" s="4"/>
      <c r="AI77" s="4"/>
      <c r="AJ77" s="4">
        <v>1000000</v>
      </c>
      <c r="AK77" s="4"/>
      <c r="AL77" s="4">
        <f t="shared" si="29"/>
        <v>1000000</v>
      </c>
      <c r="AM77" s="4"/>
      <c r="AN77" s="4">
        <f t="shared" si="30"/>
        <v>1000000</v>
      </c>
      <c r="AO77" s="4">
        <f t="shared" si="31"/>
        <v>0</v>
      </c>
      <c r="AP77" s="4">
        <f t="shared" si="32"/>
        <v>1000000</v>
      </c>
      <c r="AQ77" s="4"/>
      <c r="AR77" s="4"/>
      <c r="AS77" s="4"/>
      <c r="AT77" s="4"/>
      <c r="AU77" s="4">
        <f t="shared" si="33"/>
        <v>0</v>
      </c>
      <c r="AV77" s="4">
        <f t="shared" si="34"/>
        <v>0</v>
      </c>
      <c r="AW77" s="4"/>
      <c r="AX77" s="4"/>
      <c r="AY77" s="4"/>
      <c r="AZ77" s="4">
        <f t="shared" si="35"/>
        <v>0</v>
      </c>
      <c r="BA77" s="4"/>
      <c r="BB77" s="4"/>
      <c r="BC77" s="4"/>
      <c r="BD77" s="3"/>
      <c r="BE77" s="14"/>
    </row>
    <row r="78" spans="1:57" s="5" customFormat="1" ht="27.6">
      <c r="A78" s="3">
        <f t="shared" si="18"/>
        <v>72</v>
      </c>
      <c r="B78" s="3">
        <v>2010</v>
      </c>
      <c r="C78" s="3" t="s">
        <v>943</v>
      </c>
      <c r="D78" s="4">
        <v>8000000</v>
      </c>
      <c r="E78" s="4">
        <v>8000000</v>
      </c>
      <c r="F78" s="4">
        <f t="shared" si="20"/>
        <v>0</v>
      </c>
      <c r="G78" s="4">
        <v>500000</v>
      </c>
      <c r="H78" s="4">
        <v>0</v>
      </c>
      <c r="I78" s="4"/>
      <c r="J78" s="4"/>
      <c r="K78" s="4">
        <f t="shared" si="19"/>
        <v>0</v>
      </c>
      <c r="L78" s="4">
        <f t="shared" si="21"/>
        <v>0</v>
      </c>
      <c r="M78" s="4">
        <f>P78+S78-500000</f>
        <v>0</v>
      </c>
      <c r="N78" s="4">
        <v>960000</v>
      </c>
      <c r="O78" s="4">
        <f t="shared" si="23"/>
        <v>7040000</v>
      </c>
      <c r="P78" s="4">
        <f t="shared" si="24"/>
        <v>500000</v>
      </c>
      <c r="Q78" s="4"/>
      <c r="R78" s="4"/>
      <c r="S78" s="4">
        <f t="shared" si="25"/>
        <v>0</v>
      </c>
      <c r="T78" s="4">
        <f t="shared" si="26"/>
        <v>500000</v>
      </c>
      <c r="U78" s="4">
        <f t="shared" si="27"/>
        <v>460000</v>
      </c>
      <c r="V78" s="4">
        <f t="shared" si="28"/>
        <v>460000</v>
      </c>
      <c r="W78" s="4"/>
      <c r="X78" s="4"/>
      <c r="Y78" s="4"/>
      <c r="Z78" s="3"/>
      <c r="AA78" s="323" t="s">
        <v>737</v>
      </c>
      <c r="AB78" s="3">
        <v>742000</v>
      </c>
      <c r="AC78" s="483"/>
      <c r="AD78" s="4"/>
      <c r="AE78" s="4"/>
      <c r="AF78" s="4"/>
      <c r="AG78" s="4"/>
      <c r="AH78" s="4"/>
      <c r="AI78" s="4"/>
      <c r="AJ78" s="4"/>
      <c r="AK78" s="4"/>
      <c r="AL78" s="4">
        <f t="shared" si="29"/>
        <v>0</v>
      </c>
      <c r="AM78" s="4"/>
      <c r="AN78" s="4">
        <f t="shared" si="30"/>
        <v>0</v>
      </c>
      <c r="AO78" s="4">
        <f t="shared" si="31"/>
        <v>460000</v>
      </c>
      <c r="AP78" s="4">
        <f t="shared" si="32"/>
        <v>0</v>
      </c>
      <c r="AQ78" s="4"/>
      <c r="AR78" s="4"/>
      <c r="AS78" s="4"/>
      <c r="AT78" s="4"/>
      <c r="AU78" s="4">
        <f t="shared" si="33"/>
        <v>0</v>
      </c>
      <c r="AV78" s="4">
        <f t="shared" si="34"/>
        <v>0</v>
      </c>
      <c r="AW78" s="4"/>
      <c r="AX78" s="4"/>
      <c r="AY78" s="4"/>
      <c r="AZ78" s="4">
        <f t="shared" si="35"/>
        <v>460000</v>
      </c>
      <c r="BA78" s="4"/>
      <c r="BB78" s="4"/>
      <c r="BC78" s="4"/>
      <c r="BD78" s="3"/>
      <c r="BE78" s="14"/>
    </row>
    <row r="79" spans="1:57" s="5" customFormat="1" ht="19.95" customHeight="1">
      <c r="A79" s="3">
        <f t="shared" si="18"/>
        <v>73</v>
      </c>
      <c r="B79" s="3">
        <v>2011</v>
      </c>
      <c r="C79" s="3" t="s">
        <v>944</v>
      </c>
      <c r="D79" s="4">
        <v>80000000</v>
      </c>
      <c r="E79" s="4">
        <v>80000000</v>
      </c>
      <c r="F79" s="4">
        <f t="shared" si="20"/>
        <v>0</v>
      </c>
      <c r="G79" s="4">
        <v>0</v>
      </c>
      <c r="H79" s="4">
        <v>0</v>
      </c>
      <c r="I79" s="4"/>
      <c r="J79" s="4"/>
      <c r="K79" s="4">
        <f t="shared" si="19"/>
        <v>0</v>
      </c>
      <c r="L79" s="4">
        <f t="shared" si="21"/>
        <v>0</v>
      </c>
      <c r="M79" s="4">
        <f>P79+S79</f>
        <v>0</v>
      </c>
      <c r="N79" s="4">
        <v>2000000</v>
      </c>
      <c r="O79" s="4">
        <f t="shared" si="23"/>
        <v>78000000</v>
      </c>
      <c r="P79" s="4">
        <f t="shared" si="24"/>
        <v>0</v>
      </c>
      <c r="Q79" s="4"/>
      <c r="R79" s="4"/>
      <c r="S79" s="4">
        <f t="shared" si="25"/>
        <v>0</v>
      </c>
      <c r="T79" s="4">
        <f t="shared" si="26"/>
        <v>0</v>
      </c>
      <c r="U79" s="4">
        <f t="shared" si="27"/>
        <v>2000000</v>
      </c>
      <c r="V79" s="4">
        <f t="shared" si="28"/>
        <v>2000000</v>
      </c>
      <c r="W79" s="4"/>
      <c r="X79" s="4"/>
      <c r="Y79" s="4"/>
      <c r="Z79" s="3"/>
      <c r="AA79" s="323" t="s">
        <v>880</v>
      </c>
      <c r="AB79" s="3">
        <v>742000</v>
      </c>
      <c r="AC79" s="483"/>
      <c r="AD79" s="4"/>
      <c r="AE79" s="4"/>
      <c r="AF79" s="4"/>
      <c r="AG79" s="4"/>
      <c r="AH79" s="4"/>
      <c r="AI79" s="4"/>
      <c r="AJ79" s="4"/>
      <c r="AK79" s="4"/>
      <c r="AL79" s="4">
        <f t="shared" si="29"/>
        <v>0</v>
      </c>
      <c r="AM79" s="4"/>
      <c r="AN79" s="4">
        <f t="shared" si="30"/>
        <v>0</v>
      </c>
      <c r="AO79" s="4">
        <f t="shared" si="31"/>
        <v>2000000</v>
      </c>
      <c r="AP79" s="4">
        <f t="shared" si="32"/>
        <v>0</v>
      </c>
      <c r="AQ79" s="4"/>
      <c r="AR79" s="4"/>
      <c r="AS79" s="4"/>
      <c r="AT79" s="4"/>
      <c r="AU79" s="4">
        <f t="shared" si="33"/>
        <v>0</v>
      </c>
      <c r="AV79" s="4">
        <f t="shared" si="34"/>
        <v>0</v>
      </c>
      <c r="AW79" s="4"/>
      <c r="AX79" s="4"/>
      <c r="AY79" s="4"/>
      <c r="AZ79" s="4">
        <f t="shared" si="35"/>
        <v>2000000</v>
      </c>
      <c r="BA79" s="4"/>
      <c r="BB79" s="4"/>
      <c r="BC79" s="4"/>
      <c r="BD79" s="3"/>
      <c r="BE79" s="14"/>
    </row>
    <row r="80" spans="1:57" s="5" customFormat="1" ht="19.95" customHeight="1">
      <c r="A80" s="3">
        <f t="shared" si="18"/>
        <v>74</v>
      </c>
      <c r="B80" s="3">
        <v>2012</v>
      </c>
      <c r="C80" s="3" t="s">
        <v>358</v>
      </c>
      <c r="D80" s="4">
        <v>5000000</v>
      </c>
      <c r="E80" s="4">
        <v>5000000</v>
      </c>
      <c r="F80" s="4">
        <f t="shared" si="20"/>
        <v>0</v>
      </c>
      <c r="G80" s="4">
        <v>0</v>
      </c>
      <c r="H80" s="4">
        <v>0</v>
      </c>
      <c r="I80" s="4"/>
      <c r="J80" s="4"/>
      <c r="K80" s="4">
        <f t="shared" si="19"/>
        <v>0</v>
      </c>
      <c r="L80" s="4">
        <f t="shared" si="21"/>
        <v>0</v>
      </c>
      <c r="M80" s="4">
        <f>P80+S80-200000</f>
        <v>0</v>
      </c>
      <c r="N80" s="4">
        <f>1000000-800000</f>
        <v>200000</v>
      </c>
      <c r="O80" s="4">
        <f t="shared" si="23"/>
        <v>4800000</v>
      </c>
      <c r="P80" s="4">
        <f t="shared" si="24"/>
        <v>0</v>
      </c>
      <c r="Q80" s="4">
        <v>200000</v>
      </c>
      <c r="R80" s="4"/>
      <c r="S80" s="4">
        <f t="shared" si="25"/>
        <v>200000</v>
      </c>
      <c r="T80" s="4">
        <f t="shared" si="26"/>
        <v>200000</v>
      </c>
      <c r="U80" s="4">
        <f t="shared" si="27"/>
        <v>0</v>
      </c>
      <c r="V80" s="4">
        <f t="shared" si="28"/>
        <v>0</v>
      </c>
      <c r="W80" s="4"/>
      <c r="X80" s="4"/>
      <c r="Y80" s="4"/>
      <c r="Z80" s="3"/>
      <c r="AA80" s="323" t="s">
        <v>738</v>
      </c>
      <c r="AB80" s="3">
        <v>742000</v>
      </c>
      <c r="AC80" s="483"/>
      <c r="AD80" s="4"/>
      <c r="AE80" s="4"/>
      <c r="AF80" s="4"/>
      <c r="AG80" s="4"/>
      <c r="AH80" s="4"/>
      <c r="AI80" s="4"/>
      <c r="AJ80" s="4"/>
      <c r="AK80" s="4"/>
      <c r="AL80" s="4">
        <f t="shared" si="29"/>
        <v>0</v>
      </c>
      <c r="AM80" s="4"/>
      <c r="AN80" s="4">
        <f t="shared" si="30"/>
        <v>0</v>
      </c>
      <c r="AO80" s="4">
        <f t="shared" si="31"/>
        <v>0</v>
      </c>
      <c r="AP80" s="4">
        <f t="shared" si="32"/>
        <v>0</v>
      </c>
      <c r="AQ80" s="4"/>
      <c r="AR80" s="4"/>
      <c r="AS80" s="4"/>
      <c r="AT80" s="4"/>
      <c r="AU80" s="4">
        <f t="shared" si="33"/>
        <v>0</v>
      </c>
      <c r="AV80" s="4">
        <f t="shared" si="34"/>
        <v>0</v>
      </c>
      <c r="AW80" s="4"/>
      <c r="AX80" s="4"/>
      <c r="AY80" s="4"/>
      <c r="AZ80" s="4">
        <f t="shared" si="35"/>
        <v>0</v>
      </c>
      <c r="BA80" s="4"/>
      <c r="BB80" s="4"/>
      <c r="BC80" s="4"/>
      <c r="BD80" s="3"/>
      <c r="BE80" s="14"/>
    </row>
    <row r="81" spans="1:57" s="5" customFormat="1" ht="19.95" customHeight="1">
      <c r="A81" s="3">
        <f t="shared" si="18"/>
        <v>75</v>
      </c>
      <c r="B81" s="188">
        <v>2013</v>
      </c>
      <c r="C81" s="188" t="s">
        <v>1245</v>
      </c>
      <c r="D81" s="4">
        <v>1250000</v>
      </c>
      <c r="E81" s="4">
        <v>1250000</v>
      </c>
      <c r="F81" s="4">
        <f t="shared" si="20"/>
        <v>0</v>
      </c>
      <c r="G81" s="4">
        <v>100000</v>
      </c>
      <c r="H81" s="4">
        <v>0</v>
      </c>
      <c r="I81" s="4"/>
      <c r="J81" s="4">
        <v>21060</v>
      </c>
      <c r="K81" s="4">
        <f t="shared" si="19"/>
        <v>21060</v>
      </c>
      <c r="L81" s="4">
        <f t="shared" si="21"/>
        <v>21060</v>
      </c>
      <c r="M81" s="4">
        <f>P81+S81</f>
        <v>78940</v>
      </c>
      <c r="N81" s="4">
        <v>250000</v>
      </c>
      <c r="O81" s="4">
        <f t="shared" si="23"/>
        <v>900000</v>
      </c>
      <c r="P81" s="4">
        <f t="shared" si="24"/>
        <v>78940</v>
      </c>
      <c r="Q81" s="4"/>
      <c r="R81" s="4"/>
      <c r="S81" s="4">
        <f t="shared" si="25"/>
        <v>0</v>
      </c>
      <c r="T81" s="4">
        <f t="shared" si="26"/>
        <v>0</v>
      </c>
      <c r="U81" s="4">
        <f t="shared" si="27"/>
        <v>250000</v>
      </c>
      <c r="V81" s="4">
        <f t="shared" si="28"/>
        <v>250000</v>
      </c>
      <c r="W81" s="4"/>
      <c r="X81" s="4"/>
      <c r="Y81" s="4"/>
      <c r="Z81" s="3"/>
      <c r="AA81" s="323" t="s">
        <v>739</v>
      </c>
      <c r="AB81" s="3">
        <v>732000</v>
      </c>
      <c r="AC81" s="483"/>
      <c r="AD81" s="4">
        <v>100000</v>
      </c>
      <c r="AE81" s="4"/>
      <c r="AF81" s="4"/>
      <c r="AG81" s="4"/>
      <c r="AH81" s="4"/>
      <c r="AI81" s="4"/>
      <c r="AJ81" s="4"/>
      <c r="AK81" s="4"/>
      <c r="AL81" s="4">
        <f t="shared" si="29"/>
        <v>100000</v>
      </c>
      <c r="AM81" s="4"/>
      <c r="AN81" s="4">
        <f t="shared" si="30"/>
        <v>100000</v>
      </c>
      <c r="AO81" s="4">
        <f t="shared" si="31"/>
        <v>150000</v>
      </c>
      <c r="AP81" s="4">
        <f t="shared" si="32"/>
        <v>100000</v>
      </c>
      <c r="AQ81" s="4"/>
      <c r="AR81" s="4"/>
      <c r="AS81" s="4"/>
      <c r="AT81" s="4"/>
      <c r="AU81" s="4">
        <f t="shared" si="33"/>
        <v>0</v>
      </c>
      <c r="AV81" s="4">
        <f t="shared" si="34"/>
        <v>0</v>
      </c>
      <c r="AW81" s="4"/>
      <c r="AX81" s="4"/>
      <c r="AY81" s="4"/>
      <c r="AZ81" s="4">
        <f t="shared" si="35"/>
        <v>150000</v>
      </c>
      <c r="BA81" s="4"/>
      <c r="BB81" s="4"/>
      <c r="BC81" s="4"/>
      <c r="BD81" s="3"/>
      <c r="BE81" s="14"/>
    </row>
    <row r="82" spans="1:57" s="5" customFormat="1" ht="19.95" customHeight="1">
      <c r="A82" s="3">
        <f t="shared" si="18"/>
        <v>76</v>
      </c>
      <c r="B82" s="3">
        <v>2014</v>
      </c>
      <c r="C82" s="3" t="s">
        <v>436</v>
      </c>
      <c r="D82" s="4">
        <v>750000</v>
      </c>
      <c r="E82" s="4">
        <v>100000</v>
      </c>
      <c r="F82" s="4">
        <f t="shared" si="20"/>
        <v>650000</v>
      </c>
      <c r="G82" s="4">
        <v>100000</v>
      </c>
      <c r="H82" s="4">
        <v>0</v>
      </c>
      <c r="I82" s="4"/>
      <c r="J82" s="4"/>
      <c r="K82" s="4">
        <f t="shared" si="19"/>
        <v>0</v>
      </c>
      <c r="L82" s="4">
        <f t="shared" si="21"/>
        <v>0</v>
      </c>
      <c r="M82" s="4">
        <f>P82+S82</f>
        <v>100000</v>
      </c>
      <c r="N82" s="4">
        <v>300000</v>
      </c>
      <c r="O82" s="4">
        <f t="shared" si="23"/>
        <v>350000</v>
      </c>
      <c r="P82" s="4">
        <f t="shared" si="24"/>
        <v>100000</v>
      </c>
      <c r="Q82" s="4"/>
      <c r="R82" s="4"/>
      <c r="S82" s="4">
        <f t="shared" si="25"/>
        <v>0</v>
      </c>
      <c r="T82" s="4">
        <f t="shared" si="26"/>
        <v>0</v>
      </c>
      <c r="U82" s="4">
        <f t="shared" si="27"/>
        <v>300000</v>
      </c>
      <c r="V82" s="4">
        <f t="shared" si="28"/>
        <v>300000</v>
      </c>
      <c r="W82" s="4"/>
      <c r="X82" s="4"/>
      <c r="Y82" s="4"/>
      <c r="Z82" s="3"/>
      <c r="AA82" s="323" t="s">
        <v>437</v>
      </c>
      <c r="AB82" s="3">
        <v>732000</v>
      </c>
      <c r="AC82" s="483"/>
      <c r="AD82" s="4"/>
      <c r="AE82" s="4"/>
      <c r="AF82" s="4"/>
      <c r="AG82" s="4"/>
      <c r="AH82" s="4"/>
      <c r="AI82" s="4"/>
      <c r="AJ82" s="4"/>
      <c r="AK82" s="4"/>
      <c r="AL82" s="4">
        <f t="shared" si="29"/>
        <v>0</v>
      </c>
      <c r="AM82" s="4"/>
      <c r="AN82" s="4">
        <f t="shared" si="30"/>
        <v>0</v>
      </c>
      <c r="AO82" s="4">
        <f t="shared" si="31"/>
        <v>300000</v>
      </c>
      <c r="AP82" s="4">
        <f t="shared" si="32"/>
        <v>0</v>
      </c>
      <c r="AQ82" s="4"/>
      <c r="AR82" s="4"/>
      <c r="AS82" s="4"/>
      <c r="AT82" s="4"/>
      <c r="AU82" s="4">
        <f t="shared" si="33"/>
        <v>0</v>
      </c>
      <c r="AV82" s="4">
        <f t="shared" si="34"/>
        <v>0</v>
      </c>
      <c r="AW82" s="4"/>
      <c r="AX82" s="4"/>
      <c r="AY82" s="4"/>
      <c r="AZ82" s="4">
        <f t="shared" si="35"/>
        <v>300000</v>
      </c>
      <c r="BA82" s="4"/>
      <c r="BB82" s="4"/>
      <c r="BC82" s="4"/>
      <c r="BD82" s="3"/>
      <c r="BE82" s="14"/>
    </row>
    <row r="83" spans="1:57" s="6" customFormat="1" ht="19.95" customHeight="1">
      <c r="A83" s="3">
        <f t="shared" si="18"/>
        <v>77</v>
      </c>
      <c r="B83" s="39">
        <v>2077</v>
      </c>
      <c r="C83" s="3" t="s">
        <v>439</v>
      </c>
      <c r="D83" s="4">
        <v>4000000</v>
      </c>
      <c r="E83" s="4">
        <v>4000000</v>
      </c>
      <c r="F83" s="4">
        <f t="shared" si="20"/>
        <v>0</v>
      </c>
      <c r="G83" s="4"/>
      <c r="H83" s="4"/>
      <c r="I83" s="4"/>
      <c r="J83" s="4"/>
      <c r="K83" s="4">
        <f t="shared" si="19"/>
        <v>0</v>
      </c>
      <c r="L83" s="4">
        <f t="shared" si="21"/>
        <v>0</v>
      </c>
      <c r="M83" s="4">
        <f>P83+S83</f>
        <v>0</v>
      </c>
      <c r="N83" s="4">
        <f>3000000-3000000</f>
        <v>0</v>
      </c>
      <c r="O83" s="4">
        <f t="shared" si="23"/>
        <v>4000000</v>
      </c>
      <c r="P83" s="4">
        <f t="shared" si="24"/>
        <v>0</v>
      </c>
      <c r="Q83" s="4"/>
      <c r="R83" s="4"/>
      <c r="S83" s="4">
        <f t="shared" si="25"/>
        <v>0</v>
      </c>
      <c r="T83" s="4">
        <f t="shared" si="26"/>
        <v>0</v>
      </c>
      <c r="U83" s="4">
        <f t="shared" si="27"/>
        <v>0</v>
      </c>
      <c r="V83" s="4">
        <f t="shared" si="28"/>
        <v>0</v>
      </c>
      <c r="W83" s="4"/>
      <c r="X83" s="4"/>
      <c r="Y83" s="4"/>
      <c r="Z83" s="3"/>
      <c r="AA83" s="463" t="s">
        <v>440</v>
      </c>
      <c r="AB83" s="3">
        <v>742000</v>
      </c>
      <c r="AC83" s="483"/>
      <c r="AD83" s="4"/>
      <c r="AE83" s="4"/>
      <c r="AF83" s="4"/>
      <c r="AG83" s="4"/>
      <c r="AH83" s="4"/>
      <c r="AI83" s="4"/>
      <c r="AJ83" s="4"/>
      <c r="AK83" s="4"/>
      <c r="AL83" s="4">
        <f t="shared" si="29"/>
        <v>0</v>
      </c>
      <c r="AM83" s="4"/>
      <c r="AN83" s="4">
        <f t="shared" si="30"/>
        <v>0</v>
      </c>
      <c r="AO83" s="4">
        <f t="shared" si="31"/>
        <v>0</v>
      </c>
      <c r="AP83" s="4">
        <f t="shared" si="32"/>
        <v>0</v>
      </c>
      <c r="AQ83" s="4"/>
      <c r="AR83" s="4"/>
      <c r="AS83" s="4"/>
      <c r="AT83" s="4"/>
      <c r="AU83" s="4">
        <f t="shared" si="33"/>
        <v>0</v>
      </c>
      <c r="AV83" s="4">
        <f t="shared" si="34"/>
        <v>0</v>
      </c>
      <c r="AW83" s="4"/>
      <c r="AX83" s="4"/>
      <c r="AY83" s="4"/>
      <c r="AZ83" s="4">
        <f t="shared" si="35"/>
        <v>0</v>
      </c>
      <c r="BA83" s="4"/>
      <c r="BB83" s="4"/>
      <c r="BC83" s="4"/>
      <c r="BD83" s="3"/>
      <c r="BE83" s="14"/>
    </row>
    <row r="84" spans="1:57" s="5" customFormat="1" ht="27.6">
      <c r="A84" s="3">
        <f t="shared" si="18"/>
        <v>78</v>
      </c>
      <c r="B84" s="3">
        <v>2078</v>
      </c>
      <c r="C84" s="3" t="s">
        <v>945</v>
      </c>
      <c r="D84" s="4">
        <v>2260000</v>
      </c>
      <c r="E84" s="4">
        <v>2260000</v>
      </c>
      <c r="F84" s="4">
        <f t="shared" si="20"/>
        <v>0</v>
      </c>
      <c r="G84" s="4">
        <v>150000</v>
      </c>
      <c r="H84" s="4"/>
      <c r="I84" s="4"/>
      <c r="J84" s="4"/>
      <c r="K84" s="4">
        <f>SUM(I84:J84)</f>
        <v>0</v>
      </c>
      <c r="L84" s="4">
        <f t="shared" si="21"/>
        <v>0</v>
      </c>
      <c r="M84" s="4">
        <f>P84+S84</f>
        <v>150000</v>
      </c>
      <c r="N84" s="4">
        <v>300000</v>
      </c>
      <c r="O84" s="4">
        <f t="shared" si="23"/>
        <v>1810000</v>
      </c>
      <c r="P84" s="4">
        <f t="shared" si="24"/>
        <v>150000</v>
      </c>
      <c r="Q84" s="4"/>
      <c r="R84" s="4"/>
      <c r="S84" s="4"/>
      <c r="T84" s="4"/>
      <c r="U84" s="4">
        <f t="shared" si="27"/>
        <v>300000</v>
      </c>
      <c r="V84" s="4">
        <f t="shared" si="28"/>
        <v>300000</v>
      </c>
      <c r="W84" s="4"/>
      <c r="X84" s="4"/>
      <c r="Y84" s="4"/>
      <c r="Z84" s="3"/>
      <c r="AA84" s="323" t="s">
        <v>740</v>
      </c>
      <c r="AB84" s="3">
        <v>742000</v>
      </c>
      <c r="AC84" s="483"/>
      <c r="AD84" s="4"/>
      <c r="AE84" s="4"/>
      <c r="AF84" s="4"/>
      <c r="AG84" s="4"/>
      <c r="AH84" s="4"/>
      <c r="AI84" s="4"/>
      <c r="AJ84" s="4"/>
      <c r="AK84" s="4"/>
      <c r="AL84" s="4">
        <f t="shared" si="29"/>
        <v>0</v>
      </c>
      <c r="AM84" s="4"/>
      <c r="AN84" s="4">
        <f t="shared" si="30"/>
        <v>0</v>
      </c>
      <c r="AO84" s="4">
        <f t="shared" si="31"/>
        <v>300000</v>
      </c>
      <c r="AP84" s="4">
        <f t="shared" si="32"/>
        <v>0</v>
      </c>
      <c r="AQ84" s="4"/>
      <c r="AR84" s="4"/>
      <c r="AS84" s="4"/>
      <c r="AT84" s="4"/>
      <c r="AU84" s="4">
        <f t="shared" si="33"/>
        <v>0</v>
      </c>
      <c r="AV84" s="4">
        <f t="shared" si="34"/>
        <v>0</v>
      </c>
      <c r="AW84" s="4"/>
      <c r="AX84" s="4"/>
      <c r="AY84" s="4"/>
      <c r="AZ84" s="4">
        <f t="shared" si="35"/>
        <v>300000</v>
      </c>
      <c r="BA84" s="4"/>
      <c r="BB84" s="4"/>
      <c r="BC84" s="4"/>
      <c r="BD84" s="3"/>
      <c r="BE84" s="14"/>
    </row>
    <row r="85" spans="1:57" s="5" customFormat="1" ht="27.6">
      <c r="A85" s="3">
        <f t="shared" si="18"/>
        <v>79</v>
      </c>
      <c r="B85" s="39">
        <v>2104</v>
      </c>
      <c r="C85" s="3" t="s">
        <v>946</v>
      </c>
      <c r="D85" s="4">
        <v>18500000</v>
      </c>
      <c r="E85" s="4"/>
      <c r="F85" s="4">
        <f t="shared" si="20"/>
        <v>18500000</v>
      </c>
      <c r="G85" s="4"/>
      <c r="H85" s="4"/>
      <c r="I85" s="4"/>
      <c r="J85" s="4"/>
      <c r="K85" s="4">
        <f t="shared" ref="K85:K95" si="36">SUM(I85:J85)</f>
        <v>0</v>
      </c>
      <c r="L85" s="4">
        <f t="shared" si="21"/>
        <v>0</v>
      </c>
      <c r="M85" s="4">
        <f t="shared" ref="M85:M95" si="37">P85+S85</f>
        <v>0</v>
      </c>
      <c r="N85" s="4">
        <v>7500000</v>
      </c>
      <c r="O85" s="4">
        <f t="shared" si="23"/>
        <v>11000000</v>
      </c>
      <c r="P85" s="4">
        <f t="shared" si="24"/>
        <v>0</v>
      </c>
      <c r="Q85" s="4"/>
      <c r="R85" s="4"/>
      <c r="S85" s="4">
        <f t="shared" ref="S85:S103" si="38">SUM(Q85:R85)</f>
        <v>0</v>
      </c>
      <c r="T85" s="4">
        <f t="shared" ref="T85:T103" si="39">P85-M85+S85</f>
        <v>0</v>
      </c>
      <c r="U85" s="4">
        <f t="shared" si="27"/>
        <v>7500000</v>
      </c>
      <c r="V85" s="4">
        <f t="shared" si="28"/>
        <v>7500000</v>
      </c>
      <c r="W85" s="4"/>
      <c r="X85" s="4"/>
      <c r="Y85" s="4"/>
      <c r="Z85" s="3"/>
      <c r="AA85" s="323" t="s">
        <v>873</v>
      </c>
      <c r="AB85" s="3">
        <v>742000</v>
      </c>
      <c r="AC85" s="483"/>
      <c r="AD85" s="4"/>
      <c r="AE85" s="4"/>
      <c r="AF85" s="4"/>
      <c r="AG85" s="4"/>
      <c r="AH85" s="4"/>
      <c r="AI85" s="4"/>
      <c r="AJ85" s="4"/>
      <c r="AK85" s="4"/>
      <c r="AL85" s="4">
        <f t="shared" si="29"/>
        <v>0</v>
      </c>
      <c r="AM85" s="4"/>
      <c r="AN85" s="4">
        <f t="shared" si="30"/>
        <v>0</v>
      </c>
      <c r="AO85" s="4">
        <f t="shared" si="31"/>
        <v>7500000</v>
      </c>
      <c r="AP85" s="4">
        <f t="shared" si="32"/>
        <v>0</v>
      </c>
      <c r="AQ85" s="4"/>
      <c r="AR85" s="4"/>
      <c r="AS85" s="4"/>
      <c r="AT85" s="4"/>
      <c r="AU85" s="4">
        <f t="shared" si="33"/>
        <v>0</v>
      </c>
      <c r="AV85" s="4">
        <f t="shared" si="34"/>
        <v>0</v>
      </c>
      <c r="AW85" s="4"/>
      <c r="AX85" s="4"/>
      <c r="AY85" s="4"/>
      <c r="AZ85" s="4">
        <f t="shared" si="35"/>
        <v>7500000</v>
      </c>
      <c r="BA85" s="4"/>
      <c r="BB85" s="4"/>
      <c r="BC85" s="4"/>
      <c r="BD85" s="3"/>
      <c r="BE85" s="14"/>
    </row>
    <row r="86" spans="1:57" s="5" customFormat="1" ht="19.95" customHeight="1">
      <c r="A86" s="3">
        <f t="shared" si="18"/>
        <v>80</v>
      </c>
      <c r="B86" s="39">
        <v>2105</v>
      </c>
      <c r="C86" s="3" t="s">
        <v>710</v>
      </c>
      <c r="D86" s="4">
        <v>60000000</v>
      </c>
      <c r="E86" s="4"/>
      <c r="F86" s="4">
        <f t="shared" si="20"/>
        <v>60000000</v>
      </c>
      <c r="G86" s="4"/>
      <c r="H86" s="4"/>
      <c r="I86" s="4"/>
      <c r="J86" s="4"/>
      <c r="K86" s="4">
        <f t="shared" si="36"/>
        <v>0</v>
      </c>
      <c r="L86" s="4">
        <f t="shared" si="21"/>
        <v>0</v>
      </c>
      <c r="M86" s="4">
        <f t="shared" si="37"/>
        <v>0</v>
      </c>
      <c r="N86" s="4">
        <v>1000000</v>
      </c>
      <c r="O86" s="4">
        <f t="shared" si="23"/>
        <v>59000000</v>
      </c>
      <c r="P86" s="4">
        <f t="shared" si="24"/>
        <v>0</v>
      </c>
      <c r="Q86" s="4"/>
      <c r="R86" s="4"/>
      <c r="S86" s="4">
        <f t="shared" si="38"/>
        <v>0</v>
      </c>
      <c r="T86" s="4">
        <f t="shared" si="39"/>
        <v>0</v>
      </c>
      <c r="U86" s="4">
        <f t="shared" si="27"/>
        <v>1000000</v>
      </c>
      <c r="V86" s="4">
        <f t="shared" si="28"/>
        <v>1000000</v>
      </c>
      <c r="W86" s="4"/>
      <c r="X86" s="4"/>
      <c r="Y86" s="4"/>
      <c r="Z86" s="3"/>
      <c r="AA86" s="323" t="s">
        <v>724</v>
      </c>
      <c r="AB86" s="3">
        <v>742000</v>
      </c>
      <c r="AC86" s="483"/>
      <c r="AD86" s="4"/>
      <c r="AE86" s="4"/>
      <c r="AF86" s="4"/>
      <c r="AG86" s="4"/>
      <c r="AH86" s="4"/>
      <c r="AI86" s="4"/>
      <c r="AJ86" s="4"/>
      <c r="AK86" s="4"/>
      <c r="AL86" s="4">
        <f t="shared" si="29"/>
        <v>0</v>
      </c>
      <c r="AM86" s="4"/>
      <c r="AN86" s="4">
        <f t="shared" si="30"/>
        <v>0</v>
      </c>
      <c r="AO86" s="4">
        <f t="shared" si="31"/>
        <v>1000000</v>
      </c>
      <c r="AP86" s="4">
        <f t="shared" si="32"/>
        <v>0</v>
      </c>
      <c r="AQ86" s="4"/>
      <c r="AR86" s="4"/>
      <c r="AS86" s="4"/>
      <c r="AT86" s="4"/>
      <c r="AU86" s="4">
        <f t="shared" si="33"/>
        <v>0</v>
      </c>
      <c r="AV86" s="4">
        <f t="shared" si="34"/>
        <v>0</v>
      </c>
      <c r="AW86" s="4"/>
      <c r="AX86" s="4"/>
      <c r="AY86" s="4"/>
      <c r="AZ86" s="4">
        <f t="shared" si="35"/>
        <v>1000000</v>
      </c>
      <c r="BA86" s="4"/>
      <c r="BB86" s="4"/>
      <c r="BC86" s="4"/>
      <c r="BD86" s="3"/>
      <c r="BE86" s="14"/>
    </row>
    <row r="87" spans="1:57" s="6" customFormat="1" ht="27.6">
      <c r="A87" s="3">
        <f t="shared" si="18"/>
        <v>81</v>
      </c>
      <c r="B87" s="39">
        <v>2106</v>
      </c>
      <c r="C87" s="3" t="s">
        <v>947</v>
      </c>
      <c r="D87" s="4">
        <v>15000000</v>
      </c>
      <c r="E87" s="4"/>
      <c r="F87" s="4">
        <f t="shared" si="20"/>
        <v>15000000</v>
      </c>
      <c r="G87" s="4"/>
      <c r="H87" s="4"/>
      <c r="I87" s="4"/>
      <c r="J87" s="4"/>
      <c r="K87" s="4">
        <f t="shared" si="36"/>
        <v>0</v>
      </c>
      <c r="L87" s="4">
        <f t="shared" si="21"/>
        <v>0</v>
      </c>
      <c r="M87" s="4">
        <f t="shared" si="37"/>
        <v>0</v>
      </c>
      <c r="N87" s="4">
        <f>2500000-2000000</f>
        <v>500000</v>
      </c>
      <c r="O87" s="4">
        <f t="shared" si="23"/>
        <v>14500000</v>
      </c>
      <c r="P87" s="4">
        <f t="shared" si="24"/>
        <v>0</v>
      </c>
      <c r="Q87" s="4"/>
      <c r="R87" s="4"/>
      <c r="S87" s="4">
        <f t="shared" si="38"/>
        <v>0</v>
      </c>
      <c r="T87" s="4">
        <f t="shared" si="39"/>
        <v>0</v>
      </c>
      <c r="U87" s="4">
        <f t="shared" si="27"/>
        <v>500000</v>
      </c>
      <c r="V87" s="4">
        <f t="shared" si="28"/>
        <v>500000</v>
      </c>
      <c r="W87" s="4"/>
      <c r="X87" s="4"/>
      <c r="Y87" s="4"/>
      <c r="Z87" s="3"/>
      <c r="AA87" s="323" t="s">
        <v>713</v>
      </c>
      <c r="AB87" s="3">
        <v>742000</v>
      </c>
      <c r="AC87" s="483"/>
      <c r="AD87" s="4"/>
      <c r="AE87" s="4"/>
      <c r="AF87" s="4"/>
      <c r="AG87" s="4"/>
      <c r="AH87" s="4"/>
      <c r="AI87" s="4"/>
      <c r="AJ87" s="4"/>
      <c r="AK87" s="4"/>
      <c r="AL87" s="4">
        <f t="shared" si="29"/>
        <v>0</v>
      </c>
      <c r="AM87" s="4"/>
      <c r="AN87" s="4">
        <f t="shared" si="30"/>
        <v>0</v>
      </c>
      <c r="AO87" s="4">
        <f t="shared" si="31"/>
        <v>500000</v>
      </c>
      <c r="AP87" s="4">
        <f t="shared" si="32"/>
        <v>0</v>
      </c>
      <c r="AQ87" s="4"/>
      <c r="AR87" s="4"/>
      <c r="AS87" s="4"/>
      <c r="AT87" s="4"/>
      <c r="AU87" s="4">
        <f t="shared" si="33"/>
        <v>0</v>
      </c>
      <c r="AV87" s="4">
        <f t="shared" si="34"/>
        <v>0</v>
      </c>
      <c r="AW87" s="4"/>
      <c r="AX87" s="4"/>
      <c r="AY87" s="4"/>
      <c r="AZ87" s="4">
        <f t="shared" si="35"/>
        <v>500000</v>
      </c>
      <c r="BA87" s="4"/>
      <c r="BB87" s="4"/>
      <c r="BC87" s="4"/>
      <c r="BD87" s="3"/>
      <c r="BE87" s="14"/>
    </row>
    <row r="88" spans="1:57" s="6" customFormat="1" ht="27.6">
      <c r="A88" s="3">
        <f t="shared" si="18"/>
        <v>82</v>
      </c>
      <c r="B88" s="39">
        <v>2107</v>
      </c>
      <c r="C88" s="3" t="s">
        <v>443</v>
      </c>
      <c r="D88" s="4">
        <v>340000</v>
      </c>
      <c r="E88" s="4"/>
      <c r="F88" s="4">
        <f t="shared" si="20"/>
        <v>340000</v>
      </c>
      <c r="G88" s="4"/>
      <c r="H88" s="4"/>
      <c r="I88" s="4"/>
      <c r="J88" s="4"/>
      <c r="K88" s="4">
        <f t="shared" si="36"/>
        <v>0</v>
      </c>
      <c r="L88" s="4">
        <f t="shared" si="21"/>
        <v>0</v>
      </c>
      <c r="M88" s="4">
        <f t="shared" si="37"/>
        <v>0</v>
      </c>
      <c r="N88" s="4">
        <v>340000</v>
      </c>
      <c r="O88" s="4">
        <f t="shared" si="23"/>
        <v>0</v>
      </c>
      <c r="P88" s="4">
        <f t="shared" si="24"/>
        <v>0</v>
      </c>
      <c r="Q88" s="4"/>
      <c r="R88" s="4"/>
      <c r="S88" s="4">
        <f t="shared" si="38"/>
        <v>0</v>
      </c>
      <c r="T88" s="4">
        <f t="shared" si="39"/>
        <v>0</v>
      </c>
      <c r="U88" s="4">
        <f t="shared" si="27"/>
        <v>340000</v>
      </c>
      <c r="V88" s="4">
        <f t="shared" si="28"/>
        <v>340000</v>
      </c>
      <c r="W88" s="4"/>
      <c r="X88" s="4"/>
      <c r="Y88" s="4"/>
      <c r="Z88" s="3"/>
      <c r="AA88" s="323" t="s">
        <v>872</v>
      </c>
      <c r="AB88" s="3">
        <v>742000</v>
      </c>
      <c r="AC88" s="483"/>
      <c r="AD88" s="4"/>
      <c r="AE88" s="4"/>
      <c r="AF88" s="4"/>
      <c r="AG88" s="4"/>
      <c r="AH88" s="4"/>
      <c r="AI88" s="4"/>
      <c r="AJ88" s="4"/>
      <c r="AK88" s="4"/>
      <c r="AL88" s="4">
        <f t="shared" si="29"/>
        <v>0</v>
      </c>
      <c r="AM88" s="4"/>
      <c r="AN88" s="4">
        <f t="shared" si="30"/>
        <v>0</v>
      </c>
      <c r="AO88" s="4">
        <f t="shared" si="31"/>
        <v>340000</v>
      </c>
      <c r="AP88" s="4">
        <f t="shared" si="32"/>
        <v>0</v>
      </c>
      <c r="AQ88" s="4"/>
      <c r="AR88" s="4"/>
      <c r="AS88" s="4"/>
      <c r="AT88" s="4"/>
      <c r="AU88" s="4">
        <f t="shared" si="33"/>
        <v>0</v>
      </c>
      <c r="AV88" s="4">
        <f t="shared" si="34"/>
        <v>0</v>
      </c>
      <c r="AW88" s="4"/>
      <c r="AX88" s="4"/>
      <c r="AY88" s="4"/>
      <c r="AZ88" s="4">
        <f t="shared" si="35"/>
        <v>340000</v>
      </c>
      <c r="BA88" s="4"/>
      <c r="BB88" s="4"/>
      <c r="BC88" s="4"/>
      <c r="BD88" s="3"/>
      <c r="BE88" s="14"/>
    </row>
    <row r="89" spans="1:57" s="6" customFormat="1" ht="19.95" customHeight="1">
      <c r="A89" s="3">
        <f t="shared" si="18"/>
        <v>83</v>
      </c>
      <c r="B89" s="39">
        <v>2108</v>
      </c>
      <c r="C89" s="3" t="s">
        <v>444</v>
      </c>
      <c r="D89" s="4">
        <f>3300000+3200000+2700000+4900000</f>
        <v>14100000</v>
      </c>
      <c r="E89" s="4"/>
      <c r="F89" s="4">
        <f t="shared" si="20"/>
        <v>14100000</v>
      </c>
      <c r="G89" s="4"/>
      <c r="H89" s="4"/>
      <c r="I89" s="4"/>
      <c r="J89" s="4"/>
      <c r="K89" s="4">
        <f t="shared" si="36"/>
        <v>0</v>
      </c>
      <c r="L89" s="4">
        <f t="shared" si="21"/>
        <v>0</v>
      </c>
      <c r="M89" s="4">
        <f t="shared" si="37"/>
        <v>0</v>
      </c>
      <c r="N89" s="4">
        <v>1200000</v>
      </c>
      <c r="O89" s="4">
        <f t="shared" si="23"/>
        <v>12900000</v>
      </c>
      <c r="P89" s="4">
        <f t="shared" si="24"/>
        <v>0</v>
      </c>
      <c r="Q89" s="4"/>
      <c r="R89" s="4"/>
      <c r="S89" s="4">
        <f t="shared" si="38"/>
        <v>0</v>
      </c>
      <c r="T89" s="4">
        <f t="shared" si="39"/>
        <v>0</v>
      </c>
      <c r="U89" s="4">
        <f t="shared" si="27"/>
        <v>1200000</v>
      </c>
      <c r="V89" s="4">
        <f t="shared" si="28"/>
        <v>1200000</v>
      </c>
      <c r="W89" s="4"/>
      <c r="X89" s="4"/>
      <c r="Y89" s="4"/>
      <c r="Z89" s="3"/>
      <c r="AA89" s="463" t="s">
        <v>741</v>
      </c>
      <c r="AB89" s="3">
        <v>746000</v>
      </c>
      <c r="AC89" s="483"/>
      <c r="AD89" s="4"/>
      <c r="AE89" s="4"/>
      <c r="AF89" s="4"/>
      <c r="AG89" s="4"/>
      <c r="AH89" s="4"/>
      <c r="AI89" s="4"/>
      <c r="AJ89" s="4"/>
      <c r="AK89" s="4"/>
      <c r="AL89" s="4">
        <f t="shared" si="29"/>
        <v>0</v>
      </c>
      <c r="AM89" s="4"/>
      <c r="AN89" s="4">
        <f t="shared" si="30"/>
        <v>0</v>
      </c>
      <c r="AO89" s="4">
        <f t="shared" si="31"/>
        <v>1200000</v>
      </c>
      <c r="AP89" s="4">
        <f t="shared" si="32"/>
        <v>0</v>
      </c>
      <c r="AQ89" s="4"/>
      <c r="AR89" s="4"/>
      <c r="AS89" s="4"/>
      <c r="AT89" s="4"/>
      <c r="AU89" s="4">
        <f t="shared" si="33"/>
        <v>0</v>
      </c>
      <c r="AV89" s="4">
        <f t="shared" si="34"/>
        <v>0</v>
      </c>
      <c r="AW89" s="4"/>
      <c r="AX89" s="4"/>
      <c r="AY89" s="4"/>
      <c r="AZ89" s="4">
        <f t="shared" si="35"/>
        <v>1200000</v>
      </c>
      <c r="BA89" s="4"/>
      <c r="BB89" s="4"/>
      <c r="BC89" s="4"/>
      <c r="BD89" s="3"/>
      <c r="BE89" s="14"/>
    </row>
    <row r="90" spans="1:57" s="5" customFormat="1" ht="19.95" customHeight="1">
      <c r="A90" s="3">
        <f t="shared" si="18"/>
        <v>84</v>
      </c>
      <c r="B90" s="39">
        <v>2109</v>
      </c>
      <c r="C90" s="3" t="s">
        <v>445</v>
      </c>
      <c r="D90" s="4">
        <v>2000000</v>
      </c>
      <c r="E90" s="4"/>
      <c r="F90" s="4">
        <f t="shared" si="20"/>
        <v>2000000</v>
      </c>
      <c r="G90" s="4"/>
      <c r="H90" s="4"/>
      <c r="I90" s="4"/>
      <c r="J90" s="4"/>
      <c r="K90" s="4">
        <f t="shared" si="36"/>
        <v>0</v>
      </c>
      <c r="L90" s="4">
        <f t="shared" si="21"/>
        <v>0</v>
      </c>
      <c r="M90" s="4">
        <f t="shared" si="37"/>
        <v>0</v>
      </c>
      <c r="N90" s="4">
        <v>500000</v>
      </c>
      <c r="O90" s="4">
        <f t="shared" si="23"/>
        <v>1500000</v>
      </c>
      <c r="P90" s="4">
        <f t="shared" si="24"/>
        <v>0</v>
      </c>
      <c r="Q90" s="4"/>
      <c r="R90" s="4"/>
      <c r="S90" s="4">
        <f t="shared" si="38"/>
        <v>0</v>
      </c>
      <c r="T90" s="4">
        <f t="shared" si="39"/>
        <v>0</v>
      </c>
      <c r="U90" s="4">
        <f t="shared" si="27"/>
        <v>500000</v>
      </c>
      <c r="V90" s="4">
        <f t="shared" si="28"/>
        <v>500000</v>
      </c>
      <c r="W90" s="4"/>
      <c r="X90" s="4"/>
      <c r="Y90" s="4"/>
      <c r="Z90" s="3"/>
      <c r="AA90" s="323" t="s">
        <v>881</v>
      </c>
      <c r="AB90" s="3">
        <v>742000</v>
      </c>
      <c r="AC90" s="483"/>
      <c r="AD90" s="4"/>
      <c r="AE90" s="4"/>
      <c r="AF90" s="4"/>
      <c r="AG90" s="4"/>
      <c r="AH90" s="4"/>
      <c r="AI90" s="4"/>
      <c r="AJ90" s="4"/>
      <c r="AK90" s="4"/>
      <c r="AL90" s="4">
        <f t="shared" si="29"/>
        <v>0</v>
      </c>
      <c r="AM90" s="4"/>
      <c r="AN90" s="4">
        <f t="shared" si="30"/>
        <v>0</v>
      </c>
      <c r="AO90" s="4">
        <f t="shared" si="31"/>
        <v>500000</v>
      </c>
      <c r="AP90" s="4">
        <f t="shared" si="32"/>
        <v>0</v>
      </c>
      <c r="AQ90" s="4"/>
      <c r="AR90" s="4"/>
      <c r="AS90" s="4"/>
      <c r="AT90" s="4"/>
      <c r="AU90" s="4">
        <f t="shared" si="33"/>
        <v>0</v>
      </c>
      <c r="AV90" s="4">
        <f t="shared" si="34"/>
        <v>0</v>
      </c>
      <c r="AW90" s="4"/>
      <c r="AX90" s="4"/>
      <c r="AY90" s="4"/>
      <c r="AZ90" s="4">
        <f t="shared" si="35"/>
        <v>500000</v>
      </c>
      <c r="BA90" s="4"/>
      <c r="BB90" s="4"/>
      <c r="BC90" s="4"/>
      <c r="BD90" s="3"/>
      <c r="BE90" s="14"/>
    </row>
    <row r="91" spans="1:57" s="5" customFormat="1" ht="19.95" customHeight="1">
      <c r="A91" s="3">
        <f t="shared" si="18"/>
        <v>85</v>
      </c>
      <c r="B91" s="39">
        <v>2110</v>
      </c>
      <c r="C91" s="3" t="s">
        <v>948</v>
      </c>
      <c r="D91" s="4">
        <v>16000000</v>
      </c>
      <c r="E91" s="4"/>
      <c r="F91" s="4">
        <f t="shared" si="20"/>
        <v>16000000</v>
      </c>
      <c r="G91" s="4"/>
      <c r="H91" s="4"/>
      <c r="I91" s="4"/>
      <c r="J91" s="4"/>
      <c r="K91" s="4">
        <f t="shared" si="36"/>
        <v>0</v>
      </c>
      <c r="L91" s="4">
        <f t="shared" si="21"/>
        <v>0</v>
      </c>
      <c r="M91" s="4">
        <f t="shared" si="37"/>
        <v>0</v>
      </c>
      <c r="N91" s="4">
        <f>1200000-700000</f>
        <v>500000</v>
      </c>
      <c r="O91" s="4">
        <f t="shared" si="23"/>
        <v>15500000</v>
      </c>
      <c r="P91" s="4">
        <f t="shared" si="24"/>
        <v>0</v>
      </c>
      <c r="Q91" s="4"/>
      <c r="R91" s="4"/>
      <c r="S91" s="4">
        <f t="shared" si="38"/>
        <v>0</v>
      </c>
      <c r="T91" s="4">
        <f t="shared" si="39"/>
        <v>0</v>
      </c>
      <c r="U91" s="4">
        <f t="shared" si="27"/>
        <v>500000</v>
      </c>
      <c r="V91" s="4">
        <f t="shared" si="28"/>
        <v>500000</v>
      </c>
      <c r="W91" s="4"/>
      <c r="X91" s="4"/>
      <c r="Y91" s="4"/>
      <c r="Z91" s="3"/>
      <c r="AA91" s="323" t="s">
        <v>882</v>
      </c>
      <c r="AB91" s="3">
        <v>742000</v>
      </c>
      <c r="AC91" s="483"/>
      <c r="AD91" s="4"/>
      <c r="AE91" s="4"/>
      <c r="AF91" s="4"/>
      <c r="AG91" s="4"/>
      <c r="AH91" s="4"/>
      <c r="AI91" s="4"/>
      <c r="AJ91" s="4"/>
      <c r="AK91" s="4"/>
      <c r="AL91" s="4">
        <f t="shared" si="29"/>
        <v>0</v>
      </c>
      <c r="AM91" s="4"/>
      <c r="AN91" s="4">
        <f t="shared" si="30"/>
        <v>0</v>
      </c>
      <c r="AO91" s="4">
        <f t="shared" si="31"/>
        <v>500000</v>
      </c>
      <c r="AP91" s="4">
        <f t="shared" si="32"/>
        <v>0</v>
      </c>
      <c r="AQ91" s="4"/>
      <c r="AR91" s="4"/>
      <c r="AS91" s="4"/>
      <c r="AT91" s="4"/>
      <c r="AU91" s="4">
        <f t="shared" si="33"/>
        <v>0</v>
      </c>
      <c r="AV91" s="4">
        <f t="shared" si="34"/>
        <v>0</v>
      </c>
      <c r="AW91" s="4"/>
      <c r="AX91" s="4"/>
      <c r="AY91" s="4"/>
      <c r="AZ91" s="4">
        <f t="shared" si="35"/>
        <v>500000</v>
      </c>
      <c r="BA91" s="4"/>
      <c r="BB91" s="4"/>
      <c r="BC91" s="4"/>
      <c r="BD91" s="3"/>
      <c r="BE91" s="14"/>
    </row>
    <row r="92" spans="1:57" s="5" customFormat="1" ht="19.95" customHeight="1">
      <c r="A92" s="3">
        <f t="shared" si="18"/>
        <v>86</v>
      </c>
      <c r="B92" s="39">
        <v>2111</v>
      </c>
      <c r="C92" s="3" t="s">
        <v>447</v>
      </c>
      <c r="D92" s="4">
        <v>10240000</v>
      </c>
      <c r="E92" s="4"/>
      <c r="F92" s="4">
        <f t="shared" si="20"/>
        <v>10240000</v>
      </c>
      <c r="G92" s="4"/>
      <c r="H92" s="4"/>
      <c r="I92" s="4"/>
      <c r="J92" s="4"/>
      <c r="K92" s="4">
        <f t="shared" si="36"/>
        <v>0</v>
      </c>
      <c r="L92" s="4">
        <f t="shared" si="21"/>
        <v>0</v>
      </c>
      <c r="M92" s="4">
        <f t="shared" si="37"/>
        <v>0</v>
      </c>
      <c r="N92" s="4">
        <f>1000000-500000</f>
        <v>500000</v>
      </c>
      <c r="O92" s="4">
        <f t="shared" si="23"/>
        <v>9740000</v>
      </c>
      <c r="P92" s="4">
        <f t="shared" si="24"/>
        <v>0</v>
      </c>
      <c r="Q92" s="4"/>
      <c r="R92" s="4"/>
      <c r="S92" s="4">
        <f t="shared" si="38"/>
        <v>0</v>
      </c>
      <c r="T92" s="4">
        <f t="shared" si="39"/>
        <v>0</v>
      </c>
      <c r="U92" s="4">
        <f t="shared" si="27"/>
        <v>500000</v>
      </c>
      <c r="V92" s="4">
        <f t="shared" si="28"/>
        <v>500000</v>
      </c>
      <c r="W92" s="4"/>
      <c r="X92" s="4"/>
      <c r="Y92" s="4"/>
      <c r="Z92" s="3"/>
      <c r="AA92" s="463" t="s">
        <v>883</v>
      </c>
      <c r="AB92" s="3">
        <v>742000</v>
      </c>
      <c r="AC92" s="483"/>
      <c r="AD92" s="4"/>
      <c r="AE92" s="4"/>
      <c r="AF92" s="4"/>
      <c r="AG92" s="4"/>
      <c r="AH92" s="4"/>
      <c r="AI92" s="4"/>
      <c r="AJ92" s="4"/>
      <c r="AK92" s="4"/>
      <c r="AL92" s="4">
        <f t="shared" si="29"/>
        <v>0</v>
      </c>
      <c r="AM92" s="4"/>
      <c r="AN92" s="4">
        <f t="shared" si="30"/>
        <v>0</v>
      </c>
      <c r="AO92" s="4">
        <f t="shared" si="31"/>
        <v>500000</v>
      </c>
      <c r="AP92" s="4">
        <f t="shared" si="32"/>
        <v>0</v>
      </c>
      <c r="AQ92" s="4"/>
      <c r="AR92" s="4"/>
      <c r="AS92" s="4"/>
      <c r="AT92" s="4"/>
      <c r="AU92" s="4">
        <f t="shared" si="33"/>
        <v>0</v>
      </c>
      <c r="AV92" s="4">
        <f t="shared" si="34"/>
        <v>0</v>
      </c>
      <c r="AW92" s="4"/>
      <c r="AX92" s="4"/>
      <c r="AY92" s="4"/>
      <c r="AZ92" s="4">
        <f t="shared" si="35"/>
        <v>500000</v>
      </c>
      <c r="BA92" s="4"/>
      <c r="BB92" s="4"/>
      <c r="BC92" s="4"/>
      <c r="BD92" s="3"/>
      <c r="BE92" s="14"/>
    </row>
    <row r="93" spans="1:57" s="5" customFormat="1" ht="19.95" customHeight="1">
      <c r="A93" s="3">
        <f t="shared" si="18"/>
        <v>87</v>
      </c>
      <c r="B93" s="39">
        <v>2112</v>
      </c>
      <c r="C93" s="3" t="s">
        <v>875</v>
      </c>
      <c r="D93" s="4">
        <v>7650000</v>
      </c>
      <c r="E93" s="4"/>
      <c r="F93" s="4">
        <f t="shared" si="20"/>
        <v>7650000</v>
      </c>
      <c r="G93" s="4"/>
      <c r="H93" s="4"/>
      <c r="I93" s="4"/>
      <c r="J93" s="4"/>
      <c r="K93" s="4">
        <f t="shared" si="36"/>
        <v>0</v>
      </c>
      <c r="L93" s="4">
        <f t="shared" si="21"/>
        <v>0</v>
      </c>
      <c r="M93" s="4">
        <f t="shared" si="37"/>
        <v>0</v>
      </c>
      <c r="N93" s="4">
        <f>3160000-3000000</f>
        <v>160000</v>
      </c>
      <c r="O93" s="4">
        <f t="shared" si="23"/>
        <v>7490000</v>
      </c>
      <c r="P93" s="4">
        <f t="shared" si="24"/>
        <v>0</v>
      </c>
      <c r="Q93" s="4"/>
      <c r="R93" s="4"/>
      <c r="S93" s="4">
        <f t="shared" si="38"/>
        <v>0</v>
      </c>
      <c r="T93" s="4">
        <f t="shared" si="39"/>
        <v>0</v>
      </c>
      <c r="U93" s="4">
        <f t="shared" si="27"/>
        <v>160000</v>
      </c>
      <c r="V93" s="4">
        <f t="shared" si="28"/>
        <v>160000</v>
      </c>
      <c r="W93" s="4"/>
      <c r="X93" s="4"/>
      <c r="Y93" s="4"/>
      <c r="Z93" s="3"/>
      <c r="AA93" s="463" t="s">
        <v>874</v>
      </c>
      <c r="AB93" s="3">
        <v>732000</v>
      </c>
      <c r="AC93" s="483"/>
      <c r="AD93" s="4"/>
      <c r="AE93" s="4"/>
      <c r="AF93" s="4"/>
      <c r="AG93" s="4"/>
      <c r="AH93" s="4"/>
      <c r="AI93" s="4"/>
      <c r="AJ93" s="4"/>
      <c r="AK93" s="4"/>
      <c r="AL93" s="4">
        <f t="shared" si="29"/>
        <v>0</v>
      </c>
      <c r="AM93" s="4"/>
      <c r="AN93" s="4">
        <f t="shared" si="30"/>
        <v>0</v>
      </c>
      <c r="AO93" s="4">
        <f t="shared" si="31"/>
        <v>160000</v>
      </c>
      <c r="AP93" s="4">
        <f t="shared" si="32"/>
        <v>0</v>
      </c>
      <c r="AQ93" s="4"/>
      <c r="AR93" s="4"/>
      <c r="AS93" s="4"/>
      <c r="AT93" s="4"/>
      <c r="AU93" s="4">
        <f t="shared" si="33"/>
        <v>0</v>
      </c>
      <c r="AV93" s="4">
        <f t="shared" si="34"/>
        <v>0</v>
      </c>
      <c r="AW93" s="4"/>
      <c r="AX93" s="4"/>
      <c r="AY93" s="4"/>
      <c r="AZ93" s="4">
        <f t="shared" si="35"/>
        <v>160000</v>
      </c>
      <c r="BA93" s="4"/>
      <c r="BB93" s="4"/>
      <c r="BC93" s="4"/>
      <c r="BD93" s="3"/>
      <c r="BE93" s="14"/>
    </row>
    <row r="94" spans="1:57" s="5" customFormat="1" ht="19.95" customHeight="1">
      <c r="A94" s="3">
        <f t="shared" si="18"/>
        <v>88</v>
      </c>
      <c r="B94" s="39">
        <v>2113</v>
      </c>
      <c r="C94" s="3" t="s">
        <v>448</v>
      </c>
      <c r="D94" s="4">
        <v>2550000</v>
      </c>
      <c r="E94" s="4"/>
      <c r="F94" s="4">
        <f t="shared" si="20"/>
        <v>2550000</v>
      </c>
      <c r="G94" s="4"/>
      <c r="H94" s="4"/>
      <c r="I94" s="4"/>
      <c r="J94" s="4"/>
      <c r="K94" s="4">
        <f t="shared" si="36"/>
        <v>0</v>
      </c>
      <c r="L94" s="4">
        <f t="shared" si="21"/>
        <v>0</v>
      </c>
      <c r="M94" s="4">
        <f t="shared" si="37"/>
        <v>0</v>
      </c>
      <c r="N94" s="4">
        <v>1000000</v>
      </c>
      <c r="O94" s="4">
        <f t="shared" si="23"/>
        <v>1550000</v>
      </c>
      <c r="P94" s="4">
        <f t="shared" si="24"/>
        <v>0</v>
      </c>
      <c r="Q94" s="4"/>
      <c r="R94" s="4"/>
      <c r="S94" s="4">
        <f t="shared" si="38"/>
        <v>0</v>
      </c>
      <c r="T94" s="4">
        <f t="shared" si="39"/>
        <v>0</v>
      </c>
      <c r="U94" s="4">
        <f t="shared" si="27"/>
        <v>1000000</v>
      </c>
      <c r="V94" s="4">
        <f t="shared" si="28"/>
        <v>1000000</v>
      </c>
      <c r="W94" s="4"/>
      <c r="X94" s="4"/>
      <c r="Y94" s="4"/>
      <c r="Z94" s="3"/>
      <c r="AA94" s="463" t="s">
        <v>876</v>
      </c>
      <c r="AB94" s="3">
        <v>732000</v>
      </c>
      <c r="AC94" s="483"/>
      <c r="AD94" s="4"/>
      <c r="AE94" s="4"/>
      <c r="AF94" s="4"/>
      <c r="AG94" s="4"/>
      <c r="AH94" s="4"/>
      <c r="AI94" s="4"/>
      <c r="AJ94" s="4"/>
      <c r="AK94" s="4"/>
      <c r="AL94" s="4">
        <f t="shared" si="29"/>
        <v>0</v>
      </c>
      <c r="AM94" s="4"/>
      <c r="AN94" s="4">
        <f t="shared" si="30"/>
        <v>0</v>
      </c>
      <c r="AO94" s="4">
        <f t="shared" si="31"/>
        <v>1000000</v>
      </c>
      <c r="AP94" s="4">
        <f t="shared" si="32"/>
        <v>0</v>
      </c>
      <c r="AQ94" s="4"/>
      <c r="AR94" s="4"/>
      <c r="AS94" s="4"/>
      <c r="AT94" s="4"/>
      <c r="AU94" s="4">
        <f t="shared" si="33"/>
        <v>0</v>
      </c>
      <c r="AV94" s="4">
        <f t="shared" si="34"/>
        <v>0</v>
      </c>
      <c r="AW94" s="4"/>
      <c r="AX94" s="4"/>
      <c r="AY94" s="4"/>
      <c r="AZ94" s="4">
        <f t="shared" si="35"/>
        <v>1000000</v>
      </c>
      <c r="BA94" s="4"/>
      <c r="BB94" s="4"/>
      <c r="BC94" s="4"/>
      <c r="BD94" s="3"/>
      <c r="BE94" s="14"/>
    </row>
    <row r="95" spans="1:57" s="6" customFormat="1" ht="27.6">
      <c r="A95" s="3">
        <f t="shared" si="18"/>
        <v>89</v>
      </c>
      <c r="B95" s="39">
        <v>2114</v>
      </c>
      <c r="C95" s="3" t="s">
        <v>1275</v>
      </c>
      <c r="D95" s="4">
        <v>1450000</v>
      </c>
      <c r="E95" s="4"/>
      <c r="F95" s="4">
        <f t="shared" si="20"/>
        <v>1450000</v>
      </c>
      <c r="G95" s="4"/>
      <c r="H95" s="4"/>
      <c r="I95" s="4"/>
      <c r="J95" s="4"/>
      <c r="K95" s="4">
        <f t="shared" si="36"/>
        <v>0</v>
      </c>
      <c r="L95" s="4">
        <f t="shared" si="21"/>
        <v>0</v>
      </c>
      <c r="M95" s="4">
        <f t="shared" si="37"/>
        <v>0</v>
      </c>
      <c r="N95" s="4">
        <v>700000</v>
      </c>
      <c r="O95" s="4">
        <f t="shared" si="23"/>
        <v>750000</v>
      </c>
      <c r="P95" s="4">
        <f t="shared" si="24"/>
        <v>0</v>
      </c>
      <c r="Q95" s="4"/>
      <c r="R95" s="4"/>
      <c r="S95" s="4">
        <f t="shared" si="38"/>
        <v>0</v>
      </c>
      <c r="T95" s="4">
        <f t="shared" si="39"/>
        <v>0</v>
      </c>
      <c r="U95" s="4">
        <f t="shared" si="27"/>
        <v>700000</v>
      </c>
      <c r="V95" s="4">
        <f t="shared" si="28"/>
        <v>700000</v>
      </c>
      <c r="W95" s="4"/>
      <c r="X95" s="4"/>
      <c r="Y95" s="4"/>
      <c r="Z95" s="3"/>
      <c r="AA95" s="323" t="s">
        <v>629</v>
      </c>
      <c r="AB95" s="3">
        <v>732000</v>
      </c>
      <c r="AC95" s="483"/>
      <c r="AD95" s="4">
        <v>500000</v>
      </c>
      <c r="AE95" s="4"/>
      <c r="AF95" s="4"/>
      <c r="AG95" s="4"/>
      <c r="AH95" s="4"/>
      <c r="AI95" s="4">
        <v>200000</v>
      </c>
      <c r="AJ95" s="4"/>
      <c r="AK95" s="4"/>
      <c r="AL95" s="4">
        <f t="shared" si="29"/>
        <v>700000</v>
      </c>
      <c r="AM95" s="4"/>
      <c r="AN95" s="4">
        <f t="shared" si="30"/>
        <v>700000</v>
      </c>
      <c r="AO95" s="4">
        <f t="shared" si="31"/>
        <v>0</v>
      </c>
      <c r="AP95" s="4">
        <f t="shared" si="32"/>
        <v>700000</v>
      </c>
      <c r="AQ95" s="4"/>
      <c r="AR95" s="4"/>
      <c r="AS95" s="4"/>
      <c r="AT95" s="4"/>
      <c r="AU95" s="4">
        <f t="shared" si="33"/>
        <v>0</v>
      </c>
      <c r="AV95" s="4">
        <f t="shared" si="34"/>
        <v>0</v>
      </c>
      <c r="AW95" s="4"/>
      <c r="AX95" s="4"/>
      <c r="AY95" s="4"/>
      <c r="AZ95" s="4">
        <f t="shared" si="35"/>
        <v>0</v>
      </c>
      <c r="BA95" s="4"/>
      <c r="BB95" s="4"/>
      <c r="BC95" s="4"/>
      <c r="BD95" s="3"/>
      <c r="BE95" s="14"/>
    </row>
    <row r="96" spans="1:57" s="6" customFormat="1" ht="27.6">
      <c r="A96" s="3">
        <f t="shared" si="18"/>
        <v>90</v>
      </c>
      <c r="B96" s="39">
        <v>2115</v>
      </c>
      <c r="C96" s="3" t="s">
        <v>949</v>
      </c>
      <c r="D96" s="4">
        <v>3100000</v>
      </c>
      <c r="E96" s="4"/>
      <c r="F96" s="4">
        <f t="shared" si="20"/>
        <v>3100000</v>
      </c>
      <c r="G96" s="4"/>
      <c r="H96" s="4"/>
      <c r="I96" s="4"/>
      <c r="J96" s="4"/>
      <c r="K96" s="4"/>
      <c r="L96" s="4"/>
      <c r="M96" s="4"/>
      <c r="N96" s="4">
        <f>1200000-700000</f>
        <v>500000</v>
      </c>
      <c r="O96" s="4">
        <f t="shared" si="23"/>
        <v>2600000</v>
      </c>
      <c r="P96" s="4">
        <f t="shared" si="24"/>
        <v>0</v>
      </c>
      <c r="Q96" s="4"/>
      <c r="R96" s="4"/>
      <c r="S96" s="4">
        <f t="shared" si="38"/>
        <v>0</v>
      </c>
      <c r="T96" s="4">
        <f t="shared" si="39"/>
        <v>0</v>
      </c>
      <c r="U96" s="4">
        <f t="shared" si="27"/>
        <v>500000</v>
      </c>
      <c r="V96" s="4">
        <f t="shared" si="28"/>
        <v>500000</v>
      </c>
      <c r="W96" s="4"/>
      <c r="X96" s="4"/>
      <c r="Y96" s="4"/>
      <c r="Z96" s="3"/>
      <c r="AA96" s="323" t="s">
        <v>742</v>
      </c>
      <c r="AB96" s="3">
        <v>732000</v>
      </c>
      <c r="AC96" s="483"/>
      <c r="AD96" s="4">
        <v>500000</v>
      </c>
      <c r="AE96" s="4"/>
      <c r="AF96" s="4"/>
      <c r="AG96" s="4"/>
      <c r="AH96" s="4"/>
      <c r="AI96" s="4"/>
      <c r="AJ96" s="4"/>
      <c r="AK96" s="4"/>
      <c r="AL96" s="4">
        <f t="shared" si="29"/>
        <v>500000</v>
      </c>
      <c r="AM96" s="4"/>
      <c r="AN96" s="4">
        <f t="shared" si="30"/>
        <v>500000</v>
      </c>
      <c r="AO96" s="4">
        <f t="shared" si="31"/>
        <v>0</v>
      </c>
      <c r="AP96" s="4">
        <f t="shared" si="32"/>
        <v>500000</v>
      </c>
      <c r="AQ96" s="4"/>
      <c r="AR96" s="4"/>
      <c r="AS96" s="4"/>
      <c r="AT96" s="4"/>
      <c r="AU96" s="4">
        <f t="shared" si="33"/>
        <v>0</v>
      </c>
      <c r="AV96" s="4">
        <f t="shared" si="34"/>
        <v>0</v>
      </c>
      <c r="AW96" s="4"/>
      <c r="AX96" s="4"/>
      <c r="AY96" s="4"/>
      <c r="AZ96" s="4">
        <f t="shared" si="35"/>
        <v>0</v>
      </c>
      <c r="BA96" s="4"/>
      <c r="BB96" s="4"/>
      <c r="BC96" s="4"/>
      <c r="BD96" s="3"/>
      <c r="BE96" s="14"/>
    </row>
    <row r="97" spans="1:57" s="6" customFormat="1" ht="19.95" customHeight="1">
      <c r="A97" s="3">
        <f t="shared" si="18"/>
        <v>91</v>
      </c>
      <c r="B97" s="39">
        <v>2116</v>
      </c>
      <c r="C97" s="3" t="s">
        <v>450</v>
      </c>
      <c r="D97" s="4">
        <v>1700000</v>
      </c>
      <c r="E97" s="9"/>
      <c r="F97" s="4">
        <f t="shared" si="20"/>
        <v>1700000</v>
      </c>
      <c r="G97" s="9"/>
      <c r="H97" s="9"/>
      <c r="I97" s="9"/>
      <c r="J97" s="9"/>
      <c r="K97" s="9"/>
      <c r="L97" s="9"/>
      <c r="M97" s="9"/>
      <c r="N97" s="4">
        <f>650000-150000</f>
        <v>500000</v>
      </c>
      <c r="O97" s="4">
        <f t="shared" si="23"/>
        <v>1200000</v>
      </c>
      <c r="P97" s="4">
        <f t="shared" si="24"/>
        <v>0</v>
      </c>
      <c r="Q97" s="4"/>
      <c r="R97" s="4"/>
      <c r="S97" s="4">
        <f t="shared" si="38"/>
        <v>0</v>
      </c>
      <c r="T97" s="4">
        <f t="shared" si="39"/>
        <v>0</v>
      </c>
      <c r="U97" s="4">
        <f t="shared" si="27"/>
        <v>500000</v>
      </c>
      <c r="V97" s="4">
        <f t="shared" si="28"/>
        <v>500000</v>
      </c>
      <c r="W97" s="9"/>
      <c r="X97" s="9"/>
      <c r="Y97" s="9"/>
      <c r="Z97" s="9"/>
      <c r="AA97" s="323" t="s">
        <v>451</v>
      </c>
      <c r="AB97" s="3">
        <v>732000</v>
      </c>
      <c r="AC97" s="483"/>
      <c r="AD97" s="4"/>
      <c r="AE97" s="4"/>
      <c r="AF97" s="4">
        <v>300000</v>
      </c>
      <c r="AG97" s="4"/>
      <c r="AH97" s="4"/>
      <c r="AI97" s="4"/>
      <c r="AJ97" s="4"/>
      <c r="AK97" s="4"/>
      <c r="AL97" s="4">
        <f t="shared" si="29"/>
        <v>300000</v>
      </c>
      <c r="AM97" s="4"/>
      <c r="AN97" s="4">
        <f t="shared" si="30"/>
        <v>300000</v>
      </c>
      <c r="AO97" s="4">
        <f t="shared" si="31"/>
        <v>200000</v>
      </c>
      <c r="AP97" s="4">
        <f t="shared" si="32"/>
        <v>300000</v>
      </c>
      <c r="AQ97" s="4"/>
      <c r="AR97" s="4"/>
      <c r="AS97" s="4"/>
      <c r="AT97" s="4"/>
      <c r="AU97" s="4">
        <f t="shared" si="33"/>
        <v>0</v>
      </c>
      <c r="AV97" s="4">
        <f t="shared" si="34"/>
        <v>0</v>
      </c>
      <c r="AW97" s="4"/>
      <c r="AX97" s="4"/>
      <c r="AY97" s="4"/>
      <c r="AZ97" s="4">
        <f t="shared" si="35"/>
        <v>200000</v>
      </c>
      <c r="BA97" s="4"/>
      <c r="BB97" s="4"/>
      <c r="BC97" s="4"/>
      <c r="BD97" s="3"/>
      <c r="BE97" s="14"/>
    </row>
    <row r="98" spans="1:57" s="6" customFormat="1" ht="19.95" customHeight="1">
      <c r="A98" s="3">
        <f t="shared" si="18"/>
        <v>92</v>
      </c>
      <c r="B98" s="39">
        <v>2117</v>
      </c>
      <c r="C98" s="3" t="s">
        <v>452</v>
      </c>
      <c r="D98" s="4">
        <v>600000</v>
      </c>
      <c r="E98" s="4"/>
      <c r="F98" s="4">
        <f t="shared" si="20"/>
        <v>600000</v>
      </c>
      <c r="G98" s="4"/>
      <c r="H98" s="4"/>
      <c r="I98" s="4"/>
      <c r="J98" s="4"/>
      <c r="K98" s="4"/>
      <c r="L98" s="4"/>
      <c r="M98" s="4"/>
      <c r="N98" s="4">
        <v>300000</v>
      </c>
      <c r="O98" s="4">
        <f t="shared" si="23"/>
        <v>300000</v>
      </c>
      <c r="P98" s="4">
        <f t="shared" si="24"/>
        <v>0</v>
      </c>
      <c r="Q98" s="4"/>
      <c r="R98" s="4"/>
      <c r="S98" s="4">
        <f t="shared" si="38"/>
        <v>0</v>
      </c>
      <c r="T98" s="4">
        <f t="shared" si="39"/>
        <v>0</v>
      </c>
      <c r="U98" s="4">
        <f t="shared" si="27"/>
        <v>300000</v>
      </c>
      <c r="V98" s="4">
        <f t="shared" si="28"/>
        <v>300000</v>
      </c>
      <c r="W98" s="9"/>
      <c r="X98" s="9"/>
      <c r="Y98" s="9"/>
      <c r="Z98" s="9"/>
      <c r="AA98" s="323" t="s">
        <v>877</v>
      </c>
      <c r="AB98" s="3">
        <v>732000</v>
      </c>
      <c r="AC98" s="483"/>
      <c r="AD98" s="4"/>
      <c r="AE98" s="4"/>
      <c r="AF98" s="4">
        <v>300000</v>
      </c>
      <c r="AG98" s="4"/>
      <c r="AH98" s="4"/>
      <c r="AI98" s="4"/>
      <c r="AJ98" s="4"/>
      <c r="AK98" s="4"/>
      <c r="AL98" s="4">
        <f t="shared" si="29"/>
        <v>300000</v>
      </c>
      <c r="AM98" s="4"/>
      <c r="AN98" s="4">
        <f t="shared" si="30"/>
        <v>300000</v>
      </c>
      <c r="AO98" s="4">
        <f t="shared" si="31"/>
        <v>0</v>
      </c>
      <c r="AP98" s="4">
        <f t="shared" si="32"/>
        <v>300000</v>
      </c>
      <c r="AQ98" s="4"/>
      <c r="AR98" s="4"/>
      <c r="AS98" s="4"/>
      <c r="AT98" s="4"/>
      <c r="AU98" s="4">
        <f t="shared" si="33"/>
        <v>0</v>
      </c>
      <c r="AV98" s="4">
        <f t="shared" si="34"/>
        <v>0</v>
      </c>
      <c r="AW98" s="4"/>
      <c r="AX98" s="4"/>
      <c r="AY98" s="4"/>
      <c r="AZ98" s="4">
        <f t="shared" si="35"/>
        <v>0</v>
      </c>
      <c r="BA98" s="4"/>
      <c r="BB98" s="4"/>
      <c r="BC98" s="4"/>
      <c r="BD98" s="3"/>
      <c r="BE98" s="14"/>
    </row>
    <row r="99" spans="1:57" s="6" customFormat="1" ht="27.6">
      <c r="A99" s="3">
        <f t="shared" si="18"/>
        <v>93</v>
      </c>
      <c r="B99" s="39">
        <v>2118</v>
      </c>
      <c r="C99" s="3" t="s">
        <v>454</v>
      </c>
      <c r="D99" s="4">
        <v>1800000</v>
      </c>
      <c r="E99" s="4"/>
      <c r="F99" s="4">
        <f t="shared" si="20"/>
        <v>1800000</v>
      </c>
      <c r="G99" s="4"/>
      <c r="H99" s="4"/>
      <c r="I99" s="4"/>
      <c r="J99" s="4"/>
      <c r="K99" s="4"/>
      <c r="L99" s="4"/>
      <c r="M99" s="4"/>
      <c r="N99" s="4">
        <v>200000</v>
      </c>
      <c r="O99" s="4">
        <f t="shared" si="23"/>
        <v>1600000</v>
      </c>
      <c r="P99" s="4">
        <f t="shared" si="24"/>
        <v>0</v>
      </c>
      <c r="Q99" s="4"/>
      <c r="R99" s="4"/>
      <c r="S99" s="4">
        <f t="shared" si="38"/>
        <v>0</v>
      </c>
      <c r="T99" s="4">
        <f t="shared" si="39"/>
        <v>0</v>
      </c>
      <c r="U99" s="4">
        <f t="shared" si="27"/>
        <v>200000</v>
      </c>
      <c r="V99" s="4">
        <f t="shared" si="28"/>
        <v>200000</v>
      </c>
      <c r="W99" s="9"/>
      <c r="X99" s="9"/>
      <c r="Y99" s="9"/>
      <c r="Z99" s="9"/>
      <c r="AA99" s="464" t="s">
        <v>631</v>
      </c>
      <c r="AB99" s="3">
        <v>746000</v>
      </c>
      <c r="AC99" s="483"/>
      <c r="AD99" s="4"/>
      <c r="AE99" s="4"/>
      <c r="AF99" s="4">
        <v>100000</v>
      </c>
      <c r="AG99" s="4"/>
      <c r="AH99" s="4"/>
      <c r="AI99" s="4"/>
      <c r="AJ99" s="4"/>
      <c r="AK99" s="4"/>
      <c r="AL99" s="4">
        <f t="shared" si="29"/>
        <v>100000</v>
      </c>
      <c r="AM99" s="4"/>
      <c r="AN99" s="4">
        <f t="shared" si="30"/>
        <v>100000</v>
      </c>
      <c r="AO99" s="4">
        <f t="shared" si="31"/>
        <v>100000</v>
      </c>
      <c r="AP99" s="4">
        <f t="shared" si="32"/>
        <v>100000</v>
      </c>
      <c r="AQ99" s="4"/>
      <c r="AR99" s="4"/>
      <c r="AS99" s="4"/>
      <c r="AT99" s="4"/>
      <c r="AU99" s="4">
        <f t="shared" si="33"/>
        <v>0</v>
      </c>
      <c r="AV99" s="4">
        <f t="shared" si="34"/>
        <v>0</v>
      </c>
      <c r="AW99" s="4"/>
      <c r="AX99" s="4"/>
      <c r="AY99" s="4"/>
      <c r="AZ99" s="4">
        <f t="shared" si="35"/>
        <v>100000</v>
      </c>
      <c r="BA99" s="4"/>
      <c r="BB99" s="4"/>
      <c r="BC99" s="4"/>
      <c r="BD99" s="3"/>
      <c r="BE99" s="14"/>
    </row>
    <row r="100" spans="1:57" s="5" customFormat="1" ht="19.95" customHeight="1">
      <c r="A100" s="3">
        <f t="shared" si="18"/>
        <v>94</v>
      </c>
      <c r="B100" s="39">
        <v>2119</v>
      </c>
      <c r="C100" s="3" t="s">
        <v>455</v>
      </c>
      <c r="D100" s="4">
        <v>1400000</v>
      </c>
      <c r="E100" s="4"/>
      <c r="F100" s="4">
        <f t="shared" si="20"/>
        <v>1400000</v>
      </c>
      <c r="G100" s="4"/>
      <c r="H100" s="4"/>
      <c r="I100" s="4"/>
      <c r="J100" s="4"/>
      <c r="K100" s="4"/>
      <c r="L100" s="4"/>
      <c r="M100" s="4"/>
      <c r="N100" s="4">
        <v>150000</v>
      </c>
      <c r="O100" s="4">
        <f t="shared" si="23"/>
        <v>1250000</v>
      </c>
      <c r="P100" s="4">
        <f t="shared" si="24"/>
        <v>0</v>
      </c>
      <c r="Q100" s="4"/>
      <c r="R100" s="4"/>
      <c r="S100" s="4">
        <f t="shared" si="38"/>
        <v>0</v>
      </c>
      <c r="T100" s="4">
        <f t="shared" si="39"/>
        <v>0</v>
      </c>
      <c r="U100" s="4">
        <f t="shared" si="27"/>
        <v>150000</v>
      </c>
      <c r="V100" s="4">
        <f t="shared" si="28"/>
        <v>150000</v>
      </c>
      <c r="W100" s="4"/>
      <c r="X100" s="4"/>
      <c r="Y100" s="4"/>
      <c r="Z100" s="3"/>
      <c r="AA100" s="323" t="s">
        <v>456</v>
      </c>
      <c r="AB100" s="3">
        <v>742000</v>
      </c>
      <c r="AC100" s="483"/>
      <c r="AD100" s="4"/>
      <c r="AE100" s="4"/>
      <c r="AF100" s="4"/>
      <c r="AG100" s="4"/>
      <c r="AH100" s="4"/>
      <c r="AI100" s="4"/>
      <c r="AJ100" s="4"/>
      <c r="AK100" s="4"/>
      <c r="AL100" s="4">
        <f t="shared" si="29"/>
        <v>0</v>
      </c>
      <c r="AM100" s="4"/>
      <c r="AN100" s="4">
        <f t="shared" si="30"/>
        <v>0</v>
      </c>
      <c r="AO100" s="4">
        <f t="shared" si="31"/>
        <v>150000</v>
      </c>
      <c r="AP100" s="4">
        <f t="shared" si="32"/>
        <v>0</v>
      </c>
      <c r="AQ100" s="4"/>
      <c r="AR100" s="4"/>
      <c r="AS100" s="4"/>
      <c r="AT100" s="4"/>
      <c r="AU100" s="4">
        <f t="shared" si="33"/>
        <v>0</v>
      </c>
      <c r="AV100" s="4">
        <f t="shared" si="34"/>
        <v>0</v>
      </c>
      <c r="AW100" s="4"/>
      <c r="AX100" s="4"/>
      <c r="AY100" s="4"/>
      <c r="AZ100" s="4">
        <f t="shared" si="35"/>
        <v>150000</v>
      </c>
      <c r="BA100" s="4"/>
      <c r="BB100" s="4"/>
      <c r="BC100" s="4"/>
      <c r="BD100" s="3"/>
      <c r="BE100" s="14"/>
    </row>
    <row r="101" spans="1:57" s="5" customFormat="1" ht="19.95" customHeight="1">
      <c r="A101" s="3">
        <f t="shared" si="18"/>
        <v>95</v>
      </c>
      <c r="B101" s="39">
        <v>2120</v>
      </c>
      <c r="C101" s="3" t="s">
        <v>689</v>
      </c>
      <c r="D101" s="4">
        <v>1000000</v>
      </c>
      <c r="E101" s="4"/>
      <c r="F101" s="4">
        <f t="shared" si="20"/>
        <v>1000000</v>
      </c>
      <c r="G101" s="4"/>
      <c r="H101" s="4"/>
      <c r="I101" s="4"/>
      <c r="J101" s="4"/>
      <c r="K101" s="4"/>
      <c r="L101" s="4"/>
      <c r="M101" s="4"/>
      <c r="N101" s="4">
        <v>1000000</v>
      </c>
      <c r="O101" s="4">
        <f t="shared" si="23"/>
        <v>0</v>
      </c>
      <c r="P101" s="4">
        <f t="shared" si="24"/>
        <v>0</v>
      </c>
      <c r="Q101" s="4"/>
      <c r="R101" s="4"/>
      <c r="S101" s="4">
        <f t="shared" si="38"/>
        <v>0</v>
      </c>
      <c r="T101" s="4">
        <f t="shared" si="39"/>
        <v>0</v>
      </c>
      <c r="U101" s="4">
        <f t="shared" si="27"/>
        <v>1000000</v>
      </c>
      <c r="V101" s="4">
        <f t="shared" si="28"/>
        <v>1000000</v>
      </c>
      <c r="W101" s="4"/>
      <c r="X101" s="4"/>
      <c r="Y101" s="4"/>
      <c r="Z101" s="3"/>
      <c r="AA101" s="323" t="s">
        <v>688</v>
      </c>
      <c r="AB101" s="3">
        <v>732000</v>
      </c>
      <c r="AC101" s="483"/>
      <c r="AD101" s="4"/>
      <c r="AE101" s="4"/>
      <c r="AF101" s="4"/>
      <c r="AG101" s="4"/>
      <c r="AH101" s="4"/>
      <c r="AI101" s="4"/>
      <c r="AJ101" s="4"/>
      <c r="AK101" s="4"/>
      <c r="AL101" s="4">
        <f t="shared" si="29"/>
        <v>0</v>
      </c>
      <c r="AM101" s="4"/>
      <c r="AN101" s="4">
        <f t="shared" si="30"/>
        <v>0</v>
      </c>
      <c r="AO101" s="4">
        <f t="shared" si="31"/>
        <v>1000000</v>
      </c>
      <c r="AP101" s="4">
        <f t="shared" si="32"/>
        <v>0</v>
      </c>
      <c r="AQ101" s="4"/>
      <c r="AR101" s="4"/>
      <c r="AS101" s="4"/>
      <c r="AT101" s="4"/>
      <c r="AU101" s="4">
        <f t="shared" si="33"/>
        <v>0</v>
      </c>
      <c r="AV101" s="4">
        <f t="shared" si="34"/>
        <v>0</v>
      </c>
      <c r="AW101" s="4"/>
      <c r="AX101" s="4"/>
      <c r="AY101" s="4"/>
      <c r="AZ101" s="4">
        <f t="shared" si="35"/>
        <v>1000000</v>
      </c>
      <c r="BA101" s="4"/>
      <c r="BB101" s="4"/>
      <c r="BC101" s="4"/>
      <c r="BD101" s="3"/>
      <c r="BE101" s="14"/>
    </row>
    <row r="102" spans="1:57" s="5" customFormat="1" ht="19.95" customHeight="1">
      <c r="A102" s="3">
        <f t="shared" si="18"/>
        <v>96</v>
      </c>
      <c r="B102" s="39">
        <v>2121</v>
      </c>
      <c r="C102" s="3" t="s">
        <v>711</v>
      </c>
      <c r="D102" s="4">
        <v>300000</v>
      </c>
      <c r="E102" s="4"/>
      <c r="F102" s="4">
        <f t="shared" si="20"/>
        <v>300000</v>
      </c>
      <c r="G102" s="4"/>
      <c r="H102" s="4"/>
      <c r="I102" s="4"/>
      <c r="J102" s="4"/>
      <c r="K102" s="4"/>
      <c r="L102" s="4"/>
      <c r="M102" s="4"/>
      <c r="N102" s="4">
        <v>300000</v>
      </c>
      <c r="O102" s="4">
        <f t="shared" si="23"/>
        <v>0</v>
      </c>
      <c r="P102" s="4">
        <f t="shared" si="24"/>
        <v>0</v>
      </c>
      <c r="Q102" s="4"/>
      <c r="R102" s="4"/>
      <c r="S102" s="4">
        <f t="shared" si="38"/>
        <v>0</v>
      </c>
      <c r="T102" s="4">
        <f t="shared" si="39"/>
        <v>0</v>
      </c>
      <c r="U102" s="4">
        <f t="shared" si="27"/>
        <v>300000</v>
      </c>
      <c r="V102" s="4">
        <f t="shared" si="28"/>
        <v>90000</v>
      </c>
      <c r="W102" s="4"/>
      <c r="X102" s="4"/>
      <c r="Y102" s="4"/>
      <c r="Z102" s="4">
        <v>210000</v>
      </c>
      <c r="AA102" s="323" t="s">
        <v>720</v>
      </c>
      <c r="AB102" s="3">
        <v>742000</v>
      </c>
      <c r="AC102" s="483"/>
      <c r="AD102" s="4"/>
      <c r="AE102" s="4"/>
      <c r="AF102" s="4">
        <v>300000</v>
      </c>
      <c r="AG102" s="4"/>
      <c r="AH102" s="4"/>
      <c r="AI102" s="4"/>
      <c r="AJ102" s="4"/>
      <c r="AK102" s="4"/>
      <c r="AL102" s="4">
        <f t="shared" si="29"/>
        <v>300000</v>
      </c>
      <c r="AM102" s="4"/>
      <c r="AN102" s="4">
        <f t="shared" si="30"/>
        <v>300000</v>
      </c>
      <c r="AO102" s="4">
        <f t="shared" si="31"/>
        <v>0</v>
      </c>
      <c r="AP102" s="4">
        <f t="shared" si="32"/>
        <v>90000</v>
      </c>
      <c r="AQ102" s="4"/>
      <c r="AR102" s="4"/>
      <c r="AS102" s="4"/>
      <c r="AT102" s="4">
        <v>210000</v>
      </c>
      <c r="AU102" s="4">
        <f t="shared" si="33"/>
        <v>0</v>
      </c>
      <c r="AV102" s="4">
        <f t="shared" si="34"/>
        <v>0</v>
      </c>
      <c r="AW102" s="4"/>
      <c r="AX102" s="4"/>
      <c r="AY102" s="4"/>
      <c r="AZ102" s="4">
        <f t="shared" si="35"/>
        <v>0</v>
      </c>
      <c r="BA102" s="4"/>
      <c r="BB102" s="4"/>
      <c r="BC102" s="4"/>
      <c r="BD102" s="3"/>
      <c r="BE102" s="14"/>
    </row>
    <row r="103" spans="1:57" s="5" customFormat="1" ht="19.95" customHeight="1">
      <c r="A103" s="3">
        <f t="shared" si="18"/>
        <v>97</v>
      </c>
      <c r="B103" s="39">
        <v>2122</v>
      </c>
      <c r="C103" s="3" t="s">
        <v>869</v>
      </c>
      <c r="D103" s="4">
        <v>300000</v>
      </c>
      <c r="E103" s="4"/>
      <c r="F103" s="4">
        <f t="shared" si="20"/>
        <v>300000</v>
      </c>
      <c r="G103" s="4"/>
      <c r="H103" s="4"/>
      <c r="I103" s="4"/>
      <c r="J103" s="4"/>
      <c r="K103" s="4"/>
      <c r="L103" s="4"/>
      <c r="M103" s="4"/>
      <c r="N103" s="4">
        <v>300000</v>
      </c>
      <c r="O103" s="4">
        <f t="shared" si="23"/>
        <v>0</v>
      </c>
      <c r="P103" s="4">
        <f t="shared" si="24"/>
        <v>0</v>
      </c>
      <c r="Q103" s="4"/>
      <c r="R103" s="4"/>
      <c r="S103" s="4">
        <f t="shared" si="38"/>
        <v>0</v>
      </c>
      <c r="T103" s="4">
        <f t="shared" si="39"/>
        <v>0</v>
      </c>
      <c r="U103" s="4">
        <f t="shared" si="27"/>
        <v>300000</v>
      </c>
      <c r="V103" s="4">
        <f t="shared" si="28"/>
        <v>90000</v>
      </c>
      <c r="W103" s="4"/>
      <c r="X103" s="4"/>
      <c r="Y103" s="4"/>
      <c r="Z103" s="4">
        <v>210000</v>
      </c>
      <c r="AA103" s="323" t="s">
        <v>719</v>
      </c>
      <c r="AB103" s="3">
        <v>742000</v>
      </c>
      <c r="AC103" s="483"/>
      <c r="AD103" s="4"/>
      <c r="AE103" s="4"/>
      <c r="AF103" s="4"/>
      <c r="AG103" s="4"/>
      <c r="AH103" s="4">
        <v>300000</v>
      </c>
      <c r="AI103" s="4"/>
      <c r="AJ103" s="4"/>
      <c r="AK103" s="4"/>
      <c r="AL103" s="4">
        <f t="shared" si="29"/>
        <v>300000</v>
      </c>
      <c r="AM103" s="4"/>
      <c r="AN103" s="4">
        <f t="shared" si="30"/>
        <v>300000</v>
      </c>
      <c r="AO103" s="4">
        <f t="shared" si="31"/>
        <v>0</v>
      </c>
      <c r="AP103" s="4">
        <f t="shared" si="32"/>
        <v>90000</v>
      </c>
      <c r="AQ103" s="4"/>
      <c r="AR103" s="4"/>
      <c r="AS103" s="4"/>
      <c r="AT103" s="4">
        <v>210000</v>
      </c>
      <c r="AU103" s="4">
        <f t="shared" si="33"/>
        <v>0</v>
      </c>
      <c r="AV103" s="4">
        <f t="shared" si="34"/>
        <v>0</v>
      </c>
      <c r="AW103" s="4"/>
      <c r="AX103" s="4"/>
      <c r="AY103" s="4"/>
      <c r="AZ103" s="4">
        <f t="shared" si="35"/>
        <v>0</v>
      </c>
      <c r="BA103" s="4"/>
      <c r="BB103" s="4"/>
      <c r="BC103" s="4"/>
      <c r="BD103" s="3"/>
      <c r="BE103" s="14"/>
    </row>
    <row r="104" spans="1:57" s="5" customFormat="1" ht="19.95" customHeight="1">
      <c r="A104" s="3">
        <f t="shared" si="18"/>
        <v>98</v>
      </c>
      <c r="B104" s="39">
        <v>2123</v>
      </c>
      <c r="C104" s="3" t="s">
        <v>870</v>
      </c>
      <c r="D104" s="4">
        <v>750000</v>
      </c>
      <c r="E104" s="4"/>
      <c r="F104" s="4">
        <f>D104-E104</f>
        <v>750000</v>
      </c>
      <c r="G104" s="4"/>
      <c r="H104" s="4"/>
      <c r="I104" s="4"/>
      <c r="J104" s="4"/>
      <c r="K104" s="4"/>
      <c r="L104" s="4"/>
      <c r="M104" s="4"/>
      <c r="N104" s="4">
        <v>750000</v>
      </c>
      <c r="O104" s="4">
        <f>D104-L104-M104-N104</f>
        <v>0</v>
      </c>
      <c r="P104" s="4">
        <f>G104-L104</f>
        <v>0</v>
      </c>
      <c r="Q104" s="4"/>
      <c r="R104" s="4"/>
      <c r="S104" s="4">
        <f>SUM(Q104:R104)</f>
        <v>0</v>
      </c>
      <c r="T104" s="4">
        <f>P104-M104+S104</f>
        <v>0</v>
      </c>
      <c r="U104" s="4">
        <f>N104-T104</f>
        <v>750000</v>
      </c>
      <c r="V104" s="4">
        <f>U104-Z104-W104-Y104</f>
        <v>225000</v>
      </c>
      <c r="W104" s="4"/>
      <c r="X104" s="4"/>
      <c r="Y104" s="4"/>
      <c r="Z104" s="4">
        <v>525000</v>
      </c>
      <c r="AA104" s="323" t="s">
        <v>743</v>
      </c>
      <c r="AB104" s="3">
        <v>742000</v>
      </c>
      <c r="AC104" s="483"/>
      <c r="AD104" s="4"/>
      <c r="AE104" s="4"/>
      <c r="AF104" s="4"/>
      <c r="AG104" s="4"/>
      <c r="AH104" s="4"/>
      <c r="AI104" s="4"/>
      <c r="AJ104" s="4"/>
      <c r="AK104" s="4">
        <v>750000</v>
      </c>
      <c r="AL104" s="4">
        <f t="shared" si="29"/>
        <v>750000</v>
      </c>
      <c r="AM104" s="4"/>
      <c r="AN104" s="4">
        <f t="shared" si="30"/>
        <v>750000</v>
      </c>
      <c r="AO104" s="4">
        <f t="shared" si="31"/>
        <v>0</v>
      </c>
      <c r="AP104" s="4">
        <f t="shared" si="32"/>
        <v>225000</v>
      </c>
      <c r="AQ104" s="4"/>
      <c r="AR104" s="4"/>
      <c r="AS104" s="4"/>
      <c r="AT104" s="4">
        <v>525000</v>
      </c>
      <c r="AU104" s="4">
        <f t="shared" si="33"/>
        <v>0</v>
      </c>
      <c r="AV104" s="4">
        <f t="shared" si="34"/>
        <v>0</v>
      </c>
      <c r="AW104" s="4"/>
      <c r="AX104" s="4"/>
      <c r="AY104" s="4"/>
      <c r="AZ104" s="4">
        <f t="shared" si="35"/>
        <v>0</v>
      </c>
      <c r="BA104" s="4"/>
      <c r="BB104" s="4"/>
      <c r="BC104" s="4"/>
      <c r="BD104" s="3"/>
      <c r="BE104" s="14"/>
    </row>
    <row r="105" spans="1:57" s="6" customFormat="1" ht="19.95" customHeight="1">
      <c r="A105" s="8">
        <f>A104</f>
        <v>98</v>
      </c>
      <c r="B105" s="8"/>
      <c r="C105" s="8" t="s">
        <v>666</v>
      </c>
      <c r="D105" s="9">
        <f t="shared" ref="D105:BD105" si="40">SUM(D7:D104)</f>
        <v>849930879</v>
      </c>
      <c r="E105" s="9">
        <f t="shared" si="40"/>
        <v>699330541</v>
      </c>
      <c r="F105" s="9">
        <f t="shared" si="40"/>
        <v>150600338</v>
      </c>
      <c r="G105" s="9">
        <f t="shared" si="40"/>
        <v>324115229</v>
      </c>
      <c r="H105" s="9">
        <f t="shared" si="40"/>
        <v>251391656.93999994</v>
      </c>
      <c r="I105" s="9">
        <f t="shared" si="40"/>
        <v>22234190.400000002</v>
      </c>
      <c r="J105" s="9">
        <f t="shared" si="40"/>
        <v>11172990.59</v>
      </c>
      <c r="K105" s="9">
        <f t="shared" si="40"/>
        <v>33407180.989999995</v>
      </c>
      <c r="L105" s="9">
        <f t="shared" si="40"/>
        <v>284798837.93000007</v>
      </c>
      <c r="M105" s="9">
        <f t="shared" si="40"/>
        <v>17597391.070000004</v>
      </c>
      <c r="N105" s="9">
        <f t="shared" si="40"/>
        <v>64635580</v>
      </c>
      <c r="O105" s="9">
        <f t="shared" si="40"/>
        <v>482899070</v>
      </c>
      <c r="P105" s="9">
        <f t="shared" si="40"/>
        <v>39316391.070000008</v>
      </c>
      <c r="Q105" s="9">
        <f t="shared" si="40"/>
        <v>500000</v>
      </c>
      <c r="R105" s="9">
        <f t="shared" si="40"/>
        <v>0</v>
      </c>
      <c r="S105" s="9">
        <f t="shared" si="40"/>
        <v>500000</v>
      </c>
      <c r="T105" s="9">
        <f t="shared" si="40"/>
        <v>22219000</v>
      </c>
      <c r="U105" s="9">
        <f t="shared" si="40"/>
        <v>42416580</v>
      </c>
      <c r="V105" s="9">
        <f t="shared" si="40"/>
        <v>39542003</v>
      </c>
      <c r="W105" s="9">
        <f t="shared" si="40"/>
        <v>0</v>
      </c>
      <c r="X105" s="9">
        <f t="shared" si="40"/>
        <v>0</v>
      </c>
      <c r="Y105" s="9">
        <f t="shared" si="40"/>
        <v>0</v>
      </c>
      <c r="Z105" s="9">
        <f t="shared" si="40"/>
        <v>2874577</v>
      </c>
      <c r="AA105" s="9">
        <f t="shared" si="40"/>
        <v>0</v>
      </c>
      <c r="AB105" s="9">
        <f t="shared" si="40"/>
        <v>72493000</v>
      </c>
      <c r="AC105" s="9">
        <f t="shared" si="40"/>
        <v>0</v>
      </c>
      <c r="AD105" s="9">
        <f t="shared" si="40"/>
        <v>1200000</v>
      </c>
      <c r="AE105" s="9">
        <f t="shared" si="40"/>
        <v>0</v>
      </c>
      <c r="AF105" s="9">
        <f t="shared" si="40"/>
        <v>-4480000</v>
      </c>
      <c r="AG105" s="9">
        <f t="shared" si="40"/>
        <v>0</v>
      </c>
      <c r="AH105" s="9">
        <f t="shared" si="40"/>
        <v>4820000</v>
      </c>
      <c r="AI105" s="9">
        <f t="shared" si="40"/>
        <v>200000</v>
      </c>
      <c r="AJ105" s="9">
        <f t="shared" si="40"/>
        <v>3250000</v>
      </c>
      <c r="AK105" s="9">
        <f t="shared" si="40"/>
        <v>3357323</v>
      </c>
      <c r="AL105" s="9">
        <f t="shared" si="40"/>
        <v>8347323</v>
      </c>
      <c r="AM105" s="9">
        <f t="shared" si="40"/>
        <v>0</v>
      </c>
      <c r="AN105" s="9">
        <f t="shared" si="40"/>
        <v>8347323</v>
      </c>
      <c r="AO105" s="9">
        <f t="shared" si="40"/>
        <v>34069257</v>
      </c>
      <c r="AP105" s="9">
        <f t="shared" si="40"/>
        <v>6902190</v>
      </c>
      <c r="AQ105" s="9">
        <f t="shared" si="40"/>
        <v>0</v>
      </c>
      <c r="AR105" s="9">
        <f t="shared" si="40"/>
        <v>0</v>
      </c>
      <c r="AS105" s="9">
        <f t="shared" si="40"/>
        <v>0</v>
      </c>
      <c r="AT105" s="9">
        <f t="shared" si="40"/>
        <v>1445133</v>
      </c>
      <c r="AU105" s="9">
        <f t="shared" si="40"/>
        <v>0</v>
      </c>
      <c r="AV105" s="9">
        <f t="shared" si="40"/>
        <v>0</v>
      </c>
      <c r="AW105" s="9">
        <f t="shared" si="40"/>
        <v>0</v>
      </c>
      <c r="AX105" s="9">
        <f t="shared" si="40"/>
        <v>0</v>
      </c>
      <c r="AY105" s="9">
        <f t="shared" si="40"/>
        <v>0</v>
      </c>
      <c r="AZ105" s="9">
        <f t="shared" si="40"/>
        <v>32814813</v>
      </c>
      <c r="BA105" s="9">
        <f t="shared" si="40"/>
        <v>0</v>
      </c>
      <c r="BB105" s="9">
        <f t="shared" si="40"/>
        <v>0</v>
      </c>
      <c r="BC105" s="9">
        <f t="shared" si="40"/>
        <v>0</v>
      </c>
      <c r="BD105" s="9">
        <f t="shared" si="40"/>
        <v>1254444</v>
      </c>
      <c r="BE105" s="14"/>
    </row>
    <row r="106" spans="1:57" s="33" customFormat="1" ht="18" hidden="1">
      <c r="C106" s="327"/>
      <c r="D106" s="327"/>
      <c r="L106" s="22">
        <f>H105+K105</f>
        <v>284798837.92999995</v>
      </c>
      <c r="M106" s="22">
        <f>P105+S105-T105</f>
        <v>17597391.070000008</v>
      </c>
      <c r="P106" s="22">
        <f>G105-L105</f>
        <v>39316391.069999933</v>
      </c>
      <c r="U106" s="22">
        <f>N105-T105</f>
        <v>42416580</v>
      </c>
      <c r="V106" s="328"/>
      <c r="W106" s="328"/>
      <c r="AA106" s="465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U106" s="20"/>
      <c r="BE106" s="14"/>
    </row>
    <row r="108" spans="1:57" hidden="1">
      <c r="Z108" s="14" t="s">
        <v>1119</v>
      </c>
      <c r="AJ108" s="20" t="s">
        <v>933</v>
      </c>
      <c r="AK108" s="4">
        <f>'[2]תקציב הנדסה 2019'!$AL$105</f>
        <v>3107323</v>
      </c>
    </row>
    <row r="109" spans="1:57" ht="15" hidden="1" customHeight="1">
      <c r="Z109" s="14" t="s">
        <v>1118</v>
      </c>
      <c r="AF109" s="52"/>
      <c r="AG109" s="52" t="e">
        <f>AG105-#REF!</f>
        <v>#REF!</v>
      </c>
      <c r="AH109" s="52"/>
      <c r="AI109" s="52"/>
      <c r="AJ109" s="52" t="s">
        <v>934</v>
      </c>
      <c r="AK109" s="4">
        <f>'[2]תקציב הנדסה 2019'!$AK$105</f>
        <v>250000</v>
      </c>
    </row>
    <row r="110" spans="1:57" hidden="1">
      <c r="AK110" s="4">
        <f>SUM(AK108:AK109)</f>
        <v>3357323</v>
      </c>
    </row>
    <row r="111" spans="1:57">
      <c r="U111" s="16"/>
    </row>
    <row r="112" spans="1:57">
      <c r="Q112" s="26"/>
    </row>
    <row r="113" spans="17:17">
      <c r="Q113" s="26"/>
    </row>
  </sheetData>
  <sheetProtection formatCells="0" formatColumns="0" formatRows="0" insertColumns="0" insertRows="0" insertHyperlinks="0" deleteColumns="0" deleteRows="0" sort="0" autoFilter="0" pivotTables="0"/>
  <mergeCells count="5">
    <mergeCell ref="A4:C4"/>
    <mergeCell ref="AL4:AN4"/>
    <mergeCell ref="AU4:AY4"/>
    <mergeCell ref="AZ4:BD4"/>
    <mergeCell ref="T4:Z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H152"/>
  <sheetViews>
    <sheetView showZeros="0" rightToLeft="1" tabSelected="1" zoomScaleNormal="100" workbookViewId="0">
      <pane xSplit="3" ySplit="5" topLeftCell="AE114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4" style="333" customWidth="1"/>
    <col min="2" max="2" width="4.88671875" style="334" customWidth="1"/>
    <col min="3" max="3" width="29.109375" style="210" customWidth="1"/>
    <col min="4" max="4" width="12.5546875" style="192" hidden="1" customWidth="1"/>
    <col min="5" max="5" width="12.6640625" style="192" hidden="1" customWidth="1"/>
    <col min="6" max="6" width="11" style="192" hidden="1" customWidth="1"/>
    <col min="7" max="10" width="12.6640625" style="192" hidden="1" customWidth="1"/>
    <col min="11" max="11" width="11.33203125" style="192" hidden="1" customWidth="1"/>
    <col min="12" max="12" width="11" style="192" hidden="1" customWidth="1"/>
    <col min="13" max="14" width="11.109375" style="192" hidden="1" customWidth="1"/>
    <col min="15" max="15" width="12.5546875" style="192" hidden="1" customWidth="1"/>
    <col min="16" max="17" width="11.109375" style="192" hidden="1" customWidth="1"/>
    <col min="18" max="18" width="10.33203125" style="192" hidden="1" customWidth="1"/>
    <col min="19" max="19" width="12" style="192" hidden="1" customWidth="1"/>
    <col min="20" max="20" width="9.6640625" style="192" customWidth="1"/>
    <col min="21" max="22" width="10.109375" style="191" customWidth="1"/>
    <col min="23" max="23" width="8.109375" style="191" customWidth="1"/>
    <col min="24" max="24" width="11.88671875" style="191" hidden="1" customWidth="1"/>
    <col min="25" max="25" width="9.33203125" style="191" customWidth="1"/>
    <col min="26" max="26" width="9.109375" style="191" customWidth="1"/>
    <col min="27" max="27" width="21.6640625" style="335" hidden="1" customWidth="1"/>
    <col min="28" max="28" width="21.6640625" style="191" hidden="1" customWidth="1"/>
    <col min="29" max="36" width="12.6640625" style="335" hidden="1" customWidth="1"/>
    <col min="37" max="37" width="10" style="335" hidden="1" customWidth="1"/>
    <col min="38" max="38" width="10.21875" style="335" hidden="1" customWidth="1"/>
    <col min="39" max="39" width="12.6640625" style="191" hidden="1" customWidth="1"/>
    <col min="40" max="40" width="10" style="191" customWidth="1"/>
    <col min="41" max="41" width="9.109375" style="191" customWidth="1"/>
    <col min="42" max="42" width="11.109375" style="191" customWidth="1"/>
    <col min="43" max="43" width="10.109375" style="331" customWidth="1"/>
    <col min="44" max="44" width="12.6640625" style="331" hidden="1" customWidth="1"/>
    <col min="45" max="46" width="9.21875" style="191" customWidth="1"/>
    <col min="47" max="48" width="12.6640625" style="331" hidden="1" customWidth="1"/>
    <col min="49" max="51" width="12.6640625" style="191" hidden="1" customWidth="1"/>
    <col min="52" max="52" width="9.6640625" style="191" hidden="1" customWidth="1"/>
    <col min="53" max="54" width="12.6640625" style="331" hidden="1" customWidth="1"/>
    <col min="55" max="55" width="8.88671875" style="191" hidden="1" customWidth="1"/>
    <col min="56" max="56" width="9" style="191" hidden="1" customWidth="1"/>
    <col min="57" max="57" width="9.109375" style="191"/>
    <col min="58" max="58" width="10.109375" style="191" bestFit="1" customWidth="1"/>
    <col min="59" max="16384" width="9.109375" style="191"/>
  </cols>
  <sheetData>
    <row r="2" spans="1:56">
      <c r="A2" s="329" t="s">
        <v>1002</v>
      </c>
      <c r="B2" s="329"/>
      <c r="C2" s="400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3"/>
      <c r="AC2" s="333"/>
      <c r="AD2" s="333"/>
      <c r="AE2" s="333"/>
      <c r="AF2" s="333"/>
      <c r="AG2" s="333"/>
      <c r="AH2" s="333"/>
      <c r="AI2" s="333"/>
      <c r="AJ2" s="333"/>
      <c r="AK2" s="333"/>
      <c r="AL2" s="191"/>
      <c r="AQ2" s="191"/>
      <c r="AR2" s="191"/>
      <c r="AU2" s="191"/>
      <c r="AV2" s="191"/>
      <c r="BA2" s="191"/>
      <c r="BB2" s="191"/>
    </row>
    <row r="3" spans="1:56">
      <c r="A3" s="329"/>
      <c r="B3" s="329"/>
      <c r="C3" s="400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33"/>
      <c r="AC3" s="333"/>
      <c r="AD3" s="333"/>
      <c r="AE3" s="333"/>
      <c r="AF3" s="333"/>
      <c r="AG3" s="333"/>
      <c r="AH3" s="333"/>
      <c r="AI3" s="333"/>
      <c r="AJ3" s="333"/>
      <c r="AK3" s="333"/>
      <c r="AL3" s="191"/>
      <c r="AQ3" s="191"/>
      <c r="AR3" s="191"/>
      <c r="AU3" s="191"/>
      <c r="AV3" s="191"/>
      <c r="BA3" s="191"/>
      <c r="BB3" s="191"/>
    </row>
    <row r="4" spans="1:56" ht="13.8" customHeight="1">
      <c r="A4" s="835"/>
      <c r="B4" s="835"/>
      <c r="C4" s="835"/>
      <c r="T4" s="836" t="s">
        <v>111</v>
      </c>
      <c r="U4" s="836"/>
      <c r="V4" s="836"/>
      <c r="W4" s="836"/>
      <c r="X4" s="836"/>
      <c r="Y4" s="836"/>
      <c r="Z4" s="836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389"/>
      <c r="AP4" s="825" t="s">
        <v>998</v>
      </c>
      <c r="AQ4" s="826"/>
      <c r="AR4" s="826"/>
      <c r="AS4" s="826"/>
      <c r="AT4" s="827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6" s="336" customFormat="1" ht="86.25" customHeight="1">
      <c r="A5" s="194" t="s">
        <v>0</v>
      </c>
      <c r="B5" s="194" t="s">
        <v>1</v>
      </c>
      <c r="C5" s="194" t="s">
        <v>2</v>
      </c>
      <c r="D5" s="194" t="s">
        <v>3</v>
      </c>
      <c r="E5" s="194" t="s">
        <v>4</v>
      </c>
      <c r="F5" s="194" t="s">
        <v>5</v>
      </c>
      <c r="G5" s="194" t="s">
        <v>6</v>
      </c>
      <c r="H5" s="194" t="s">
        <v>7</v>
      </c>
      <c r="I5" s="194" t="s">
        <v>9</v>
      </c>
      <c r="J5" s="194" t="s">
        <v>215</v>
      </c>
      <c r="K5" s="194" t="s">
        <v>10</v>
      </c>
      <c r="L5" s="194" t="s">
        <v>11</v>
      </c>
      <c r="M5" s="10" t="s">
        <v>402</v>
      </c>
      <c r="N5" s="194" t="s">
        <v>403</v>
      </c>
      <c r="O5" s="194" t="s">
        <v>404</v>
      </c>
      <c r="P5" s="194" t="s">
        <v>12</v>
      </c>
      <c r="Q5" s="194" t="s">
        <v>457</v>
      </c>
      <c r="R5" s="194" t="s">
        <v>458</v>
      </c>
      <c r="S5" s="194" t="s">
        <v>407</v>
      </c>
      <c r="T5" s="194" t="s">
        <v>408</v>
      </c>
      <c r="U5" s="194" t="s">
        <v>409</v>
      </c>
      <c r="V5" s="194" t="s">
        <v>13</v>
      </c>
      <c r="W5" s="18" t="s">
        <v>14</v>
      </c>
      <c r="X5" s="194" t="s">
        <v>15</v>
      </c>
      <c r="Y5" s="194" t="s">
        <v>354</v>
      </c>
      <c r="Z5" s="194" t="s">
        <v>105</v>
      </c>
      <c r="AA5" s="492" t="s">
        <v>410</v>
      </c>
      <c r="AB5" s="194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482" t="s">
        <v>354</v>
      </c>
      <c r="AT5" s="85" t="s">
        <v>105</v>
      </c>
      <c r="AU5" s="85" t="s">
        <v>13</v>
      </c>
      <c r="AV5" s="85" t="s">
        <v>14</v>
      </c>
      <c r="AW5" s="85" t="s">
        <v>15</v>
      </c>
      <c r="AX5" s="85" t="s">
        <v>354</v>
      </c>
      <c r="AY5" s="85" t="s">
        <v>105</v>
      </c>
      <c r="AZ5" s="85" t="s">
        <v>13</v>
      </c>
      <c r="BA5" s="85" t="s">
        <v>14</v>
      </c>
      <c r="BB5" s="85" t="s">
        <v>15</v>
      </c>
      <c r="BC5" s="85" t="s">
        <v>354</v>
      </c>
      <c r="BD5" s="85" t="s">
        <v>105</v>
      </c>
    </row>
    <row r="6" spans="1:56" s="202" customFormat="1">
      <c r="A6" s="198"/>
      <c r="B6" s="198"/>
      <c r="C6" s="198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8"/>
      <c r="AA6" s="466"/>
      <c r="AB6" s="195"/>
      <c r="AC6" s="469"/>
      <c r="AD6" s="469"/>
      <c r="AE6" s="469"/>
      <c r="AF6" s="469"/>
      <c r="AG6" s="469"/>
      <c r="AH6" s="469"/>
      <c r="AI6" s="469"/>
      <c r="AJ6" s="469"/>
      <c r="AK6" s="469"/>
      <c r="AL6" s="469"/>
      <c r="AM6" s="198"/>
      <c r="AN6" s="198"/>
      <c r="AO6" s="198"/>
      <c r="AP6" s="198"/>
      <c r="AQ6" s="485"/>
      <c r="AR6" s="485"/>
      <c r="AS6" s="198"/>
      <c r="AT6" s="198"/>
      <c r="AU6" s="485"/>
      <c r="AV6" s="485"/>
      <c r="AW6" s="198"/>
      <c r="AX6" s="198"/>
      <c r="AY6" s="198"/>
      <c r="AZ6" s="198"/>
      <c r="BA6" s="485"/>
      <c r="BB6" s="485"/>
      <c r="BC6" s="198"/>
      <c r="BD6" s="198"/>
    </row>
    <row r="7" spans="1:56" s="203" customFormat="1" ht="19.95" customHeight="1">
      <c r="A7" s="198">
        <f>A6+1</f>
        <v>1</v>
      </c>
      <c r="B7" s="198">
        <v>382</v>
      </c>
      <c r="C7" s="198" t="s">
        <v>885</v>
      </c>
      <c r="D7" s="199">
        <f>49581930+21799400+1500000</f>
        <v>72881330</v>
      </c>
      <c r="E7" s="199">
        <v>49581930</v>
      </c>
      <c r="F7" s="199">
        <f t="shared" ref="F7:F84" si="0">D7-E7</f>
        <v>23299400</v>
      </c>
      <c r="G7" s="199">
        <f>39881330+1500000</f>
        <v>41381330</v>
      </c>
      <c r="H7" s="199">
        <v>39212248.18</v>
      </c>
      <c r="I7" s="199"/>
      <c r="J7" s="199">
        <v>2169071.08</v>
      </c>
      <c r="K7" s="199">
        <f>SUM(I7:J7)</f>
        <v>2169071.08</v>
      </c>
      <c r="L7" s="199">
        <f t="shared" ref="L7:L70" si="1">K7+H7</f>
        <v>41381319.259999998</v>
      </c>
      <c r="M7" s="199">
        <f>P7+S7</f>
        <v>5500010.7400000021</v>
      </c>
      <c r="N7" s="199">
        <f>24500000-10000000</f>
        <v>14500000</v>
      </c>
      <c r="O7" s="199">
        <f>D7-L7-M7-N7</f>
        <v>11500000</v>
      </c>
      <c r="P7" s="199">
        <f>G7-L7</f>
        <v>10.740000002086163</v>
      </c>
      <c r="Q7" s="199">
        <f>1500000+4000000</f>
        <v>5500000</v>
      </c>
      <c r="R7" s="199"/>
      <c r="S7" s="199">
        <f>SUM(Q7:R7)</f>
        <v>5500000</v>
      </c>
      <c r="T7" s="199">
        <f>P7-M7+S7</f>
        <v>0</v>
      </c>
      <c r="U7" s="199">
        <f>N7-T7</f>
        <v>14500000</v>
      </c>
      <c r="V7" s="199">
        <f>U7-Y7-X7-Z7-W7</f>
        <v>14500000</v>
      </c>
      <c r="W7" s="199"/>
      <c r="X7" s="199"/>
      <c r="Y7" s="199"/>
      <c r="Z7" s="199"/>
      <c r="AA7" s="340" t="s">
        <v>744</v>
      </c>
      <c r="AB7" s="198">
        <v>742000</v>
      </c>
      <c r="AC7" s="466"/>
      <c r="AD7" s="4"/>
      <c r="AE7" s="199">
        <v>1500000</v>
      </c>
      <c r="AF7" s="199"/>
      <c r="AG7" s="199"/>
      <c r="AH7" s="199"/>
      <c r="AI7" s="199">
        <v>1500000</v>
      </c>
      <c r="AJ7" s="199"/>
      <c r="AK7" s="199">
        <v>11500000</v>
      </c>
      <c r="AL7" s="199">
        <f>SUM(AC7:AK7)</f>
        <v>14500000</v>
      </c>
      <c r="AM7" s="199"/>
      <c r="AN7" s="199">
        <f>AL7+AM7</f>
        <v>14500000</v>
      </c>
      <c r="AO7" s="4">
        <f>U7-AN7</f>
        <v>0</v>
      </c>
      <c r="AP7" s="4">
        <f>AN7-AQ7-AS7-AT7</f>
        <v>14500000</v>
      </c>
      <c r="AQ7" s="4"/>
      <c r="AR7" s="4"/>
      <c r="AS7" s="199"/>
      <c r="AT7" s="4"/>
      <c r="AU7" s="4">
        <f>AM7-AV7-AW7-AX7-AY7</f>
        <v>0</v>
      </c>
      <c r="AV7" s="4"/>
      <c r="AW7" s="199"/>
      <c r="AX7" s="199"/>
      <c r="AY7" s="4"/>
      <c r="AZ7" s="4">
        <f>AO7-BA7-BB7-BC7-BD7</f>
        <v>0</v>
      </c>
      <c r="BA7" s="4"/>
      <c r="BB7" s="4"/>
      <c r="BC7" s="4"/>
      <c r="BD7" s="4"/>
    </row>
    <row r="8" spans="1:56" s="203" customFormat="1" ht="19.95" customHeight="1">
      <c r="A8" s="198">
        <f>A7+1</f>
        <v>2</v>
      </c>
      <c r="B8" s="198">
        <v>532</v>
      </c>
      <c r="C8" s="198" t="s">
        <v>96</v>
      </c>
      <c r="D8" s="199">
        <v>80090000</v>
      </c>
      <c r="E8" s="199">
        <v>80090000</v>
      </c>
      <c r="F8" s="199">
        <f t="shared" si="0"/>
        <v>0</v>
      </c>
      <c r="G8" s="199">
        <v>75090000</v>
      </c>
      <c r="H8" s="199">
        <v>67445015.310000002</v>
      </c>
      <c r="I8" s="199"/>
      <c r="J8" s="199">
        <v>3423266.65</v>
      </c>
      <c r="K8" s="199">
        <f t="shared" ref="K8:K58" si="2">SUM(I8:J8)</f>
        <v>3423266.65</v>
      </c>
      <c r="L8" s="199">
        <f t="shared" si="1"/>
        <v>70868281.960000008</v>
      </c>
      <c r="M8" s="199">
        <f t="shared" ref="M8:M71" si="3">P8+S8</f>
        <v>9221718.0399999917</v>
      </c>
      <c r="N8" s="199"/>
      <c r="O8" s="199">
        <f t="shared" ref="O8:O71" si="4">D8-L8-M8-N8</f>
        <v>0</v>
      </c>
      <c r="P8" s="199">
        <f t="shared" ref="P8:P71" si="5">G8-L8</f>
        <v>4221718.0399999917</v>
      </c>
      <c r="Q8" s="199">
        <v>5000000</v>
      </c>
      <c r="R8" s="199"/>
      <c r="S8" s="199">
        <f t="shared" ref="S8:S71" si="6">SUM(Q8:R8)</f>
        <v>5000000</v>
      </c>
      <c r="T8" s="199">
        <f t="shared" ref="T8:T71" si="7">P8-M8+S8</f>
        <v>0</v>
      </c>
      <c r="U8" s="199">
        <f t="shared" ref="U8:U71" si="8">N8-T8</f>
        <v>0</v>
      </c>
      <c r="V8" s="199">
        <f t="shared" ref="V8:V71" si="9">U8-Y8-X8-Z8-W8</f>
        <v>0</v>
      </c>
      <c r="W8" s="199"/>
      <c r="X8" s="199"/>
      <c r="Y8" s="199"/>
      <c r="Z8" s="198"/>
      <c r="AA8" s="467" t="s">
        <v>588</v>
      </c>
      <c r="AB8" s="198">
        <v>742000</v>
      </c>
      <c r="AC8" s="469"/>
      <c r="AD8" s="486"/>
      <c r="AE8" s="486"/>
      <c r="AF8" s="486"/>
      <c r="AG8" s="486"/>
      <c r="AH8" s="486"/>
      <c r="AI8" s="486"/>
      <c r="AJ8" s="486"/>
      <c r="AK8" s="486"/>
      <c r="AL8" s="486">
        <f t="shared" ref="AL8:AL71" si="10">SUM(AC8:AK8)</f>
        <v>0</v>
      </c>
      <c r="AM8" s="199"/>
      <c r="AN8" s="199">
        <f t="shared" ref="AN8:AN71" si="11">AL8+AM8</f>
        <v>0</v>
      </c>
      <c r="AO8" s="4">
        <f t="shared" ref="AO8:AO71" si="12">U8-AN8</f>
        <v>0</v>
      </c>
      <c r="AP8" s="4">
        <f t="shared" ref="AP8:AP71" si="13">AN8-AQ8-AS8-AT8</f>
        <v>0</v>
      </c>
      <c r="AQ8" s="4"/>
      <c r="AR8" s="4"/>
      <c r="AS8" s="199"/>
      <c r="AT8" s="4"/>
      <c r="AU8" s="4">
        <f t="shared" ref="AU8:AU47" si="14">AM8-AV8-AW8-AX8-AY8</f>
        <v>0</v>
      </c>
      <c r="AV8" s="4"/>
      <c r="AW8" s="199"/>
      <c r="AX8" s="199"/>
      <c r="AY8" s="4"/>
      <c r="AZ8" s="4">
        <f t="shared" ref="AZ8:AZ71" si="15">AO8-BA8-BB8-BC8-BD8</f>
        <v>0</v>
      </c>
      <c r="BA8" s="4"/>
      <c r="BB8" s="4"/>
      <c r="BC8" s="4"/>
      <c r="BD8" s="4"/>
    </row>
    <row r="9" spans="1:56" s="203" customFormat="1" ht="19.95" customHeight="1">
      <c r="A9" s="198">
        <f t="shared" ref="A9:A72" si="16">A8+1</f>
        <v>3</v>
      </c>
      <c r="B9" s="198">
        <v>576</v>
      </c>
      <c r="C9" s="198" t="s">
        <v>97</v>
      </c>
      <c r="D9" s="199">
        <v>55113000</v>
      </c>
      <c r="E9" s="199">
        <v>55113000</v>
      </c>
      <c r="F9" s="199">
        <f t="shared" si="0"/>
        <v>0</v>
      </c>
      <c r="G9" s="199">
        <v>43913000</v>
      </c>
      <c r="H9" s="199">
        <v>42939526.600000001</v>
      </c>
      <c r="I9" s="199"/>
      <c r="J9" s="199">
        <v>476421.91</v>
      </c>
      <c r="K9" s="199">
        <f t="shared" si="2"/>
        <v>476421.91</v>
      </c>
      <c r="L9" s="199">
        <f t="shared" si="1"/>
        <v>43415948.509999998</v>
      </c>
      <c r="M9" s="199">
        <f t="shared" si="3"/>
        <v>10497051.490000002</v>
      </c>
      <c r="N9" s="199">
        <v>1200000</v>
      </c>
      <c r="O9" s="199">
        <f t="shared" si="4"/>
        <v>0</v>
      </c>
      <c r="P9" s="199">
        <f t="shared" si="5"/>
        <v>497051.49000000209</v>
      </c>
      <c r="Q9" s="199">
        <v>10000000</v>
      </c>
      <c r="R9" s="199"/>
      <c r="S9" s="199">
        <f t="shared" si="6"/>
        <v>10000000</v>
      </c>
      <c r="T9" s="199">
        <f t="shared" si="7"/>
        <v>0</v>
      </c>
      <c r="U9" s="199">
        <f t="shared" si="8"/>
        <v>1200000</v>
      </c>
      <c r="V9" s="199">
        <f t="shared" si="9"/>
        <v>600000</v>
      </c>
      <c r="W9" s="199"/>
      <c r="X9" s="199"/>
      <c r="Y9" s="199"/>
      <c r="Z9" s="199">
        <v>600000</v>
      </c>
      <c r="AA9" s="340" t="s">
        <v>590</v>
      </c>
      <c r="AB9" s="198">
        <v>760000</v>
      </c>
      <c r="AC9" s="466"/>
      <c r="AD9" s="4"/>
      <c r="AE9" s="4"/>
      <c r="AF9" s="4"/>
      <c r="AG9" s="4"/>
      <c r="AH9" s="4"/>
      <c r="AI9" s="4"/>
      <c r="AJ9" s="4"/>
      <c r="AK9" s="4">
        <v>1200000</v>
      </c>
      <c r="AL9" s="4">
        <f t="shared" si="10"/>
        <v>1200000</v>
      </c>
      <c r="AM9" s="199"/>
      <c r="AN9" s="199">
        <f t="shared" si="11"/>
        <v>1200000</v>
      </c>
      <c r="AO9" s="4">
        <f t="shared" si="12"/>
        <v>0</v>
      </c>
      <c r="AP9" s="4">
        <f t="shared" si="13"/>
        <v>600000</v>
      </c>
      <c r="AQ9" s="4"/>
      <c r="AR9" s="4"/>
      <c r="AS9" s="199"/>
      <c r="AT9" s="4">
        <v>600000</v>
      </c>
      <c r="AU9" s="4">
        <f t="shared" si="14"/>
        <v>0</v>
      </c>
      <c r="AV9" s="4"/>
      <c r="AW9" s="199"/>
      <c r="AX9" s="199"/>
      <c r="AY9" s="4"/>
      <c r="AZ9" s="4">
        <f t="shared" si="15"/>
        <v>0</v>
      </c>
      <c r="BA9" s="4"/>
      <c r="BB9" s="4"/>
      <c r="BC9" s="4"/>
      <c r="BD9" s="4"/>
    </row>
    <row r="10" spans="1:56" s="203" customFormat="1" ht="19.95" customHeight="1">
      <c r="A10" s="198">
        <f t="shared" si="16"/>
        <v>4</v>
      </c>
      <c r="B10" s="198">
        <v>634</v>
      </c>
      <c r="C10" s="198" t="s">
        <v>758</v>
      </c>
      <c r="D10" s="199">
        <v>57250000</v>
      </c>
      <c r="E10" s="199">
        <v>57250000</v>
      </c>
      <c r="F10" s="199">
        <f t="shared" si="0"/>
        <v>0</v>
      </c>
      <c r="G10" s="199">
        <v>57250000</v>
      </c>
      <c r="H10" s="199">
        <v>55114069.850000001</v>
      </c>
      <c r="I10" s="199"/>
      <c r="J10" s="199">
        <v>1188923.04</v>
      </c>
      <c r="K10" s="199">
        <f t="shared" si="2"/>
        <v>1188923.04</v>
      </c>
      <c r="L10" s="199">
        <f t="shared" si="1"/>
        <v>56302992.890000001</v>
      </c>
      <c r="M10" s="199">
        <f>P10+S10-900000</f>
        <v>47007.109999999404</v>
      </c>
      <c r="N10" s="199"/>
      <c r="O10" s="199">
        <f t="shared" si="4"/>
        <v>900000</v>
      </c>
      <c r="P10" s="199">
        <f t="shared" si="5"/>
        <v>947007.1099999994</v>
      </c>
      <c r="Q10" s="199"/>
      <c r="R10" s="199"/>
      <c r="S10" s="199">
        <f t="shared" si="6"/>
        <v>0</v>
      </c>
      <c r="T10" s="199">
        <f t="shared" si="7"/>
        <v>900000</v>
      </c>
      <c r="U10" s="199">
        <f t="shared" si="8"/>
        <v>-900000</v>
      </c>
      <c r="V10" s="199">
        <f t="shared" si="9"/>
        <v>-900000</v>
      </c>
      <c r="W10" s="199"/>
      <c r="X10" s="199"/>
      <c r="Y10" s="199"/>
      <c r="Z10" s="198"/>
      <c r="AA10" s="340" t="s">
        <v>841</v>
      </c>
      <c r="AB10" s="198">
        <v>732000</v>
      </c>
      <c r="AC10" s="469"/>
      <c r="AD10" s="486"/>
      <c r="AE10" s="199">
        <v>-900000</v>
      </c>
      <c r="AF10" s="199"/>
      <c r="AG10" s="199"/>
      <c r="AH10" s="199"/>
      <c r="AI10" s="199"/>
      <c r="AJ10" s="199"/>
      <c r="AK10" s="199"/>
      <c r="AL10" s="199">
        <f t="shared" si="10"/>
        <v>-900000</v>
      </c>
      <c r="AM10" s="199"/>
      <c r="AN10" s="199">
        <f t="shared" si="11"/>
        <v>-900000</v>
      </c>
      <c r="AO10" s="4">
        <f t="shared" si="12"/>
        <v>0</v>
      </c>
      <c r="AP10" s="4">
        <f t="shared" si="13"/>
        <v>-900000</v>
      </c>
      <c r="AQ10" s="4"/>
      <c r="AR10" s="4"/>
      <c r="AS10" s="199"/>
      <c r="AT10" s="4"/>
      <c r="AU10" s="4">
        <f t="shared" si="14"/>
        <v>0</v>
      </c>
      <c r="AV10" s="4"/>
      <c r="AW10" s="199"/>
      <c r="AX10" s="199"/>
      <c r="AY10" s="4"/>
      <c r="AZ10" s="4">
        <f t="shared" si="15"/>
        <v>0</v>
      </c>
      <c r="BA10" s="4"/>
      <c r="BB10" s="4"/>
      <c r="BC10" s="4"/>
      <c r="BD10" s="4"/>
    </row>
    <row r="11" spans="1:56" s="202" customFormat="1" ht="19.95" customHeight="1">
      <c r="A11" s="198">
        <f t="shared" si="16"/>
        <v>5</v>
      </c>
      <c r="B11" s="198">
        <v>1067</v>
      </c>
      <c r="C11" s="198" t="s">
        <v>98</v>
      </c>
      <c r="D11" s="199">
        <v>3725000</v>
      </c>
      <c r="E11" s="199">
        <v>3725000</v>
      </c>
      <c r="F11" s="199">
        <f t="shared" si="0"/>
        <v>0</v>
      </c>
      <c r="G11" s="199">
        <v>3575000</v>
      </c>
      <c r="H11" s="199">
        <v>2510465.44</v>
      </c>
      <c r="I11" s="199"/>
      <c r="J11" s="199">
        <v>108849.76</v>
      </c>
      <c r="K11" s="199">
        <f t="shared" si="2"/>
        <v>108849.76</v>
      </c>
      <c r="L11" s="199">
        <f t="shared" si="1"/>
        <v>2619315.1999999997</v>
      </c>
      <c r="M11" s="199">
        <f t="shared" si="3"/>
        <v>1105684.8000000003</v>
      </c>
      <c r="N11" s="199"/>
      <c r="O11" s="199">
        <f t="shared" si="4"/>
        <v>0</v>
      </c>
      <c r="P11" s="199">
        <f t="shared" si="5"/>
        <v>955684.80000000028</v>
      </c>
      <c r="Q11" s="199">
        <v>150000</v>
      </c>
      <c r="R11" s="199"/>
      <c r="S11" s="199">
        <f t="shared" si="6"/>
        <v>150000</v>
      </c>
      <c r="T11" s="199">
        <f t="shared" si="7"/>
        <v>0</v>
      </c>
      <c r="U11" s="199">
        <f t="shared" si="8"/>
        <v>0</v>
      </c>
      <c r="V11" s="199">
        <f t="shared" si="9"/>
        <v>0</v>
      </c>
      <c r="W11" s="199"/>
      <c r="X11" s="199"/>
      <c r="Y11" s="199"/>
      <c r="Z11" s="198"/>
      <c r="AA11" s="467" t="s">
        <v>459</v>
      </c>
      <c r="AB11" s="198">
        <v>742000</v>
      </c>
      <c r="AC11" s="469"/>
      <c r="AD11" s="486"/>
      <c r="AE11" s="486"/>
      <c r="AF11" s="486"/>
      <c r="AG11" s="486"/>
      <c r="AH11" s="486"/>
      <c r="AI11" s="486"/>
      <c r="AJ11" s="486"/>
      <c r="AK11" s="486"/>
      <c r="AL11" s="486">
        <f t="shared" si="10"/>
        <v>0</v>
      </c>
      <c r="AM11" s="199"/>
      <c r="AN11" s="199">
        <f t="shared" si="11"/>
        <v>0</v>
      </c>
      <c r="AO11" s="4">
        <f t="shared" si="12"/>
        <v>0</v>
      </c>
      <c r="AP11" s="4">
        <f t="shared" si="13"/>
        <v>0</v>
      </c>
      <c r="AQ11" s="4"/>
      <c r="AR11" s="4"/>
      <c r="AS11" s="199"/>
      <c r="AT11" s="4"/>
      <c r="AU11" s="4">
        <f t="shared" si="14"/>
        <v>0</v>
      </c>
      <c r="AV11" s="4"/>
      <c r="AW11" s="199"/>
      <c r="AX11" s="199"/>
      <c r="AY11" s="4"/>
      <c r="AZ11" s="4">
        <f t="shared" si="15"/>
        <v>0</v>
      </c>
      <c r="BA11" s="4"/>
      <c r="BB11" s="4"/>
      <c r="BC11" s="4"/>
      <c r="BD11" s="4"/>
    </row>
    <row r="12" spans="1:56" s="203" customFormat="1" ht="19.95" customHeight="1">
      <c r="A12" s="198">
        <f t="shared" si="16"/>
        <v>6</v>
      </c>
      <c r="B12" s="198">
        <v>1207</v>
      </c>
      <c r="C12" s="198" t="s">
        <v>99</v>
      </c>
      <c r="D12" s="199">
        <v>50650000</v>
      </c>
      <c r="E12" s="199">
        <v>50650000</v>
      </c>
      <c r="F12" s="199">
        <f t="shared" si="0"/>
        <v>0</v>
      </c>
      <c r="G12" s="199">
        <v>21650000</v>
      </c>
      <c r="H12" s="199">
        <v>18541918.899999999</v>
      </c>
      <c r="I12" s="199"/>
      <c r="J12" s="199">
        <v>3102404.99</v>
      </c>
      <c r="K12" s="199">
        <f t="shared" si="2"/>
        <v>3102404.99</v>
      </c>
      <c r="L12" s="199">
        <f t="shared" si="1"/>
        <v>21644323.890000001</v>
      </c>
      <c r="M12" s="199">
        <f t="shared" si="3"/>
        <v>14005676.109999999</v>
      </c>
      <c r="N12" s="199">
        <f>15000000-10000000</f>
        <v>5000000</v>
      </c>
      <c r="O12" s="199">
        <f t="shared" si="4"/>
        <v>10000000</v>
      </c>
      <c r="P12" s="199">
        <f t="shared" si="5"/>
        <v>5676.109999999404</v>
      </c>
      <c r="Q12" s="199">
        <v>14000000</v>
      </c>
      <c r="R12" s="199"/>
      <c r="S12" s="199">
        <f t="shared" si="6"/>
        <v>14000000</v>
      </c>
      <c r="T12" s="199">
        <f t="shared" si="7"/>
        <v>0</v>
      </c>
      <c r="U12" s="199">
        <f t="shared" si="8"/>
        <v>5000000</v>
      </c>
      <c r="V12" s="199">
        <f t="shared" si="9"/>
        <v>5000000</v>
      </c>
      <c r="W12" s="199"/>
      <c r="X12" s="199"/>
      <c r="Y12" s="199"/>
      <c r="Z12" s="198"/>
      <c r="AA12" s="467" t="s">
        <v>718</v>
      </c>
      <c r="AB12" s="198">
        <v>742000</v>
      </c>
      <c r="AC12" s="466"/>
      <c r="AD12" s="4"/>
      <c r="AE12" s="4"/>
      <c r="AF12" s="4"/>
      <c r="AG12" s="4"/>
      <c r="AH12" s="4"/>
      <c r="AI12" s="4"/>
      <c r="AJ12" s="4"/>
      <c r="AK12" s="4">
        <v>5000000</v>
      </c>
      <c r="AL12" s="4">
        <f t="shared" si="10"/>
        <v>5000000</v>
      </c>
      <c r="AM12" s="199"/>
      <c r="AN12" s="199">
        <f t="shared" si="11"/>
        <v>5000000</v>
      </c>
      <c r="AO12" s="4">
        <f t="shared" si="12"/>
        <v>0</v>
      </c>
      <c r="AP12" s="4">
        <f t="shared" si="13"/>
        <v>5000000</v>
      </c>
      <c r="AQ12" s="4"/>
      <c r="AR12" s="4"/>
      <c r="AS12" s="199"/>
      <c r="AT12" s="4"/>
      <c r="AU12" s="4">
        <f t="shared" si="14"/>
        <v>0</v>
      </c>
      <c r="AV12" s="4"/>
      <c r="AW12" s="199"/>
      <c r="AX12" s="199"/>
      <c r="AY12" s="4"/>
      <c r="AZ12" s="4">
        <f t="shared" si="15"/>
        <v>0</v>
      </c>
      <c r="BA12" s="4"/>
      <c r="BB12" s="4"/>
      <c r="BC12" s="4"/>
      <c r="BD12" s="4"/>
    </row>
    <row r="13" spans="1:56" s="203" customFormat="1" ht="19.95" customHeight="1">
      <c r="A13" s="198">
        <f t="shared" si="16"/>
        <v>7</v>
      </c>
      <c r="B13" s="198">
        <v>1238</v>
      </c>
      <c r="C13" s="198" t="s">
        <v>100</v>
      </c>
      <c r="D13" s="199">
        <v>32940000</v>
      </c>
      <c r="E13" s="199">
        <v>32940000</v>
      </c>
      <c r="F13" s="199">
        <f t="shared" si="0"/>
        <v>0</v>
      </c>
      <c r="G13" s="199">
        <v>26440000</v>
      </c>
      <c r="H13" s="199">
        <v>25492352.199999999</v>
      </c>
      <c r="I13" s="199"/>
      <c r="J13" s="199">
        <v>802970.7</v>
      </c>
      <c r="K13" s="199">
        <f t="shared" si="2"/>
        <v>802970.7</v>
      </c>
      <c r="L13" s="199">
        <f t="shared" si="1"/>
        <v>26295322.899999999</v>
      </c>
      <c r="M13" s="199">
        <f t="shared" si="3"/>
        <v>144677.10000000149</v>
      </c>
      <c r="N13" s="199"/>
      <c r="O13" s="199">
        <f t="shared" si="4"/>
        <v>6500000</v>
      </c>
      <c r="P13" s="199">
        <f t="shared" si="5"/>
        <v>144677.10000000149</v>
      </c>
      <c r="Q13" s="199"/>
      <c r="R13" s="199"/>
      <c r="S13" s="199">
        <f t="shared" si="6"/>
        <v>0</v>
      </c>
      <c r="T13" s="199">
        <f t="shared" si="7"/>
        <v>0</v>
      </c>
      <c r="U13" s="199">
        <f t="shared" si="8"/>
        <v>0</v>
      </c>
      <c r="V13" s="199">
        <f t="shared" si="9"/>
        <v>0</v>
      </c>
      <c r="W13" s="199"/>
      <c r="X13" s="199"/>
      <c r="Y13" s="199"/>
      <c r="Z13" s="198"/>
      <c r="AA13" s="340"/>
      <c r="AB13" s="198">
        <v>742000</v>
      </c>
      <c r="AC13" s="469"/>
      <c r="AD13" s="486"/>
      <c r="AE13" s="486"/>
      <c r="AF13" s="486"/>
      <c r="AG13" s="486"/>
      <c r="AH13" s="486"/>
      <c r="AI13" s="486"/>
      <c r="AJ13" s="486"/>
      <c r="AK13" s="486"/>
      <c r="AL13" s="486">
        <f t="shared" si="10"/>
        <v>0</v>
      </c>
      <c r="AM13" s="199"/>
      <c r="AN13" s="199">
        <f t="shared" si="11"/>
        <v>0</v>
      </c>
      <c r="AO13" s="4">
        <f t="shared" si="12"/>
        <v>0</v>
      </c>
      <c r="AP13" s="4">
        <f t="shared" si="13"/>
        <v>0</v>
      </c>
      <c r="AQ13" s="4"/>
      <c r="AR13" s="4"/>
      <c r="AS13" s="199"/>
      <c r="AT13" s="4"/>
      <c r="AU13" s="4">
        <f t="shared" si="14"/>
        <v>0</v>
      </c>
      <c r="AV13" s="4"/>
      <c r="AW13" s="199"/>
      <c r="AX13" s="199"/>
      <c r="AY13" s="4"/>
      <c r="AZ13" s="4">
        <f t="shared" si="15"/>
        <v>0</v>
      </c>
      <c r="BA13" s="4"/>
      <c r="BB13" s="4"/>
      <c r="BC13" s="4"/>
      <c r="BD13" s="4"/>
    </row>
    <row r="14" spans="1:56" s="203" customFormat="1" ht="19.95" customHeight="1">
      <c r="A14" s="198">
        <f t="shared" si="16"/>
        <v>8</v>
      </c>
      <c r="B14" s="198">
        <v>1298</v>
      </c>
      <c r="C14" s="198" t="s">
        <v>37</v>
      </c>
      <c r="D14" s="199">
        <f>4100000+500000+200000-200000</f>
        <v>4600000</v>
      </c>
      <c r="E14" s="199">
        <v>4100000</v>
      </c>
      <c r="F14" s="199">
        <f t="shared" si="0"/>
        <v>500000</v>
      </c>
      <c r="G14" s="199">
        <f>3600000+200000</f>
        <v>3800000</v>
      </c>
      <c r="H14" s="199">
        <v>3447721.87</v>
      </c>
      <c r="I14" s="199"/>
      <c r="J14" s="199">
        <v>152279.51</v>
      </c>
      <c r="K14" s="199">
        <f t="shared" si="2"/>
        <v>152279.51</v>
      </c>
      <c r="L14" s="199">
        <f t="shared" si="1"/>
        <v>3600001.38</v>
      </c>
      <c r="M14" s="199">
        <f t="shared" si="3"/>
        <v>499998.62000000011</v>
      </c>
      <c r="N14" s="199">
        <f>500000-200000+200000</f>
        <v>500000</v>
      </c>
      <c r="O14" s="199">
        <f t="shared" si="4"/>
        <v>0</v>
      </c>
      <c r="P14" s="199">
        <f t="shared" si="5"/>
        <v>199998.62000000011</v>
      </c>
      <c r="Q14" s="337">
        <f>500000-200000</f>
        <v>300000</v>
      </c>
      <c r="R14" s="199"/>
      <c r="S14" s="199">
        <f t="shared" si="6"/>
        <v>300000</v>
      </c>
      <c r="T14" s="199">
        <f t="shared" si="7"/>
        <v>0</v>
      </c>
      <c r="U14" s="199">
        <f t="shared" si="8"/>
        <v>500000</v>
      </c>
      <c r="V14" s="199">
        <f t="shared" si="9"/>
        <v>500000</v>
      </c>
      <c r="W14" s="199"/>
      <c r="X14" s="199"/>
      <c r="Y14" s="199"/>
      <c r="Z14" s="198"/>
      <c r="AA14" s="467" t="s">
        <v>460</v>
      </c>
      <c r="AB14" s="198">
        <v>742000</v>
      </c>
      <c r="AC14" s="466"/>
      <c r="AD14" s="4"/>
      <c r="AE14" s="4"/>
      <c r="AF14" s="4"/>
      <c r="AG14" s="4"/>
      <c r="AH14" s="4"/>
      <c r="AI14" s="4"/>
      <c r="AJ14" s="4"/>
      <c r="AK14" s="4">
        <v>500000</v>
      </c>
      <c r="AL14" s="4">
        <f t="shared" si="10"/>
        <v>500000</v>
      </c>
      <c r="AM14" s="199"/>
      <c r="AN14" s="199">
        <f t="shared" si="11"/>
        <v>500000</v>
      </c>
      <c r="AO14" s="4">
        <f t="shared" si="12"/>
        <v>0</v>
      </c>
      <c r="AP14" s="4">
        <f t="shared" si="13"/>
        <v>500000</v>
      </c>
      <c r="AQ14" s="4"/>
      <c r="AR14" s="4"/>
      <c r="AS14" s="199"/>
      <c r="AT14" s="4"/>
      <c r="AU14" s="4">
        <f t="shared" si="14"/>
        <v>0</v>
      </c>
      <c r="AV14" s="4"/>
      <c r="AW14" s="199"/>
      <c r="AX14" s="199"/>
      <c r="AY14" s="4"/>
      <c r="AZ14" s="4">
        <f t="shared" si="15"/>
        <v>0</v>
      </c>
      <c r="BA14" s="4"/>
      <c r="BB14" s="4"/>
      <c r="BC14" s="4"/>
      <c r="BD14" s="4"/>
    </row>
    <row r="15" spans="1:56" s="202" customFormat="1" ht="19.95" customHeight="1">
      <c r="A15" s="198">
        <f t="shared" si="16"/>
        <v>9</v>
      </c>
      <c r="B15" s="198">
        <v>1312</v>
      </c>
      <c r="C15" s="198" t="s">
        <v>38</v>
      </c>
      <c r="D15" s="199">
        <f>121000000-11500000</f>
        <v>109500000</v>
      </c>
      <c r="E15" s="199">
        <v>121000000</v>
      </c>
      <c r="F15" s="199">
        <f t="shared" si="0"/>
        <v>-11500000</v>
      </c>
      <c r="G15" s="199">
        <v>109500000</v>
      </c>
      <c r="H15" s="199">
        <v>100850839</v>
      </c>
      <c r="I15" s="199"/>
      <c r="J15" s="199">
        <v>7828114</v>
      </c>
      <c r="K15" s="199">
        <f t="shared" si="2"/>
        <v>7828114</v>
      </c>
      <c r="L15" s="199">
        <f t="shared" si="1"/>
        <v>108678953</v>
      </c>
      <c r="M15" s="199">
        <f t="shared" si="3"/>
        <v>821047</v>
      </c>
      <c r="N15" s="199"/>
      <c r="O15" s="199">
        <f t="shared" si="4"/>
        <v>0</v>
      </c>
      <c r="P15" s="199">
        <f t="shared" si="5"/>
        <v>821047</v>
      </c>
      <c r="Q15" s="199"/>
      <c r="R15" s="199"/>
      <c r="S15" s="199">
        <f t="shared" si="6"/>
        <v>0</v>
      </c>
      <c r="T15" s="199">
        <f t="shared" si="7"/>
        <v>0</v>
      </c>
      <c r="U15" s="199">
        <f t="shared" si="8"/>
        <v>0</v>
      </c>
      <c r="V15" s="199">
        <f t="shared" si="9"/>
        <v>0</v>
      </c>
      <c r="W15" s="199"/>
      <c r="X15" s="199"/>
      <c r="Y15" s="199"/>
      <c r="Z15" s="198"/>
      <c r="AA15" s="340" t="s">
        <v>889</v>
      </c>
      <c r="AB15" s="198">
        <v>930000</v>
      </c>
      <c r="AC15" s="469"/>
      <c r="AD15" s="486"/>
      <c r="AE15" s="486"/>
      <c r="AF15" s="486"/>
      <c r="AG15" s="486"/>
      <c r="AH15" s="486"/>
      <c r="AI15" s="486"/>
      <c r="AJ15" s="486"/>
      <c r="AK15" s="486"/>
      <c r="AL15" s="486">
        <f t="shared" si="10"/>
        <v>0</v>
      </c>
      <c r="AM15" s="199"/>
      <c r="AN15" s="199">
        <f t="shared" si="11"/>
        <v>0</v>
      </c>
      <c r="AO15" s="4">
        <f t="shared" si="12"/>
        <v>0</v>
      </c>
      <c r="AP15" s="4">
        <f t="shared" si="13"/>
        <v>0</v>
      </c>
      <c r="AQ15" s="4"/>
      <c r="AR15" s="4"/>
      <c r="AS15" s="199"/>
      <c r="AT15" s="4"/>
      <c r="AU15" s="4">
        <f t="shared" si="14"/>
        <v>0</v>
      </c>
      <c r="AV15" s="4"/>
      <c r="AW15" s="199"/>
      <c r="AX15" s="199"/>
      <c r="AY15" s="4"/>
      <c r="AZ15" s="4">
        <f t="shared" si="15"/>
        <v>0</v>
      </c>
      <c r="BA15" s="4"/>
      <c r="BB15" s="4"/>
      <c r="BC15" s="4"/>
      <c r="BD15" s="4"/>
    </row>
    <row r="16" spans="1:56" s="202" customFormat="1" ht="19.95" customHeight="1">
      <c r="A16" s="198">
        <f t="shared" si="16"/>
        <v>10</v>
      </c>
      <c r="B16" s="198">
        <v>1375</v>
      </c>
      <c r="C16" s="198" t="s">
        <v>759</v>
      </c>
      <c r="D16" s="199">
        <f>39800000+250000+100000</f>
        <v>40150000</v>
      </c>
      <c r="E16" s="199">
        <v>39800000</v>
      </c>
      <c r="F16" s="199">
        <f t="shared" si="0"/>
        <v>350000</v>
      </c>
      <c r="G16" s="199">
        <v>29500000</v>
      </c>
      <c r="H16" s="199">
        <v>27046641.710000001</v>
      </c>
      <c r="I16" s="199"/>
      <c r="J16" s="199">
        <v>532778.13</v>
      </c>
      <c r="K16" s="199">
        <f t="shared" si="2"/>
        <v>532778.13</v>
      </c>
      <c r="L16" s="199">
        <f t="shared" si="1"/>
        <v>27579419.84</v>
      </c>
      <c r="M16" s="199">
        <f t="shared" si="3"/>
        <v>1920580.1600000001</v>
      </c>
      <c r="N16" s="199">
        <f>10650000-10000000</f>
        <v>650000</v>
      </c>
      <c r="O16" s="199">
        <f t="shared" si="4"/>
        <v>10000000</v>
      </c>
      <c r="P16" s="199">
        <f t="shared" si="5"/>
        <v>1920580.1600000001</v>
      </c>
      <c r="Q16" s="199"/>
      <c r="R16" s="199"/>
      <c r="S16" s="199">
        <f t="shared" si="6"/>
        <v>0</v>
      </c>
      <c r="T16" s="199">
        <f t="shared" si="7"/>
        <v>0</v>
      </c>
      <c r="U16" s="199">
        <f t="shared" si="8"/>
        <v>650000</v>
      </c>
      <c r="V16" s="199">
        <f t="shared" si="9"/>
        <v>650000</v>
      </c>
      <c r="W16" s="199"/>
      <c r="X16" s="199"/>
      <c r="Y16" s="199"/>
      <c r="Z16" s="198"/>
      <c r="AA16" s="340" t="s">
        <v>745</v>
      </c>
      <c r="AB16" s="198">
        <v>747000</v>
      </c>
      <c r="AC16" s="466"/>
      <c r="AD16" s="4"/>
      <c r="AE16" s="4"/>
      <c r="AF16" s="4"/>
      <c r="AG16" s="4"/>
      <c r="AH16" s="4"/>
      <c r="AI16" s="4"/>
      <c r="AJ16" s="4"/>
      <c r="AK16" s="4">
        <v>650000</v>
      </c>
      <c r="AL16" s="4">
        <f t="shared" si="10"/>
        <v>650000</v>
      </c>
      <c r="AM16" s="199"/>
      <c r="AN16" s="199">
        <f t="shared" si="11"/>
        <v>650000</v>
      </c>
      <c r="AO16" s="4">
        <f t="shared" si="12"/>
        <v>0</v>
      </c>
      <c r="AP16" s="4">
        <f t="shared" si="13"/>
        <v>650000</v>
      </c>
      <c r="AQ16" s="4"/>
      <c r="AR16" s="4"/>
      <c r="AS16" s="199"/>
      <c r="AT16" s="4"/>
      <c r="AU16" s="4">
        <f t="shared" si="14"/>
        <v>0</v>
      </c>
      <c r="AV16" s="4"/>
      <c r="AW16" s="199"/>
      <c r="AX16" s="199"/>
      <c r="AY16" s="4"/>
      <c r="AZ16" s="4">
        <f t="shared" si="15"/>
        <v>0</v>
      </c>
      <c r="BA16" s="4"/>
      <c r="BB16" s="4"/>
      <c r="BC16" s="4"/>
      <c r="BD16" s="4"/>
    </row>
    <row r="17" spans="1:56" s="202" customFormat="1" ht="19.95" customHeight="1">
      <c r="A17" s="198">
        <f t="shared" si="16"/>
        <v>11</v>
      </c>
      <c r="B17" s="487">
        <v>1402</v>
      </c>
      <c r="C17" s="487" t="s">
        <v>950</v>
      </c>
      <c r="D17" s="199">
        <v>7700000</v>
      </c>
      <c r="E17" s="199">
        <v>7700000</v>
      </c>
      <c r="F17" s="199">
        <f t="shared" si="0"/>
        <v>0</v>
      </c>
      <c r="G17" s="199">
        <v>7700000</v>
      </c>
      <c r="H17" s="199">
        <v>7686958.6200000001</v>
      </c>
      <c r="I17" s="199"/>
      <c r="J17" s="199">
        <v>10526.88</v>
      </c>
      <c r="K17" s="199">
        <f t="shared" si="2"/>
        <v>10526.88</v>
      </c>
      <c r="L17" s="199">
        <f t="shared" si="1"/>
        <v>7697485.5</v>
      </c>
      <c r="M17" s="199">
        <f t="shared" si="3"/>
        <v>2514.5</v>
      </c>
      <c r="N17" s="199"/>
      <c r="O17" s="199">
        <f t="shared" si="4"/>
        <v>0</v>
      </c>
      <c r="P17" s="199">
        <f t="shared" si="5"/>
        <v>2514.5</v>
      </c>
      <c r="Q17" s="199"/>
      <c r="R17" s="199"/>
      <c r="S17" s="199">
        <f t="shared" si="6"/>
        <v>0</v>
      </c>
      <c r="T17" s="199">
        <f t="shared" si="7"/>
        <v>0</v>
      </c>
      <c r="U17" s="199">
        <f t="shared" si="8"/>
        <v>0</v>
      </c>
      <c r="V17" s="199">
        <f t="shared" si="9"/>
        <v>0</v>
      </c>
      <c r="W17" s="199"/>
      <c r="X17" s="199"/>
      <c r="Y17" s="199"/>
      <c r="Z17" s="198"/>
      <c r="AA17" s="340"/>
      <c r="AB17" s="198">
        <v>714000</v>
      </c>
      <c r="AC17" s="469"/>
      <c r="AD17" s="486"/>
      <c r="AE17" s="486"/>
      <c r="AF17" s="486"/>
      <c r="AG17" s="486"/>
      <c r="AH17" s="486"/>
      <c r="AI17" s="486"/>
      <c r="AJ17" s="486"/>
      <c r="AK17" s="486"/>
      <c r="AL17" s="486">
        <f t="shared" si="10"/>
        <v>0</v>
      </c>
      <c r="AM17" s="199"/>
      <c r="AN17" s="199">
        <f t="shared" si="11"/>
        <v>0</v>
      </c>
      <c r="AO17" s="4">
        <f t="shared" si="12"/>
        <v>0</v>
      </c>
      <c r="AP17" s="4">
        <f t="shared" si="13"/>
        <v>0</v>
      </c>
      <c r="AQ17" s="4"/>
      <c r="AR17" s="4"/>
      <c r="AS17" s="199"/>
      <c r="AT17" s="4"/>
      <c r="AU17" s="4">
        <f t="shared" si="14"/>
        <v>0</v>
      </c>
      <c r="AV17" s="4"/>
      <c r="AW17" s="199"/>
      <c r="AX17" s="199"/>
      <c r="AY17" s="4"/>
      <c r="AZ17" s="4">
        <f t="shared" si="15"/>
        <v>0</v>
      </c>
      <c r="BA17" s="4"/>
      <c r="BB17" s="4"/>
      <c r="BC17" s="4"/>
      <c r="BD17" s="4"/>
    </row>
    <row r="18" spans="1:56" s="202" customFormat="1" ht="19.95" customHeight="1">
      <c r="A18" s="198">
        <f t="shared" si="16"/>
        <v>12</v>
      </c>
      <c r="B18" s="198">
        <v>1403</v>
      </c>
      <c r="C18" s="198" t="s">
        <v>461</v>
      </c>
      <c r="D18" s="199">
        <v>31750000</v>
      </c>
      <c r="E18" s="199">
        <v>31750000</v>
      </c>
      <c r="F18" s="199">
        <f t="shared" si="0"/>
        <v>0</v>
      </c>
      <c r="G18" s="199">
        <v>27849800</v>
      </c>
      <c r="H18" s="199">
        <v>19438206</v>
      </c>
      <c r="I18" s="199"/>
      <c r="J18" s="199">
        <v>6913157</v>
      </c>
      <c r="K18" s="199">
        <f t="shared" si="2"/>
        <v>6913157</v>
      </c>
      <c r="L18" s="199">
        <f t="shared" si="1"/>
        <v>26351363</v>
      </c>
      <c r="M18" s="199">
        <f t="shared" si="3"/>
        <v>4148437</v>
      </c>
      <c r="N18" s="199">
        <v>1250200</v>
      </c>
      <c r="O18" s="199">
        <f t="shared" si="4"/>
        <v>0</v>
      </c>
      <c r="P18" s="199">
        <f t="shared" si="5"/>
        <v>1498437</v>
      </c>
      <c r="Q18" s="199">
        <v>650000</v>
      </c>
      <c r="R18" s="199">
        <v>2000000</v>
      </c>
      <c r="S18" s="199">
        <f t="shared" si="6"/>
        <v>2650000</v>
      </c>
      <c r="T18" s="199">
        <f t="shared" si="7"/>
        <v>0</v>
      </c>
      <c r="U18" s="199">
        <f t="shared" si="8"/>
        <v>1250200</v>
      </c>
      <c r="V18" s="199">
        <f t="shared" si="9"/>
        <v>1250200</v>
      </c>
      <c r="W18" s="199"/>
      <c r="X18" s="199"/>
      <c r="Y18" s="199"/>
      <c r="Z18" s="198"/>
      <c r="AA18" s="340" t="s">
        <v>746</v>
      </c>
      <c r="AB18" s="198">
        <v>826000</v>
      </c>
      <c r="AC18" s="466"/>
      <c r="AD18" s="4"/>
      <c r="AE18" s="4"/>
      <c r="AF18" s="4"/>
      <c r="AG18" s="4">
        <v>1250200</v>
      </c>
      <c r="AH18" s="4"/>
      <c r="AI18" s="4"/>
      <c r="AJ18" s="4"/>
      <c r="AK18" s="4"/>
      <c r="AL18" s="4">
        <f t="shared" si="10"/>
        <v>1250200</v>
      </c>
      <c r="AM18" s="199"/>
      <c r="AN18" s="199">
        <f t="shared" si="11"/>
        <v>1250200</v>
      </c>
      <c r="AO18" s="4">
        <f t="shared" si="12"/>
        <v>0</v>
      </c>
      <c r="AP18" s="4">
        <f t="shared" si="13"/>
        <v>1250200</v>
      </c>
      <c r="AQ18" s="4"/>
      <c r="AR18" s="4"/>
      <c r="AS18" s="199"/>
      <c r="AT18" s="4"/>
      <c r="AU18" s="4">
        <f t="shared" si="14"/>
        <v>0</v>
      </c>
      <c r="AV18" s="4"/>
      <c r="AW18" s="199"/>
      <c r="AX18" s="199"/>
      <c r="AY18" s="4"/>
      <c r="AZ18" s="4">
        <f t="shared" si="15"/>
        <v>0</v>
      </c>
      <c r="BA18" s="4"/>
      <c r="BB18" s="4"/>
      <c r="BC18" s="4"/>
      <c r="BD18" s="4"/>
    </row>
    <row r="19" spans="1:56" s="202" customFormat="1" ht="19.95" customHeight="1">
      <c r="A19" s="198">
        <f t="shared" si="16"/>
        <v>13</v>
      </c>
      <c r="B19" s="198">
        <v>1443</v>
      </c>
      <c r="C19" s="198" t="s">
        <v>101</v>
      </c>
      <c r="D19" s="199">
        <v>78500000</v>
      </c>
      <c r="E19" s="199">
        <v>78500000</v>
      </c>
      <c r="F19" s="199">
        <f t="shared" si="0"/>
        <v>0</v>
      </c>
      <c r="G19" s="199">
        <v>50840000</v>
      </c>
      <c r="H19" s="199">
        <v>50824299</v>
      </c>
      <c r="I19" s="199"/>
      <c r="J19" s="199"/>
      <c r="K19" s="199">
        <f t="shared" si="2"/>
        <v>0</v>
      </c>
      <c r="L19" s="199">
        <f t="shared" si="1"/>
        <v>50824299</v>
      </c>
      <c r="M19" s="199">
        <f t="shared" si="3"/>
        <v>15701</v>
      </c>
      <c r="N19" s="199"/>
      <c r="O19" s="199">
        <f t="shared" si="4"/>
        <v>27660000</v>
      </c>
      <c r="P19" s="199">
        <f t="shared" si="5"/>
        <v>15701</v>
      </c>
      <c r="Q19" s="199"/>
      <c r="R19" s="199"/>
      <c r="S19" s="199">
        <f t="shared" si="6"/>
        <v>0</v>
      </c>
      <c r="T19" s="199">
        <f t="shared" si="7"/>
        <v>0</v>
      </c>
      <c r="U19" s="199">
        <f t="shared" si="8"/>
        <v>0</v>
      </c>
      <c r="V19" s="199">
        <f t="shared" si="9"/>
        <v>0</v>
      </c>
      <c r="W19" s="199"/>
      <c r="X19" s="199"/>
      <c r="Y19" s="199"/>
      <c r="Z19" s="198"/>
      <c r="AA19" s="340"/>
      <c r="AB19" s="198">
        <v>749000</v>
      </c>
      <c r="AC19" s="469"/>
      <c r="AD19" s="486"/>
      <c r="AE19" s="486"/>
      <c r="AF19" s="486"/>
      <c r="AG19" s="486"/>
      <c r="AH19" s="486"/>
      <c r="AI19" s="486"/>
      <c r="AJ19" s="486"/>
      <c r="AK19" s="486"/>
      <c r="AL19" s="486">
        <f t="shared" si="10"/>
        <v>0</v>
      </c>
      <c r="AM19" s="199"/>
      <c r="AN19" s="199">
        <f t="shared" si="11"/>
        <v>0</v>
      </c>
      <c r="AO19" s="4">
        <f t="shared" si="12"/>
        <v>0</v>
      </c>
      <c r="AP19" s="4">
        <f t="shared" si="13"/>
        <v>0</v>
      </c>
      <c r="AQ19" s="4"/>
      <c r="AR19" s="4"/>
      <c r="AS19" s="199"/>
      <c r="AT19" s="4"/>
      <c r="AU19" s="4">
        <f t="shared" si="14"/>
        <v>0</v>
      </c>
      <c r="AV19" s="4"/>
      <c r="AW19" s="199"/>
      <c r="AX19" s="199"/>
      <c r="AY19" s="4"/>
      <c r="AZ19" s="4">
        <f t="shared" si="15"/>
        <v>0</v>
      </c>
      <c r="BA19" s="4"/>
      <c r="BB19" s="4"/>
      <c r="BC19" s="4"/>
      <c r="BD19" s="4"/>
    </row>
    <row r="20" spans="1:56" s="202" customFormat="1" ht="19.95" customHeight="1">
      <c r="A20" s="198">
        <f t="shared" si="16"/>
        <v>14</v>
      </c>
      <c r="B20" s="198">
        <v>1446</v>
      </c>
      <c r="C20" s="198" t="s">
        <v>216</v>
      </c>
      <c r="D20" s="199">
        <v>14250000</v>
      </c>
      <c r="E20" s="199">
        <v>14250000</v>
      </c>
      <c r="F20" s="199">
        <f t="shared" si="0"/>
        <v>0</v>
      </c>
      <c r="G20" s="199">
        <v>5000000</v>
      </c>
      <c r="H20" s="199">
        <v>2780916.5</v>
      </c>
      <c r="I20" s="199">
        <v>1.1599999999999999</v>
      </c>
      <c r="J20" s="199">
        <v>2118058</v>
      </c>
      <c r="K20" s="199">
        <f t="shared" si="2"/>
        <v>2118059.16</v>
      </c>
      <c r="L20" s="199">
        <f t="shared" si="1"/>
        <v>4898975.66</v>
      </c>
      <c r="M20" s="199">
        <f t="shared" si="3"/>
        <v>3101024.34</v>
      </c>
      <c r="N20" s="199">
        <v>6250000</v>
      </c>
      <c r="O20" s="199">
        <f t="shared" si="4"/>
        <v>0</v>
      </c>
      <c r="P20" s="199">
        <f t="shared" si="5"/>
        <v>101024.33999999985</v>
      </c>
      <c r="Q20" s="199">
        <v>3000000</v>
      </c>
      <c r="R20" s="199"/>
      <c r="S20" s="199">
        <f t="shared" si="6"/>
        <v>3000000</v>
      </c>
      <c r="T20" s="199">
        <f t="shared" si="7"/>
        <v>0</v>
      </c>
      <c r="U20" s="199">
        <f t="shared" si="8"/>
        <v>6250000</v>
      </c>
      <c r="V20" s="199">
        <f t="shared" si="9"/>
        <v>6250000</v>
      </c>
      <c r="W20" s="199"/>
      <c r="X20" s="199"/>
      <c r="Y20" s="199"/>
      <c r="Z20" s="198"/>
      <c r="AA20" s="467" t="s">
        <v>591</v>
      </c>
      <c r="AB20" s="198">
        <v>742000</v>
      </c>
      <c r="AC20" s="466"/>
      <c r="AD20" s="4"/>
      <c r="AE20" s="4"/>
      <c r="AF20" s="4"/>
      <c r="AG20" s="4"/>
      <c r="AH20" s="4"/>
      <c r="AI20" s="4"/>
      <c r="AJ20" s="4"/>
      <c r="AK20" s="4">
        <v>6250000</v>
      </c>
      <c r="AL20" s="4">
        <f t="shared" si="10"/>
        <v>6250000</v>
      </c>
      <c r="AM20" s="199"/>
      <c r="AN20" s="199">
        <f t="shared" si="11"/>
        <v>6250000</v>
      </c>
      <c r="AO20" s="4">
        <f t="shared" si="12"/>
        <v>0</v>
      </c>
      <c r="AP20" s="4">
        <f t="shared" si="13"/>
        <v>6250000</v>
      </c>
      <c r="AQ20" s="4"/>
      <c r="AR20" s="4"/>
      <c r="AS20" s="199"/>
      <c r="AT20" s="4"/>
      <c r="AU20" s="4">
        <f t="shared" si="14"/>
        <v>0</v>
      </c>
      <c r="AV20" s="4"/>
      <c r="AW20" s="199"/>
      <c r="AX20" s="199"/>
      <c r="AY20" s="4"/>
      <c r="AZ20" s="4">
        <f t="shared" si="15"/>
        <v>0</v>
      </c>
      <c r="BA20" s="4"/>
      <c r="BB20" s="4"/>
      <c r="BC20" s="4"/>
      <c r="BD20" s="4"/>
    </row>
    <row r="21" spans="1:56" s="202" customFormat="1" ht="19.95" customHeight="1">
      <c r="A21" s="198">
        <f t="shared" si="16"/>
        <v>15</v>
      </c>
      <c r="B21" s="198">
        <v>1455</v>
      </c>
      <c r="C21" s="198" t="s">
        <v>42</v>
      </c>
      <c r="D21" s="199">
        <v>4500000</v>
      </c>
      <c r="E21" s="199">
        <v>4500000</v>
      </c>
      <c r="F21" s="199">
        <f t="shared" si="0"/>
        <v>0</v>
      </c>
      <c r="G21" s="199">
        <v>4500000</v>
      </c>
      <c r="H21" s="199">
        <v>1029179.7</v>
      </c>
      <c r="I21" s="199"/>
      <c r="J21" s="199">
        <v>3323385.7</v>
      </c>
      <c r="K21" s="199">
        <f t="shared" si="2"/>
        <v>3323385.7</v>
      </c>
      <c r="L21" s="199">
        <f t="shared" si="1"/>
        <v>4352565.4000000004</v>
      </c>
      <c r="M21" s="199">
        <f t="shared" si="3"/>
        <v>147434.59999999963</v>
      </c>
      <c r="N21" s="199"/>
      <c r="O21" s="199">
        <f t="shared" si="4"/>
        <v>0</v>
      </c>
      <c r="P21" s="199">
        <f t="shared" si="5"/>
        <v>147434.59999999963</v>
      </c>
      <c r="Q21" s="199"/>
      <c r="R21" s="199"/>
      <c r="S21" s="199">
        <f t="shared" si="6"/>
        <v>0</v>
      </c>
      <c r="T21" s="199">
        <f t="shared" si="7"/>
        <v>0</v>
      </c>
      <c r="U21" s="199">
        <f t="shared" si="8"/>
        <v>0</v>
      </c>
      <c r="V21" s="199">
        <f t="shared" si="9"/>
        <v>0</v>
      </c>
      <c r="W21" s="199"/>
      <c r="X21" s="199"/>
      <c r="Y21" s="199"/>
      <c r="Z21" s="198"/>
      <c r="AA21" s="467"/>
      <c r="AB21" s="198">
        <v>742000</v>
      </c>
      <c r="AC21" s="469"/>
      <c r="AD21" s="486"/>
      <c r="AE21" s="486"/>
      <c r="AF21" s="486"/>
      <c r="AG21" s="486"/>
      <c r="AH21" s="486"/>
      <c r="AI21" s="486"/>
      <c r="AJ21" s="486"/>
      <c r="AK21" s="486"/>
      <c r="AL21" s="486">
        <f t="shared" si="10"/>
        <v>0</v>
      </c>
      <c r="AM21" s="199"/>
      <c r="AN21" s="199">
        <f t="shared" si="11"/>
        <v>0</v>
      </c>
      <c r="AO21" s="4">
        <f t="shared" si="12"/>
        <v>0</v>
      </c>
      <c r="AP21" s="4">
        <f t="shared" si="13"/>
        <v>0</v>
      </c>
      <c r="AQ21" s="4"/>
      <c r="AR21" s="4"/>
      <c r="AS21" s="199"/>
      <c r="AT21" s="4"/>
      <c r="AU21" s="4">
        <f t="shared" si="14"/>
        <v>0</v>
      </c>
      <c r="AV21" s="4"/>
      <c r="AW21" s="199"/>
      <c r="AX21" s="199"/>
      <c r="AY21" s="4"/>
      <c r="AZ21" s="4">
        <f t="shared" si="15"/>
        <v>0</v>
      </c>
      <c r="BA21" s="4"/>
      <c r="BB21" s="4"/>
      <c r="BC21" s="4"/>
      <c r="BD21" s="4"/>
    </row>
    <row r="22" spans="1:56" s="202" customFormat="1" ht="24.6" customHeight="1">
      <c r="A22" s="198">
        <f t="shared" si="16"/>
        <v>16</v>
      </c>
      <c r="B22" s="198">
        <v>1462</v>
      </c>
      <c r="C22" s="198" t="s">
        <v>462</v>
      </c>
      <c r="D22" s="199">
        <v>7500000</v>
      </c>
      <c r="E22" s="199">
        <v>7500000</v>
      </c>
      <c r="F22" s="199">
        <f t="shared" si="0"/>
        <v>0</v>
      </c>
      <c r="G22" s="199">
        <v>4600000</v>
      </c>
      <c r="H22" s="199">
        <v>2520514</v>
      </c>
      <c r="I22" s="199"/>
      <c r="J22" s="199">
        <v>1858217</v>
      </c>
      <c r="K22" s="199">
        <f t="shared" si="2"/>
        <v>1858217</v>
      </c>
      <c r="L22" s="199">
        <f t="shared" si="1"/>
        <v>4378731</v>
      </c>
      <c r="M22" s="199">
        <f t="shared" si="3"/>
        <v>3121269</v>
      </c>
      <c r="N22" s="199"/>
      <c r="O22" s="199">
        <f t="shared" si="4"/>
        <v>0</v>
      </c>
      <c r="P22" s="199">
        <f t="shared" si="5"/>
        <v>221269</v>
      </c>
      <c r="Q22" s="199">
        <v>2900000</v>
      </c>
      <c r="R22" s="199"/>
      <c r="S22" s="199">
        <f t="shared" si="6"/>
        <v>2900000</v>
      </c>
      <c r="T22" s="199">
        <f t="shared" si="7"/>
        <v>0</v>
      </c>
      <c r="U22" s="199">
        <f t="shared" si="8"/>
        <v>0</v>
      </c>
      <c r="V22" s="199">
        <f t="shared" si="9"/>
        <v>0</v>
      </c>
      <c r="W22" s="199"/>
      <c r="X22" s="199"/>
      <c r="Y22" s="199"/>
      <c r="Z22" s="198"/>
      <c r="AA22" s="340" t="s">
        <v>842</v>
      </c>
      <c r="AB22" s="198">
        <v>742000</v>
      </c>
      <c r="AC22" s="469"/>
      <c r="AD22" s="486"/>
      <c r="AE22" s="486"/>
      <c r="AF22" s="486"/>
      <c r="AG22" s="486"/>
      <c r="AH22" s="486"/>
      <c r="AI22" s="486"/>
      <c r="AJ22" s="486"/>
      <c r="AK22" s="486"/>
      <c r="AL22" s="486">
        <f t="shared" si="10"/>
        <v>0</v>
      </c>
      <c r="AM22" s="199"/>
      <c r="AN22" s="199">
        <f t="shared" si="11"/>
        <v>0</v>
      </c>
      <c r="AO22" s="4">
        <f t="shared" si="12"/>
        <v>0</v>
      </c>
      <c r="AP22" s="4">
        <f t="shared" si="13"/>
        <v>0</v>
      </c>
      <c r="AQ22" s="4"/>
      <c r="AR22" s="4"/>
      <c r="AS22" s="199"/>
      <c r="AT22" s="4"/>
      <c r="AU22" s="4">
        <f t="shared" si="14"/>
        <v>0</v>
      </c>
      <c r="AV22" s="4"/>
      <c r="AW22" s="199"/>
      <c r="AX22" s="199"/>
      <c r="AY22" s="4"/>
      <c r="AZ22" s="4">
        <f t="shared" si="15"/>
        <v>0</v>
      </c>
      <c r="BA22" s="4"/>
      <c r="BB22" s="4"/>
      <c r="BC22" s="4"/>
      <c r="BD22" s="4"/>
    </row>
    <row r="23" spans="1:56" s="202" customFormat="1" ht="19.95" customHeight="1">
      <c r="A23" s="198">
        <f t="shared" si="16"/>
        <v>17</v>
      </c>
      <c r="B23" s="198">
        <v>1539</v>
      </c>
      <c r="C23" s="198" t="s">
        <v>44</v>
      </c>
      <c r="D23" s="199">
        <v>16300000</v>
      </c>
      <c r="E23" s="199">
        <v>16300000</v>
      </c>
      <c r="F23" s="199">
        <f t="shared" si="0"/>
        <v>0</v>
      </c>
      <c r="G23" s="199">
        <v>11240068</v>
      </c>
      <c r="H23" s="199">
        <v>4351428</v>
      </c>
      <c r="I23" s="199">
        <v>54264.4</v>
      </c>
      <c r="J23" s="199">
        <v>4279760</v>
      </c>
      <c r="K23" s="199">
        <f t="shared" si="2"/>
        <v>4334024.4000000004</v>
      </c>
      <c r="L23" s="199">
        <f t="shared" si="1"/>
        <v>8685452.4000000004</v>
      </c>
      <c r="M23" s="199">
        <f t="shared" si="3"/>
        <v>7614547.5999999996</v>
      </c>
      <c r="N23" s="199"/>
      <c r="O23" s="199">
        <f t="shared" si="4"/>
        <v>0</v>
      </c>
      <c r="P23" s="199">
        <f t="shared" si="5"/>
        <v>2554615.5999999996</v>
      </c>
      <c r="Q23" s="199">
        <v>5059932</v>
      </c>
      <c r="R23" s="199"/>
      <c r="S23" s="199">
        <f t="shared" si="6"/>
        <v>5059932</v>
      </c>
      <c r="T23" s="199">
        <f t="shared" si="7"/>
        <v>0</v>
      </c>
      <c r="U23" s="199">
        <f t="shared" si="8"/>
        <v>0</v>
      </c>
      <c r="V23" s="199">
        <f t="shared" si="9"/>
        <v>0</v>
      </c>
      <c r="W23" s="199"/>
      <c r="X23" s="199"/>
      <c r="Y23" s="199"/>
      <c r="Z23" s="198"/>
      <c r="AA23" s="340" t="s">
        <v>843</v>
      </c>
      <c r="AB23" s="198">
        <v>742000</v>
      </c>
      <c r="AC23" s="469"/>
      <c r="AD23" s="486"/>
      <c r="AE23" s="486"/>
      <c r="AF23" s="486"/>
      <c r="AG23" s="486"/>
      <c r="AH23" s="486"/>
      <c r="AI23" s="486"/>
      <c r="AJ23" s="486"/>
      <c r="AK23" s="486"/>
      <c r="AL23" s="486">
        <f t="shared" si="10"/>
        <v>0</v>
      </c>
      <c r="AM23" s="199"/>
      <c r="AN23" s="199">
        <f t="shared" si="11"/>
        <v>0</v>
      </c>
      <c r="AO23" s="4">
        <f t="shared" si="12"/>
        <v>0</v>
      </c>
      <c r="AP23" s="4">
        <f t="shared" si="13"/>
        <v>0</v>
      </c>
      <c r="AQ23" s="4"/>
      <c r="AR23" s="4"/>
      <c r="AS23" s="199"/>
      <c r="AT23" s="4"/>
      <c r="AU23" s="4">
        <f t="shared" si="14"/>
        <v>0</v>
      </c>
      <c r="AV23" s="4"/>
      <c r="AW23" s="199"/>
      <c r="AX23" s="199"/>
      <c r="AY23" s="4"/>
      <c r="AZ23" s="4">
        <f t="shared" si="15"/>
        <v>0</v>
      </c>
      <c r="BA23" s="4"/>
      <c r="BB23" s="4"/>
      <c r="BC23" s="4"/>
      <c r="BD23" s="4"/>
    </row>
    <row r="24" spans="1:56" s="202" customFormat="1" ht="19.95" customHeight="1">
      <c r="A24" s="198">
        <f t="shared" si="16"/>
        <v>18</v>
      </c>
      <c r="B24" s="198">
        <v>1588</v>
      </c>
      <c r="C24" s="198" t="s">
        <v>28</v>
      </c>
      <c r="D24" s="199">
        <v>50500000</v>
      </c>
      <c r="E24" s="199">
        <v>50500000</v>
      </c>
      <c r="F24" s="199">
        <f t="shared" si="0"/>
        <v>0</v>
      </c>
      <c r="G24" s="199">
        <f>15500000+5000000</f>
        <v>20500000</v>
      </c>
      <c r="H24" s="199">
        <v>14968892</v>
      </c>
      <c r="I24" s="199">
        <v>682147.41</v>
      </c>
      <c r="J24" s="199">
        <v>3348957</v>
      </c>
      <c r="K24" s="199">
        <f t="shared" si="2"/>
        <v>4031104.41</v>
      </c>
      <c r="L24" s="199">
        <f t="shared" si="1"/>
        <v>18999996.41</v>
      </c>
      <c r="M24" s="199">
        <f t="shared" si="3"/>
        <v>5500003.5899999999</v>
      </c>
      <c r="N24" s="199">
        <f>28000000-2000000</f>
        <v>26000000</v>
      </c>
      <c r="O24" s="199">
        <f t="shared" si="4"/>
        <v>0</v>
      </c>
      <c r="P24" s="199">
        <f t="shared" si="5"/>
        <v>1500003.5899999999</v>
      </c>
      <c r="Q24" s="199"/>
      <c r="R24" s="337">
        <f>7000000-3000000</f>
        <v>4000000</v>
      </c>
      <c r="S24" s="199">
        <f t="shared" si="6"/>
        <v>4000000</v>
      </c>
      <c r="T24" s="199">
        <f t="shared" si="7"/>
        <v>0</v>
      </c>
      <c r="U24" s="199">
        <f t="shared" si="8"/>
        <v>26000000</v>
      </c>
      <c r="V24" s="199">
        <f t="shared" si="9"/>
        <v>26000000</v>
      </c>
      <c r="W24" s="199"/>
      <c r="X24" s="199"/>
      <c r="Y24" s="199"/>
      <c r="Z24" s="198"/>
      <c r="AA24" s="340" t="s">
        <v>592</v>
      </c>
      <c r="AB24" s="198">
        <v>742000</v>
      </c>
      <c r="AC24" s="469"/>
      <c r="AD24" s="486"/>
      <c r="AE24" s="486"/>
      <c r="AF24" s="199"/>
      <c r="AG24" s="199">
        <v>1500000</v>
      </c>
      <c r="AH24" s="199">
        <v>2000000</v>
      </c>
      <c r="AI24" s="199">
        <v>2000000</v>
      </c>
      <c r="AJ24" s="199">
        <v>2500000</v>
      </c>
      <c r="AK24" s="199">
        <v>13000000</v>
      </c>
      <c r="AL24" s="199">
        <f t="shared" si="10"/>
        <v>21000000</v>
      </c>
      <c r="AM24" s="199"/>
      <c r="AN24" s="199">
        <f t="shared" si="11"/>
        <v>21000000</v>
      </c>
      <c r="AO24" s="4">
        <f t="shared" si="12"/>
        <v>5000000</v>
      </c>
      <c r="AP24" s="4">
        <f t="shared" si="13"/>
        <v>21000000</v>
      </c>
      <c r="AQ24" s="4"/>
      <c r="AR24" s="4"/>
      <c r="AS24" s="199"/>
      <c r="AT24" s="4"/>
      <c r="AU24" s="4">
        <f t="shared" si="14"/>
        <v>0</v>
      </c>
      <c r="AV24" s="4"/>
      <c r="AW24" s="199"/>
      <c r="AX24" s="199"/>
      <c r="AY24" s="4"/>
      <c r="AZ24" s="4">
        <f t="shared" si="15"/>
        <v>5000000</v>
      </c>
      <c r="BA24" s="4"/>
      <c r="BB24" s="4"/>
      <c r="BC24" s="4"/>
      <c r="BD24" s="4"/>
    </row>
    <row r="25" spans="1:56" s="202" customFormat="1" ht="13.8">
      <c r="A25" s="198">
        <f t="shared" si="16"/>
        <v>19</v>
      </c>
      <c r="B25" s="198">
        <v>1614</v>
      </c>
      <c r="C25" s="198" t="s">
        <v>463</v>
      </c>
      <c r="D25" s="199">
        <v>7200000</v>
      </c>
      <c r="E25" s="199">
        <v>7200000</v>
      </c>
      <c r="F25" s="199">
        <f t="shared" si="0"/>
        <v>0</v>
      </c>
      <c r="G25" s="199">
        <v>500000</v>
      </c>
      <c r="H25" s="199">
        <v>376009</v>
      </c>
      <c r="I25" s="199">
        <v>4790.92</v>
      </c>
      <c r="J25" s="199">
        <v>9452.2900000000009</v>
      </c>
      <c r="K25" s="199">
        <f t="shared" si="2"/>
        <v>14243.210000000001</v>
      </c>
      <c r="L25" s="199">
        <f t="shared" si="1"/>
        <v>390252.21</v>
      </c>
      <c r="M25" s="199">
        <f t="shared" si="3"/>
        <v>5809747.79</v>
      </c>
      <c r="N25" s="199">
        <v>1000000</v>
      </c>
      <c r="O25" s="199">
        <f t="shared" si="4"/>
        <v>0</v>
      </c>
      <c r="P25" s="199">
        <f t="shared" si="5"/>
        <v>109747.78999999998</v>
      </c>
      <c r="Q25" s="199">
        <v>5700000</v>
      </c>
      <c r="R25" s="199"/>
      <c r="S25" s="199">
        <f t="shared" si="6"/>
        <v>5700000</v>
      </c>
      <c r="T25" s="199">
        <f t="shared" si="7"/>
        <v>0</v>
      </c>
      <c r="U25" s="199">
        <f t="shared" si="8"/>
        <v>1000000</v>
      </c>
      <c r="V25" s="199">
        <f t="shared" si="9"/>
        <v>1000000</v>
      </c>
      <c r="W25" s="199"/>
      <c r="X25" s="199"/>
      <c r="Y25" s="199"/>
      <c r="Z25" s="198"/>
      <c r="AA25" s="340" t="s">
        <v>593</v>
      </c>
      <c r="AB25" s="198">
        <v>742000</v>
      </c>
      <c r="AC25" s="469"/>
      <c r="AD25" s="486"/>
      <c r="AE25" s="486"/>
      <c r="AF25" s="199">
        <v>1000000</v>
      </c>
      <c r="AG25" s="199"/>
      <c r="AH25" s="199"/>
      <c r="AI25" s="199"/>
      <c r="AJ25" s="199"/>
      <c r="AK25" s="199"/>
      <c r="AL25" s="199">
        <f t="shared" si="10"/>
        <v>1000000</v>
      </c>
      <c r="AM25" s="199"/>
      <c r="AN25" s="199">
        <f t="shared" si="11"/>
        <v>1000000</v>
      </c>
      <c r="AO25" s="4">
        <f t="shared" si="12"/>
        <v>0</v>
      </c>
      <c r="AP25" s="4">
        <f t="shared" si="13"/>
        <v>1000000</v>
      </c>
      <c r="AQ25" s="4"/>
      <c r="AR25" s="4"/>
      <c r="AS25" s="199"/>
      <c r="AT25" s="4"/>
      <c r="AU25" s="4">
        <f t="shared" si="14"/>
        <v>0</v>
      </c>
      <c r="AV25" s="4"/>
      <c r="AW25" s="199"/>
      <c r="AX25" s="199"/>
      <c r="AY25" s="4"/>
      <c r="AZ25" s="4">
        <f t="shared" si="15"/>
        <v>0</v>
      </c>
      <c r="BA25" s="4"/>
      <c r="BB25" s="4"/>
      <c r="BC25" s="4"/>
      <c r="BD25" s="4"/>
    </row>
    <row r="26" spans="1:56" s="202" customFormat="1" ht="19.95" customHeight="1">
      <c r="A26" s="198">
        <f t="shared" si="16"/>
        <v>20</v>
      </c>
      <c r="B26" s="198">
        <v>1615</v>
      </c>
      <c r="C26" s="198" t="s">
        <v>151</v>
      </c>
      <c r="D26" s="199">
        <v>27700000</v>
      </c>
      <c r="E26" s="199">
        <v>27700000</v>
      </c>
      <c r="F26" s="199">
        <f t="shared" si="0"/>
        <v>0</v>
      </c>
      <c r="G26" s="199">
        <v>13200000</v>
      </c>
      <c r="H26" s="199">
        <v>8108780</v>
      </c>
      <c r="I26" s="199"/>
      <c r="J26" s="199">
        <v>4500965</v>
      </c>
      <c r="K26" s="199">
        <f t="shared" si="2"/>
        <v>4500965</v>
      </c>
      <c r="L26" s="199">
        <f t="shared" si="1"/>
        <v>12609745</v>
      </c>
      <c r="M26" s="199">
        <f t="shared" si="3"/>
        <v>7590255</v>
      </c>
      <c r="N26" s="199">
        <v>7500000</v>
      </c>
      <c r="O26" s="199">
        <f t="shared" si="4"/>
        <v>0</v>
      </c>
      <c r="P26" s="199">
        <f t="shared" si="5"/>
        <v>590255</v>
      </c>
      <c r="Q26" s="199">
        <v>7000000</v>
      </c>
      <c r="R26" s="199"/>
      <c r="S26" s="199">
        <f t="shared" si="6"/>
        <v>7000000</v>
      </c>
      <c r="T26" s="199">
        <f t="shared" si="7"/>
        <v>0</v>
      </c>
      <c r="U26" s="199">
        <f t="shared" si="8"/>
        <v>7500000</v>
      </c>
      <c r="V26" s="199">
        <f t="shared" si="9"/>
        <v>7500000</v>
      </c>
      <c r="W26" s="199"/>
      <c r="X26" s="199"/>
      <c r="Y26" s="199"/>
      <c r="Z26" s="198"/>
      <c r="AA26" s="340" t="s">
        <v>594</v>
      </c>
      <c r="AB26" s="198">
        <v>742000</v>
      </c>
      <c r="AC26" s="469"/>
      <c r="AD26" s="486"/>
      <c r="AE26" s="486"/>
      <c r="AF26" s="199"/>
      <c r="AG26" s="199"/>
      <c r="AH26" s="199"/>
      <c r="AI26" s="199"/>
      <c r="AJ26" s="199"/>
      <c r="AK26" s="199">
        <f>7500000-7500000</f>
        <v>0</v>
      </c>
      <c r="AL26" s="199">
        <f t="shared" si="10"/>
        <v>0</v>
      </c>
      <c r="AM26" s="199"/>
      <c r="AN26" s="199">
        <f t="shared" si="11"/>
        <v>0</v>
      </c>
      <c r="AO26" s="4">
        <f t="shared" si="12"/>
        <v>7500000</v>
      </c>
      <c r="AP26" s="4">
        <f t="shared" si="13"/>
        <v>0</v>
      </c>
      <c r="AQ26" s="4"/>
      <c r="AR26" s="4"/>
      <c r="AS26" s="199"/>
      <c r="AT26" s="4"/>
      <c r="AU26" s="4">
        <f t="shared" si="14"/>
        <v>0</v>
      </c>
      <c r="AV26" s="4"/>
      <c r="AW26" s="199"/>
      <c r="AX26" s="199"/>
      <c r="AY26" s="4"/>
      <c r="AZ26" s="4">
        <f t="shared" si="15"/>
        <v>7500000</v>
      </c>
      <c r="BA26" s="4"/>
      <c r="BB26" s="4"/>
      <c r="BC26" s="4"/>
      <c r="BD26" s="4"/>
    </row>
    <row r="27" spans="1:56" s="202" customFormat="1" ht="27" customHeight="1">
      <c r="A27" s="198">
        <f t="shared" si="16"/>
        <v>21</v>
      </c>
      <c r="B27" s="487">
        <v>1625</v>
      </c>
      <c r="C27" s="487" t="s">
        <v>1333</v>
      </c>
      <c r="D27" s="199">
        <v>100000000</v>
      </c>
      <c r="E27" s="199">
        <v>100000000</v>
      </c>
      <c r="F27" s="199">
        <f t="shared" si="0"/>
        <v>0</v>
      </c>
      <c r="G27" s="199">
        <v>5125000</v>
      </c>
      <c r="H27" s="199">
        <v>4996356.58</v>
      </c>
      <c r="I27" s="199"/>
      <c r="J27" s="199">
        <v>118788.1</v>
      </c>
      <c r="K27" s="199">
        <f t="shared" si="2"/>
        <v>118788.1</v>
      </c>
      <c r="L27" s="199">
        <f t="shared" si="1"/>
        <v>5115144.68</v>
      </c>
      <c r="M27" s="199">
        <f t="shared" si="3"/>
        <v>9855.320000000298</v>
      </c>
      <c r="N27" s="199"/>
      <c r="O27" s="199">
        <f t="shared" si="4"/>
        <v>94875000</v>
      </c>
      <c r="P27" s="199">
        <f t="shared" si="5"/>
        <v>9855.320000000298</v>
      </c>
      <c r="Q27" s="199"/>
      <c r="R27" s="199"/>
      <c r="S27" s="199">
        <f t="shared" si="6"/>
        <v>0</v>
      </c>
      <c r="T27" s="199">
        <f t="shared" si="7"/>
        <v>0</v>
      </c>
      <c r="U27" s="199">
        <f t="shared" si="8"/>
        <v>0</v>
      </c>
      <c r="V27" s="199">
        <f t="shared" si="9"/>
        <v>0</v>
      </c>
      <c r="W27" s="199"/>
      <c r="X27" s="199"/>
      <c r="Y27" s="199"/>
      <c r="Z27" s="198"/>
      <c r="AA27" s="340"/>
      <c r="AB27" s="198">
        <v>829000</v>
      </c>
      <c r="AC27" s="469"/>
      <c r="AD27" s="486"/>
      <c r="AE27" s="486"/>
      <c r="AF27" s="199"/>
      <c r="AG27" s="199"/>
      <c r="AH27" s="199"/>
      <c r="AI27" s="199"/>
      <c r="AJ27" s="199"/>
      <c r="AK27" s="199"/>
      <c r="AL27" s="199">
        <f t="shared" si="10"/>
        <v>0</v>
      </c>
      <c r="AM27" s="199"/>
      <c r="AN27" s="199">
        <f t="shared" si="11"/>
        <v>0</v>
      </c>
      <c r="AO27" s="4">
        <f t="shared" si="12"/>
        <v>0</v>
      </c>
      <c r="AP27" s="4">
        <f t="shared" si="13"/>
        <v>0</v>
      </c>
      <c r="AQ27" s="4"/>
      <c r="AR27" s="4"/>
      <c r="AS27" s="199"/>
      <c r="AT27" s="4"/>
      <c r="AU27" s="4">
        <f t="shared" si="14"/>
        <v>0</v>
      </c>
      <c r="AV27" s="4"/>
      <c r="AW27" s="199"/>
      <c r="AX27" s="199"/>
      <c r="AY27" s="4"/>
      <c r="AZ27" s="4">
        <f t="shared" si="15"/>
        <v>0</v>
      </c>
      <c r="BA27" s="4"/>
      <c r="BB27" s="4"/>
      <c r="BC27" s="4"/>
      <c r="BD27" s="4"/>
    </row>
    <row r="28" spans="1:56" s="202" customFormat="1" ht="19.95" customHeight="1">
      <c r="A28" s="198">
        <f t="shared" si="16"/>
        <v>22</v>
      </c>
      <c r="B28" s="198">
        <v>1656</v>
      </c>
      <c r="C28" s="198" t="s">
        <v>46</v>
      </c>
      <c r="D28" s="199">
        <f>10800000-1400000</f>
        <v>9400000</v>
      </c>
      <c r="E28" s="199">
        <v>10800000</v>
      </c>
      <c r="F28" s="199">
        <f t="shared" si="0"/>
        <v>-1400000</v>
      </c>
      <c r="G28" s="199">
        <v>10800000</v>
      </c>
      <c r="H28" s="199">
        <v>6188759.0999999996</v>
      </c>
      <c r="I28" s="199">
        <v>30194.89</v>
      </c>
      <c r="J28" s="199">
        <v>2988274.59</v>
      </c>
      <c r="K28" s="199">
        <f t="shared" si="2"/>
        <v>3018469.48</v>
      </c>
      <c r="L28" s="199">
        <f t="shared" si="1"/>
        <v>9207228.5800000001</v>
      </c>
      <c r="M28" s="199">
        <f>P28+S28-1400000</f>
        <v>192771.41999999993</v>
      </c>
      <c r="N28" s="199"/>
      <c r="O28" s="199">
        <f t="shared" si="4"/>
        <v>0</v>
      </c>
      <c r="P28" s="199">
        <f t="shared" si="5"/>
        <v>1592771.42</v>
      </c>
      <c r="Q28" s="199"/>
      <c r="R28" s="199"/>
      <c r="S28" s="199">
        <f t="shared" si="6"/>
        <v>0</v>
      </c>
      <c r="T28" s="199">
        <f t="shared" si="7"/>
        <v>1400000</v>
      </c>
      <c r="U28" s="199">
        <f t="shared" si="8"/>
        <v>-1400000</v>
      </c>
      <c r="V28" s="199">
        <f t="shared" si="9"/>
        <v>-1400000</v>
      </c>
      <c r="W28" s="199"/>
      <c r="X28" s="199"/>
      <c r="Y28" s="199"/>
      <c r="Z28" s="198"/>
      <c r="AA28" s="467"/>
      <c r="AB28" s="198">
        <v>742000</v>
      </c>
      <c r="AC28" s="469"/>
      <c r="AD28" s="486"/>
      <c r="AE28" s="199">
        <v>-1400000</v>
      </c>
      <c r="AF28" s="199"/>
      <c r="AG28" s="199"/>
      <c r="AH28" s="199"/>
      <c r="AI28" s="199"/>
      <c r="AJ28" s="199"/>
      <c r="AK28" s="199"/>
      <c r="AL28" s="199">
        <f t="shared" si="10"/>
        <v>-1400000</v>
      </c>
      <c r="AM28" s="199"/>
      <c r="AN28" s="199">
        <f t="shared" si="11"/>
        <v>-1400000</v>
      </c>
      <c r="AO28" s="4">
        <f t="shared" si="12"/>
        <v>0</v>
      </c>
      <c r="AP28" s="4">
        <f t="shared" si="13"/>
        <v>-1400000</v>
      </c>
      <c r="AQ28" s="4"/>
      <c r="AR28" s="4"/>
      <c r="AS28" s="199"/>
      <c r="AT28" s="4"/>
      <c r="AU28" s="4">
        <f t="shared" si="14"/>
        <v>0</v>
      </c>
      <c r="AV28" s="4"/>
      <c r="AW28" s="199"/>
      <c r="AX28" s="199"/>
      <c r="AY28" s="4"/>
      <c r="AZ28" s="4">
        <f t="shared" si="15"/>
        <v>0</v>
      </c>
      <c r="BA28" s="4"/>
      <c r="BB28" s="4"/>
      <c r="BC28" s="4"/>
      <c r="BD28" s="4"/>
    </row>
    <row r="29" spans="1:56" s="202" customFormat="1" ht="19.95" customHeight="1">
      <c r="A29" s="198">
        <f t="shared" si="16"/>
        <v>23</v>
      </c>
      <c r="B29" s="198">
        <v>1657</v>
      </c>
      <c r="C29" s="198" t="s">
        <v>30</v>
      </c>
      <c r="D29" s="199">
        <v>60000000</v>
      </c>
      <c r="E29" s="199">
        <v>60000000</v>
      </c>
      <c r="F29" s="199">
        <f t="shared" si="0"/>
        <v>0</v>
      </c>
      <c r="G29" s="199">
        <v>10700000</v>
      </c>
      <c r="H29" s="199">
        <v>1285188.1599999999</v>
      </c>
      <c r="I29" s="199">
        <v>167189.14000000001</v>
      </c>
      <c r="J29" s="199">
        <v>1443624.21</v>
      </c>
      <c r="K29" s="199">
        <f t="shared" si="2"/>
        <v>1610813.35</v>
      </c>
      <c r="L29" s="199">
        <f t="shared" si="1"/>
        <v>2896001.51</v>
      </c>
      <c r="M29" s="199">
        <f t="shared" si="3"/>
        <v>10803998.49</v>
      </c>
      <c r="N29" s="199">
        <v>210000</v>
      </c>
      <c r="O29" s="199">
        <f t="shared" si="4"/>
        <v>46090000</v>
      </c>
      <c r="P29" s="199">
        <f t="shared" si="5"/>
        <v>7803998.4900000002</v>
      </c>
      <c r="Q29" s="199">
        <v>3000000</v>
      </c>
      <c r="R29" s="199"/>
      <c r="S29" s="199">
        <f t="shared" si="6"/>
        <v>3000000</v>
      </c>
      <c r="T29" s="199">
        <f t="shared" si="7"/>
        <v>0</v>
      </c>
      <c r="U29" s="199">
        <f t="shared" si="8"/>
        <v>210000</v>
      </c>
      <c r="V29" s="199">
        <f t="shared" si="9"/>
        <v>0</v>
      </c>
      <c r="W29" s="199"/>
      <c r="X29" s="199"/>
      <c r="Y29" s="199"/>
      <c r="Z29" s="199">
        <v>210000</v>
      </c>
      <c r="AA29" s="323" t="s">
        <v>747</v>
      </c>
      <c r="AB29" s="198">
        <v>742000</v>
      </c>
      <c r="AC29" s="469"/>
      <c r="AD29" s="199"/>
      <c r="AE29" s="199"/>
      <c r="AF29" s="199"/>
      <c r="AG29" s="199"/>
      <c r="AH29" s="199"/>
      <c r="AI29" s="199"/>
      <c r="AJ29" s="199"/>
      <c r="AK29" s="199"/>
      <c r="AL29" s="199">
        <f t="shared" si="10"/>
        <v>0</v>
      </c>
      <c r="AM29" s="199"/>
      <c r="AN29" s="199">
        <f t="shared" si="11"/>
        <v>0</v>
      </c>
      <c r="AO29" s="4">
        <f t="shared" si="12"/>
        <v>210000</v>
      </c>
      <c r="AP29" s="4">
        <f t="shared" si="13"/>
        <v>0</v>
      </c>
      <c r="AQ29" s="4"/>
      <c r="AR29" s="4"/>
      <c r="AS29" s="199"/>
      <c r="AT29" s="4"/>
      <c r="AU29" s="4">
        <f t="shared" si="14"/>
        <v>0</v>
      </c>
      <c r="AV29" s="4"/>
      <c r="AW29" s="199"/>
      <c r="AX29" s="199"/>
      <c r="AY29" s="4"/>
      <c r="AZ29" s="4">
        <f t="shared" si="15"/>
        <v>0</v>
      </c>
      <c r="BA29" s="4"/>
      <c r="BB29" s="4"/>
      <c r="BC29" s="4"/>
      <c r="BD29" s="4">
        <v>210000</v>
      </c>
    </row>
    <row r="30" spans="1:56" s="202" customFormat="1" ht="19.95" customHeight="1">
      <c r="A30" s="198">
        <f t="shared" si="16"/>
        <v>24</v>
      </c>
      <c r="B30" s="487">
        <v>1718</v>
      </c>
      <c r="C30" s="487" t="s">
        <v>951</v>
      </c>
      <c r="D30" s="199">
        <f>13200000-2000000</f>
        <v>11200000</v>
      </c>
      <c r="E30" s="199">
        <v>13200000</v>
      </c>
      <c r="F30" s="199">
        <f t="shared" si="0"/>
        <v>-2000000</v>
      </c>
      <c r="G30" s="199">
        <v>13200000</v>
      </c>
      <c r="H30" s="199">
        <v>10395784.18</v>
      </c>
      <c r="I30" s="199">
        <v>32327.69</v>
      </c>
      <c r="J30" s="199">
        <v>591129.55000000005</v>
      </c>
      <c r="K30" s="199">
        <f t="shared" si="2"/>
        <v>623457.24</v>
      </c>
      <c r="L30" s="199">
        <f t="shared" si="1"/>
        <v>11019241.42</v>
      </c>
      <c r="M30" s="199">
        <f>P30+S30-2000000</f>
        <v>180758.58000000007</v>
      </c>
      <c r="N30" s="199"/>
      <c r="O30" s="199">
        <f t="shared" si="4"/>
        <v>0</v>
      </c>
      <c r="P30" s="199">
        <f t="shared" si="5"/>
        <v>2180758.58</v>
      </c>
      <c r="Q30" s="199"/>
      <c r="R30" s="199"/>
      <c r="S30" s="199">
        <f t="shared" si="6"/>
        <v>0</v>
      </c>
      <c r="T30" s="199">
        <f t="shared" si="7"/>
        <v>2000000</v>
      </c>
      <c r="U30" s="199">
        <f t="shared" si="8"/>
        <v>-2000000</v>
      </c>
      <c r="V30" s="199">
        <f t="shared" si="9"/>
        <v>-2000000</v>
      </c>
      <c r="W30" s="199"/>
      <c r="X30" s="199"/>
      <c r="Y30" s="199"/>
      <c r="Z30" s="198"/>
      <c r="AA30" s="340"/>
      <c r="AB30" s="198">
        <v>742000</v>
      </c>
      <c r="AC30" s="469"/>
      <c r="AD30" s="199"/>
      <c r="AE30" s="199">
        <v>-2000000</v>
      </c>
      <c r="AF30" s="199"/>
      <c r="AG30" s="199"/>
      <c r="AH30" s="199"/>
      <c r="AI30" s="199"/>
      <c r="AJ30" s="199"/>
      <c r="AK30" s="199"/>
      <c r="AL30" s="199">
        <f t="shared" si="10"/>
        <v>-2000000</v>
      </c>
      <c r="AM30" s="199"/>
      <c r="AN30" s="199">
        <f t="shared" si="11"/>
        <v>-2000000</v>
      </c>
      <c r="AO30" s="4">
        <f t="shared" si="12"/>
        <v>0</v>
      </c>
      <c r="AP30" s="4">
        <f t="shared" si="13"/>
        <v>-2000000</v>
      </c>
      <c r="AQ30" s="4"/>
      <c r="AR30" s="4"/>
      <c r="AS30" s="199"/>
      <c r="AT30" s="4"/>
      <c r="AU30" s="4">
        <f t="shared" si="14"/>
        <v>0</v>
      </c>
      <c r="AV30" s="4"/>
      <c r="AW30" s="199"/>
      <c r="AX30" s="199"/>
      <c r="AY30" s="4"/>
      <c r="AZ30" s="4">
        <f t="shared" si="15"/>
        <v>0</v>
      </c>
      <c r="BA30" s="4"/>
      <c r="BB30" s="4"/>
      <c r="BC30" s="4"/>
      <c r="BD30" s="4"/>
    </row>
    <row r="31" spans="1:56" s="202" customFormat="1" ht="19.95" customHeight="1">
      <c r="A31" s="198">
        <f t="shared" si="16"/>
        <v>25</v>
      </c>
      <c r="B31" s="198">
        <v>1723</v>
      </c>
      <c r="C31" s="198" t="s">
        <v>31</v>
      </c>
      <c r="D31" s="199">
        <v>17500000</v>
      </c>
      <c r="E31" s="199">
        <v>17500000</v>
      </c>
      <c r="F31" s="199">
        <f t="shared" si="0"/>
        <v>0</v>
      </c>
      <c r="G31" s="199">
        <v>12212460</v>
      </c>
      <c r="H31" s="199">
        <v>1125069</v>
      </c>
      <c r="I31" s="199"/>
      <c r="J31" s="199">
        <v>6598927.9400000004</v>
      </c>
      <c r="K31" s="199">
        <f t="shared" si="2"/>
        <v>6598927.9400000004</v>
      </c>
      <c r="L31" s="199">
        <f t="shared" si="1"/>
        <v>7723996.9400000004</v>
      </c>
      <c r="M31" s="199">
        <f t="shared" si="3"/>
        <v>4488463.0599999996</v>
      </c>
      <c r="N31" s="199">
        <v>5287540</v>
      </c>
      <c r="O31" s="199">
        <f t="shared" si="4"/>
        <v>0</v>
      </c>
      <c r="P31" s="199">
        <f t="shared" si="5"/>
        <v>4488463.0599999996</v>
      </c>
      <c r="Q31" s="199"/>
      <c r="R31" s="199"/>
      <c r="S31" s="199">
        <f t="shared" si="6"/>
        <v>0</v>
      </c>
      <c r="T31" s="199">
        <f t="shared" si="7"/>
        <v>0</v>
      </c>
      <c r="U31" s="199">
        <f t="shared" si="8"/>
        <v>5287540</v>
      </c>
      <c r="V31" s="199">
        <f t="shared" si="9"/>
        <v>825000</v>
      </c>
      <c r="W31" s="199"/>
      <c r="X31" s="199"/>
      <c r="Y31" s="199"/>
      <c r="Z31" s="199">
        <f>8745387-4282847</f>
        <v>4462540</v>
      </c>
      <c r="AA31" s="340" t="s">
        <v>748</v>
      </c>
      <c r="AB31" s="198">
        <v>732000</v>
      </c>
      <c r="AC31" s="469"/>
      <c r="AD31" s="199"/>
      <c r="AE31" s="199"/>
      <c r="AF31" s="199"/>
      <c r="AG31" s="199"/>
      <c r="AH31" s="199"/>
      <c r="AI31" s="199"/>
      <c r="AJ31" s="199"/>
      <c r="AK31" s="199"/>
      <c r="AL31" s="199">
        <f t="shared" si="10"/>
        <v>0</v>
      </c>
      <c r="AM31" s="199"/>
      <c r="AN31" s="199">
        <f t="shared" si="11"/>
        <v>0</v>
      </c>
      <c r="AO31" s="4">
        <f t="shared" si="12"/>
        <v>5287540</v>
      </c>
      <c r="AP31" s="4">
        <f t="shared" si="13"/>
        <v>0</v>
      </c>
      <c r="AQ31" s="4"/>
      <c r="AR31" s="4"/>
      <c r="AS31" s="199"/>
      <c r="AT31" s="4"/>
      <c r="AU31" s="4">
        <f t="shared" si="14"/>
        <v>0</v>
      </c>
      <c r="AV31" s="4"/>
      <c r="AW31" s="199"/>
      <c r="AX31" s="199"/>
      <c r="AY31" s="4"/>
      <c r="AZ31" s="4">
        <f t="shared" si="15"/>
        <v>0</v>
      </c>
      <c r="BA31" s="4"/>
      <c r="BB31" s="4"/>
      <c r="BC31" s="4"/>
      <c r="BD31" s="4">
        <v>5287540</v>
      </c>
    </row>
    <row r="32" spans="1:56" s="202" customFormat="1" ht="27.6">
      <c r="A32" s="198">
        <f t="shared" si="16"/>
        <v>26</v>
      </c>
      <c r="B32" s="487">
        <v>1739</v>
      </c>
      <c r="C32" s="487" t="s">
        <v>1267</v>
      </c>
      <c r="D32" s="199">
        <f>6550000-235000</f>
        <v>6315000</v>
      </c>
      <c r="E32" s="199">
        <v>6550000</v>
      </c>
      <c r="F32" s="199">
        <f t="shared" si="0"/>
        <v>-235000</v>
      </c>
      <c r="G32" s="199">
        <v>6550000</v>
      </c>
      <c r="H32" s="199">
        <v>6261075</v>
      </c>
      <c r="I32" s="199"/>
      <c r="J32" s="199"/>
      <c r="K32" s="199">
        <f t="shared" si="2"/>
        <v>0</v>
      </c>
      <c r="L32" s="199">
        <f t="shared" si="1"/>
        <v>6261075</v>
      </c>
      <c r="M32" s="199">
        <f>P32+S32-235000</f>
        <v>53925</v>
      </c>
      <c r="N32" s="199"/>
      <c r="O32" s="199">
        <f t="shared" si="4"/>
        <v>0</v>
      </c>
      <c r="P32" s="199">
        <f t="shared" si="5"/>
        <v>288925</v>
      </c>
      <c r="Q32" s="199"/>
      <c r="R32" s="199"/>
      <c r="S32" s="199">
        <f t="shared" si="6"/>
        <v>0</v>
      </c>
      <c r="T32" s="199">
        <f t="shared" si="7"/>
        <v>235000</v>
      </c>
      <c r="U32" s="199">
        <f t="shared" si="8"/>
        <v>-235000</v>
      </c>
      <c r="V32" s="199">
        <f t="shared" si="9"/>
        <v>-235000</v>
      </c>
      <c r="W32" s="199"/>
      <c r="X32" s="199"/>
      <c r="Y32" s="199"/>
      <c r="Z32" s="199"/>
      <c r="AA32" s="340"/>
      <c r="AB32" s="198">
        <v>747000</v>
      </c>
      <c r="AC32" s="469"/>
      <c r="AD32" s="199"/>
      <c r="AE32" s="199">
        <v>-235000</v>
      </c>
      <c r="AF32" s="199"/>
      <c r="AG32" s="199"/>
      <c r="AH32" s="199"/>
      <c r="AI32" s="199"/>
      <c r="AJ32" s="199"/>
      <c r="AK32" s="199"/>
      <c r="AL32" s="199">
        <f t="shared" si="10"/>
        <v>-235000</v>
      </c>
      <c r="AM32" s="199"/>
      <c r="AN32" s="199">
        <f t="shared" si="11"/>
        <v>-235000</v>
      </c>
      <c r="AO32" s="4">
        <f t="shared" si="12"/>
        <v>0</v>
      </c>
      <c r="AP32" s="4">
        <f t="shared" si="13"/>
        <v>-235000</v>
      </c>
      <c r="AQ32" s="4"/>
      <c r="AR32" s="4"/>
      <c r="AS32" s="199"/>
      <c r="AT32" s="4"/>
      <c r="AU32" s="4">
        <f t="shared" si="14"/>
        <v>0</v>
      </c>
      <c r="AV32" s="4"/>
      <c r="AW32" s="199"/>
      <c r="AX32" s="199"/>
      <c r="AY32" s="4"/>
      <c r="AZ32" s="4">
        <f t="shared" si="15"/>
        <v>0</v>
      </c>
      <c r="BA32" s="4"/>
      <c r="BB32" s="4"/>
      <c r="BC32" s="4"/>
      <c r="BD32" s="4"/>
    </row>
    <row r="33" spans="1:60" s="202" customFormat="1" ht="19.95" customHeight="1">
      <c r="A33" s="198">
        <f t="shared" si="16"/>
        <v>27</v>
      </c>
      <c r="B33" s="198">
        <v>1751</v>
      </c>
      <c r="C33" s="198" t="s">
        <v>131</v>
      </c>
      <c r="D33" s="199">
        <v>4800000</v>
      </c>
      <c r="E33" s="199">
        <v>4800000</v>
      </c>
      <c r="F33" s="199">
        <f t="shared" si="0"/>
        <v>0</v>
      </c>
      <c r="G33" s="199">
        <v>4000000</v>
      </c>
      <c r="H33" s="199">
        <v>2019880</v>
      </c>
      <c r="I33" s="199"/>
      <c r="J33" s="199">
        <v>972804.37</v>
      </c>
      <c r="K33" s="199">
        <f t="shared" si="2"/>
        <v>972804.37</v>
      </c>
      <c r="L33" s="199">
        <f t="shared" si="1"/>
        <v>2992684.37</v>
      </c>
      <c r="M33" s="199">
        <f t="shared" si="3"/>
        <v>1807315.63</v>
      </c>
      <c r="N33" s="199"/>
      <c r="O33" s="199">
        <f t="shared" si="4"/>
        <v>0</v>
      </c>
      <c r="P33" s="199">
        <f t="shared" si="5"/>
        <v>1007315.6299999999</v>
      </c>
      <c r="Q33" s="199">
        <v>800000</v>
      </c>
      <c r="R33" s="199"/>
      <c r="S33" s="199">
        <f t="shared" si="6"/>
        <v>800000</v>
      </c>
      <c r="T33" s="199">
        <f t="shared" si="7"/>
        <v>0</v>
      </c>
      <c r="U33" s="199">
        <f t="shared" si="8"/>
        <v>0</v>
      </c>
      <c r="V33" s="199">
        <f t="shared" si="9"/>
        <v>0</v>
      </c>
      <c r="W33" s="199"/>
      <c r="X33" s="199"/>
      <c r="Y33" s="199"/>
      <c r="Z33" s="198"/>
      <c r="AA33" s="340" t="s">
        <v>848</v>
      </c>
      <c r="AB33" s="198">
        <v>810000</v>
      </c>
      <c r="AC33" s="469"/>
      <c r="AD33" s="199"/>
      <c r="AE33" s="199"/>
      <c r="AF33" s="199"/>
      <c r="AG33" s="199"/>
      <c r="AH33" s="199"/>
      <c r="AI33" s="199"/>
      <c r="AJ33" s="199"/>
      <c r="AK33" s="199"/>
      <c r="AL33" s="199">
        <f t="shared" si="10"/>
        <v>0</v>
      </c>
      <c r="AM33" s="199"/>
      <c r="AN33" s="199">
        <f t="shared" si="11"/>
        <v>0</v>
      </c>
      <c r="AO33" s="4">
        <f t="shared" si="12"/>
        <v>0</v>
      </c>
      <c r="AP33" s="4">
        <f t="shared" si="13"/>
        <v>0</v>
      </c>
      <c r="AQ33" s="4"/>
      <c r="AR33" s="4"/>
      <c r="AS33" s="199"/>
      <c r="AT33" s="4"/>
      <c r="AU33" s="4">
        <f t="shared" si="14"/>
        <v>0</v>
      </c>
      <c r="AV33" s="4"/>
      <c r="AW33" s="199"/>
      <c r="AX33" s="199"/>
      <c r="AY33" s="4"/>
      <c r="AZ33" s="4">
        <f t="shared" si="15"/>
        <v>0</v>
      </c>
      <c r="BA33" s="4"/>
      <c r="BB33" s="4"/>
      <c r="BC33" s="4"/>
      <c r="BD33" s="4"/>
    </row>
    <row r="34" spans="1:60" s="209" customFormat="1" ht="27.6">
      <c r="A34" s="198">
        <f t="shared" si="16"/>
        <v>28</v>
      </c>
      <c r="B34" s="487">
        <v>1763</v>
      </c>
      <c r="C34" s="487" t="s">
        <v>1268</v>
      </c>
      <c r="D34" s="199">
        <v>4200000</v>
      </c>
      <c r="E34" s="199">
        <v>4200000</v>
      </c>
      <c r="F34" s="199">
        <f t="shared" si="0"/>
        <v>0</v>
      </c>
      <c r="G34" s="199">
        <v>4200000</v>
      </c>
      <c r="H34" s="199">
        <v>4018658</v>
      </c>
      <c r="I34" s="199"/>
      <c r="J34" s="199">
        <v>181154.89</v>
      </c>
      <c r="K34" s="199">
        <f t="shared" si="2"/>
        <v>181154.89</v>
      </c>
      <c r="L34" s="199">
        <f t="shared" si="1"/>
        <v>4199812.8899999997</v>
      </c>
      <c r="M34" s="199">
        <f t="shared" si="3"/>
        <v>187.11000000033528</v>
      </c>
      <c r="N34" s="199"/>
      <c r="O34" s="199">
        <f t="shared" si="4"/>
        <v>0</v>
      </c>
      <c r="P34" s="199">
        <f t="shared" si="5"/>
        <v>187.11000000033528</v>
      </c>
      <c r="Q34" s="199"/>
      <c r="R34" s="199"/>
      <c r="S34" s="199">
        <f t="shared" si="6"/>
        <v>0</v>
      </c>
      <c r="T34" s="199">
        <f t="shared" si="7"/>
        <v>0</v>
      </c>
      <c r="U34" s="199">
        <f t="shared" si="8"/>
        <v>0</v>
      </c>
      <c r="V34" s="199">
        <f t="shared" si="9"/>
        <v>0</v>
      </c>
      <c r="W34" s="199"/>
      <c r="X34" s="199"/>
      <c r="Y34" s="199"/>
      <c r="Z34" s="198"/>
      <c r="AA34" s="340"/>
      <c r="AB34" s="198">
        <v>742000</v>
      </c>
      <c r="AC34" s="469"/>
      <c r="AD34" s="199"/>
      <c r="AE34" s="199"/>
      <c r="AF34" s="199"/>
      <c r="AG34" s="199"/>
      <c r="AH34" s="199"/>
      <c r="AI34" s="199"/>
      <c r="AJ34" s="199"/>
      <c r="AK34" s="199"/>
      <c r="AL34" s="199">
        <f t="shared" si="10"/>
        <v>0</v>
      </c>
      <c r="AM34" s="199"/>
      <c r="AN34" s="199">
        <f t="shared" si="11"/>
        <v>0</v>
      </c>
      <c r="AO34" s="4">
        <f t="shared" si="12"/>
        <v>0</v>
      </c>
      <c r="AP34" s="4">
        <f t="shared" si="13"/>
        <v>0</v>
      </c>
      <c r="AQ34" s="4"/>
      <c r="AR34" s="4"/>
      <c r="AS34" s="199"/>
      <c r="AT34" s="4"/>
      <c r="AU34" s="4">
        <f t="shared" si="14"/>
        <v>0</v>
      </c>
      <c r="AV34" s="4"/>
      <c r="AW34" s="199"/>
      <c r="AX34" s="199"/>
      <c r="AY34" s="4"/>
      <c r="AZ34" s="4">
        <f t="shared" si="15"/>
        <v>0</v>
      </c>
      <c r="BA34" s="4"/>
      <c r="BB34" s="4"/>
      <c r="BC34" s="4"/>
      <c r="BD34" s="4"/>
      <c r="BE34" s="202"/>
      <c r="BF34" s="202"/>
      <c r="BG34" s="202"/>
      <c r="BH34" s="202"/>
    </row>
    <row r="35" spans="1:60" s="210" customFormat="1" ht="19.95" customHeight="1">
      <c r="A35" s="198">
        <f t="shared" si="16"/>
        <v>29</v>
      </c>
      <c r="B35" s="198">
        <v>1765</v>
      </c>
      <c r="C35" s="198" t="s">
        <v>130</v>
      </c>
      <c r="D35" s="199">
        <v>2800000</v>
      </c>
      <c r="E35" s="199">
        <v>2800000</v>
      </c>
      <c r="F35" s="199">
        <f t="shared" si="0"/>
        <v>0</v>
      </c>
      <c r="G35" s="199">
        <v>2800000</v>
      </c>
      <c r="H35" s="199">
        <v>1618136.36</v>
      </c>
      <c r="I35" s="199"/>
      <c r="J35" s="199">
        <v>282628.65999999997</v>
      </c>
      <c r="K35" s="199">
        <f t="shared" si="2"/>
        <v>282628.65999999997</v>
      </c>
      <c r="L35" s="199">
        <f t="shared" si="1"/>
        <v>1900765.02</v>
      </c>
      <c r="M35" s="199">
        <f t="shared" si="3"/>
        <v>899234.98</v>
      </c>
      <c r="N35" s="199"/>
      <c r="O35" s="199">
        <f t="shared" si="4"/>
        <v>0</v>
      </c>
      <c r="P35" s="199">
        <f t="shared" si="5"/>
        <v>899234.98</v>
      </c>
      <c r="Q35" s="199"/>
      <c r="R35" s="199"/>
      <c r="S35" s="199">
        <f t="shared" si="6"/>
        <v>0</v>
      </c>
      <c r="T35" s="199">
        <f t="shared" si="7"/>
        <v>0</v>
      </c>
      <c r="U35" s="199">
        <f t="shared" si="8"/>
        <v>0</v>
      </c>
      <c r="V35" s="199">
        <f t="shared" si="9"/>
        <v>0</v>
      </c>
      <c r="W35" s="199"/>
      <c r="X35" s="199"/>
      <c r="Y35" s="199"/>
      <c r="Z35" s="198"/>
      <c r="AA35" s="340" t="s">
        <v>844</v>
      </c>
      <c r="AB35" s="198">
        <v>742000</v>
      </c>
      <c r="AC35" s="469"/>
      <c r="AD35" s="199"/>
      <c r="AE35" s="199"/>
      <c r="AF35" s="199"/>
      <c r="AG35" s="199"/>
      <c r="AH35" s="199"/>
      <c r="AI35" s="199"/>
      <c r="AJ35" s="199"/>
      <c r="AK35" s="199"/>
      <c r="AL35" s="199">
        <f t="shared" si="10"/>
        <v>0</v>
      </c>
      <c r="AM35" s="199"/>
      <c r="AN35" s="199">
        <f t="shared" si="11"/>
        <v>0</v>
      </c>
      <c r="AO35" s="4">
        <f t="shared" si="12"/>
        <v>0</v>
      </c>
      <c r="AP35" s="4">
        <f t="shared" si="13"/>
        <v>0</v>
      </c>
      <c r="AQ35" s="4"/>
      <c r="AR35" s="4"/>
      <c r="AS35" s="199"/>
      <c r="AT35" s="4"/>
      <c r="AU35" s="4">
        <f t="shared" si="14"/>
        <v>0</v>
      </c>
      <c r="AV35" s="4"/>
      <c r="AW35" s="199"/>
      <c r="AX35" s="199"/>
      <c r="AY35" s="4"/>
      <c r="AZ35" s="4">
        <f t="shared" si="15"/>
        <v>0</v>
      </c>
      <c r="BA35" s="4"/>
      <c r="BB35" s="4"/>
      <c r="BC35" s="4"/>
      <c r="BD35" s="4"/>
      <c r="BE35" s="209"/>
      <c r="BF35" s="209"/>
      <c r="BG35" s="209"/>
      <c r="BH35" s="209"/>
    </row>
    <row r="36" spans="1:60" s="203" customFormat="1" ht="19.95" customHeight="1">
      <c r="A36" s="198">
        <f t="shared" si="16"/>
        <v>30</v>
      </c>
      <c r="B36" s="198">
        <v>1798</v>
      </c>
      <c r="C36" s="198" t="s">
        <v>137</v>
      </c>
      <c r="D36" s="199">
        <v>1600000</v>
      </c>
      <c r="E36" s="199">
        <v>1600000</v>
      </c>
      <c r="F36" s="199">
        <f t="shared" si="0"/>
        <v>0</v>
      </c>
      <c r="G36" s="199">
        <v>1600000</v>
      </c>
      <c r="H36" s="199">
        <v>1450765</v>
      </c>
      <c r="I36" s="199"/>
      <c r="J36" s="199">
        <v>149231.26999999999</v>
      </c>
      <c r="K36" s="199">
        <f t="shared" si="2"/>
        <v>149231.26999999999</v>
      </c>
      <c r="L36" s="199">
        <f t="shared" si="1"/>
        <v>1599996.27</v>
      </c>
      <c r="M36" s="199">
        <f t="shared" si="3"/>
        <v>3.7299999999813735</v>
      </c>
      <c r="N36" s="199"/>
      <c r="O36" s="199">
        <f t="shared" si="4"/>
        <v>0</v>
      </c>
      <c r="P36" s="199">
        <f t="shared" si="5"/>
        <v>3.7299999999813735</v>
      </c>
      <c r="Q36" s="199"/>
      <c r="R36" s="199"/>
      <c r="S36" s="199">
        <f t="shared" si="6"/>
        <v>0</v>
      </c>
      <c r="T36" s="199">
        <f t="shared" si="7"/>
        <v>0</v>
      </c>
      <c r="U36" s="199">
        <f t="shared" si="8"/>
        <v>0</v>
      </c>
      <c r="V36" s="199">
        <f t="shared" si="9"/>
        <v>0</v>
      </c>
      <c r="W36" s="199"/>
      <c r="X36" s="199"/>
      <c r="Y36" s="199"/>
      <c r="Z36" s="198"/>
      <c r="AA36" s="340"/>
      <c r="AB36" s="198">
        <v>829000</v>
      </c>
      <c r="AC36" s="469"/>
      <c r="AD36" s="199"/>
      <c r="AE36" s="199"/>
      <c r="AF36" s="199"/>
      <c r="AG36" s="199"/>
      <c r="AH36" s="199"/>
      <c r="AI36" s="199"/>
      <c r="AJ36" s="199"/>
      <c r="AK36" s="199"/>
      <c r="AL36" s="199">
        <f t="shared" si="10"/>
        <v>0</v>
      </c>
      <c r="AM36" s="199"/>
      <c r="AN36" s="199">
        <f t="shared" si="11"/>
        <v>0</v>
      </c>
      <c r="AO36" s="4">
        <f t="shared" si="12"/>
        <v>0</v>
      </c>
      <c r="AP36" s="4">
        <f t="shared" si="13"/>
        <v>0</v>
      </c>
      <c r="AQ36" s="4"/>
      <c r="AR36" s="4"/>
      <c r="AS36" s="199"/>
      <c r="AT36" s="4"/>
      <c r="AU36" s="4">
        <f t="shared" si="14"/>
        <v>0</v>
      </c>
      <c r="AV36" s="4"/>
      <c r="AW36" s="199"/>
      <c r="AX36" s="199"/>
      <c r="AY36" s="4"/>
      <c r="AZ36" s="4">
        <f t="shared" si="15"/>
        <v>0</v>
      </c>
      <c r="BA36" s="4"/>
      <c r="BB36" s="4"/>
      <c r="BC36" s="4"/>
      <c r="BD36" s="4"/>
    </row>
    <row r="37" spans="1:60" ht="19.95" customHeight="1">
      <c r="A37" s="198">
        <f t="shared" si="16"/>
        <v>31</v>
      </c>
      <c r="B37" s="198">
        <v>1806</v>
      </c>
      <c r="C37" s="198" t="s">
        <v>163</v>
      </c>
      <c r="D37" s="199">
        <f>500000+400000-400000</f>
        <v>500000</v>
      </c>
      <c r="E37" s="199">
        <v>500000</v>
      </c>
      <c r="F37" s="199">
        <f t="shared" si="0"/>
        <v>0</v>
      </c>
      <c r="G37" s="199">
        <v>350000</v>
      </c>
      <c r="H37" s="199">
        <v>111153</v>
      </c>
      <c r="I37" s="199"/>
      <c r="J37" s="199">
        <v>87981.07</v>
      </c>
      <c r="K37" s="199">
        <f t="shared" si="2"/>
        <v>87981.07</v>
      </c>
      <c r="L37" s="199">
        <f t="shared" si="1"/>
        <v>199134.07</v>
      </c>
      <c r="M37" s="199">
        <f t="shared" si="3"/>
        <v>150865.93</v>
      </c>
      <c r="N37" s="199">
        <v>150000</v>
      </c>
      <c r="O37" s="199">
        <f t="shared" si="4"/>
        <v>0</v>
      </c>
      <c r="P37" s="199">
        <f t="shared" si="5"/>
        <v>150865.93</v>
      </c>
      <c r="Q37" s="199"/>
      <c r="R37" s="199"/>
      <c r="S37" s="199">
        <f t="shared" si="6"/>
        <v>0</v>
      </c>
      <c r="T37" s="199">
        <f t="shared" si="7"/>
        <v>0</v>
      </c>
      <c r="U37" s="199">
        <f t="shared" si="8"/>
        <v>150000</v>
      </c>
      <c r="V37" s="199">
        <f t="shared" si="9"/>
        <v>150000</v>
      </c>
      <c r="W37" s="199"/>
      <c r="X37" s="199"/>
      <c r="Y37" s="199"/>
      <c r="Z37" s="198"/>
      <c r="AA37" s="467" t="s">
        <v>464</v>
      </c>
      <c r="AB37" s="198">
        <v>732000</v>
      </c>
      <c r="AC37" s="469"/>
      <c r="AD37" s="199"/>
      <c r="AE37" s="199"/>
      <c r="AF37" s="199"/>
      <c r="AG37" s="199"/>
      <c r="AH37" s="199"/>
      <c r="AI37" s="199"/>
      <c r="AJ37" s="199"/>
      <c r="AK37" s="199">
        <v>150000</v>
      </c>
      <c r="AL37" s="199">
        <f t="shared" si="10"/>
        <v>150000</v>
      </c>
      <c r="AM37" s="199"/>
      <c r="AN37" s="199">
        <f t="shared" si="11"/>
        <v>150000</v>
      </c>
      <c r="AO37" s="4">
        <f t="shared" si="12"/>
        <v>0</v>
      </c>
      <c r="AP37" s="4">
        <f t="shared" si="13"/>
        <v>150000</v>
      </c>
      <c r="AQ37" s="4"/>
      <c r="AR37" s="4"/>
      <c r="AS37" s="199"/>
      <c r="AT37" s="4"/>
      <c r="AU37" s="4">
        <f t="shared" si="14"/>
        <v>0</v>
      </c>
      <c r="AV37" s="4"/>
      <c r="AW37" s="199"/>
      <c r="AX37" s="199"/>
      <c r="AY37" s="4"/>
      <c r="AZ37" s="4">
        <f t="shared" si="15"/>
        <v>0</v>
      </c>
      <c r="BA37" s="4"/>
      <c r="BB37" s="4"/>
      <c r="BC37" s="4"/>
      <c r="BD37" s="4"/>
      <c r="BE37" s="210"/>
      <c r="BF37" s="210"/>
      <c r="BG37" s="210"/>
      <c r="BH37" s="210"/>
    </row>
    <row r="38" spans="1:60" ht="27.6">
      <c r="A38" s="198">
        <f t="shared" si="16"/>
        <v>32</v>
      </c>
      <c r="B38" s="487">
        <v>1808</v>
      </c>
      <c r="C38" s="487" t="s">
        <v>952</v>
      </c>
      <c r="D38" s="199">
        <v>1800000</v>
      </c>
      <c r="E38" s="199">
        <v>1800000</v>
      </c>
      <c r="F38" s="199">
        <f t="shared" si="0"/>
        <v>0</v>
      </c>
      <c r="G38" s="199">
        <v>1800000</v>
      </c>
      <c r="H38" s="199">
        <v>1512488</v>
      </c>
      <c r="I38" s="199"/>
      <c r="J38" s="199">
        <v>287218</v>
      </c>
      <c r="K38" s="199">
        <f t="shared" si="2"/>
        <v>287218</v>
      </c>
      <c r="L38" s="199">
        <f t="shared" si="1"/>
        <v>1799706</v>
      </c>
      <c r="M38" s="199">
        <f t="shared" si="3"/>
        <v>294</v>
      </c>
      <c r="N38" s="199"/>
      <c r="O38" s="199">
        <f t="shared" si="4"/>
        <v>0</v>
      </c>
      <c r="P38" s="199">
        <f t="shared" si="5"/>
        <v>294</v>
      </c>
      <c r="Q38" s="199"/>
      <c r="R38" s="199"/>
      <c r="S38" s="199">
        <f t="shared" si="6"/>
        <v>0</v>
      </c>
      <c r="T38" s="199">
        <f t="shared" si="7"/>
        <v>0</v>
      </c>
      <c r="U38" s="199">
        <f t="shared" si="8"/>
        <v>0</v>
      </c>
      <c r="V38" s="199">
        <f t="shared" si="9"/>
        <v>0</v>
      </c>
      <c r="W38" s="199"/>
      <c r="X38" s="199"/>
      <c r="Y38" s="199"/>
      <c r="Z38" s="198"/>
      <c r="AA38" s="340"/>
      <c r="AB38" s="198">
        <v>742000</v>
      </c>
      <c r="AC38" s="469"/>
      <c r="AD38" s="486"/>
      <c r="AE38" s="486"/>
      <c r="AF38" s="486"/>
      <c r="AG38" s="486"/>
      <c r="AH38" s="486"/>
      <c r="AI38" s="486"/>
      <c r="AJ38" s="486"/>
      <c r="AK38" s="486"/>
      <c r="AL38" s="486">
        <f t="shared" si="10"/>
        <v>0</v>
      </c>
      <c r="AM38" s="199"/>
      <c r="AN38" s="199">
        <f t="shared" si="11"/>
        <v>0</v>
      </c>
      <c r="AO38" s="4">
        <f t="shared" si="12"/>
        <v>0</v>
      </c>
      <c r="AP38" s="4">
        <f t="shared" si="13"/>
        <v>0</v>
      </c>
      <c r="AQ38" s="4"/>
      <c r="AR38" s="4"/>
      <c r="AS38" s="199"/>
      <c r="AT38" s="4"/>
      <c r="AU38" s="4">
        <f t="shared" si="14"/>
        <v>0</v>
      </c>
      <c r="AV38" s="4"/>
      <c r="AW38" s="199"/>
      <c r="AX38" s="199"/>
      <c r="AY38" s="4"/>
      <c r="AZ38" s="4">
        <f t="shared" si="15"/>
        <v>0</v>
      </c>
      <c r="BA38" s="4"/>
      <c r="BB38" s="4"/>
      <c r="BC38" s="4"/>
      <c r="BD38" s="4"/>
    </row>
    <row r="39" spans="1:60" ht="27.6">
      <c r="A39" s="198">
        <f t="shared" si="16"/>
        <v>33</v>
      </c>
      <c r="B39" s="487">
        <v>1809</v>
      </c>
      <c r="C39" s="487" t="s">
        <v>953</v>
      </c>
      <c r="D39" s="199">
        <v>680000</v>
      </c>
      <c r="E39" s="199">
        <v>680000</v>
      </c>
      <c r="F39" s="199">
        <f t="shared" si="0"/>
        <v>0</v>
      </c>
      <c r="G39" s="199">
        <v>680000</v>
      </c>
      <c r="H39" s="199">
        <v>266012</v>
      </c>
      <c r="I39" s="199"/>
      <c r="J39" s="199">
        <v>413976.2</v>
      </c>
      <c r="K39" s="199">
        <f t="shared" si="2"/>
        <v>413976.2</v>
      </c>
      <c r="L39" s="199">
        <f t="shared" si="1"/>
        <v>679988.2</v>
      </c>
      <c r="M39" s="199">
        <f t="shared" si="3"/>
        <v>11.800000000046566</v>
      </c>
      <c r="N39" s="199"/>
      <c r="O39" s="199">
        <f t="shared" si="4"/>
        <v>0</v>
      </c>
      <c r="P39" s="199">
        <f t="shared" si="5"/>
        <v>11.800000000046566</v>
      </c>
      <c r="Q39" s="199"/>
      <c r="R39" s="199"/>
      <c r="S39" s="199">
        <f t="shared" si="6"/>
        <v>0</v>
      </c>
      <c r="T39" s="199">
        <f t="shared" si="7"/>
        <v>0</v>
      </c>
      <c r="U39" s="199">
        <f t="shared" si="8"/>
        <v>0</v>
      </c>
      <c r="V39" s="199">
        <f t="shared" si="9"/>
        <v>0</v>
      </c>
      <c r="W39" s="199"/>
      <c r="X39" s="199"/>
      <c r="Y39" s="199"/>
      <c r="Z39" s="198"/>
      <c r="AA39" s="340"/>
      <c r="AB39" s="198">
        <v>742000</v>
      </c>
      <c r="AC39" s="469"/>
      <c r="AD39" s="486"/>
      <c r="AE39" s="486"/>
      <c r="AF39" s="486"/>
      <c r="AG39" s="486"/>
      <c r="AH39" s="486"/>
      <c r="AI39" s="486"/>
      <c r="AJ39" s="486"/>
      <c r="AK39" s="486"/>
      <c r="AL39" s="486">
        <f t="shared" si="10"/>
        <v>0</v>
      </c>
      <c r="AM39" s="199"/>
      <c r="AN39" s="199">
        <f t="shared" si="11"/>
        <v>0</v>
      </c>
      <c r="AO39" s="4">
        <f t="shared" si="12"/>
        <v>0</v>
      </c>
      <c r="AP39" s="4">
        <f t="shared" si="13"/>
        <v>0</v>
      </c>
      <c r="AQ39" s="4"/>
      <c r="AR39" s="4"/>
      <c r="AS39" s="199"/>
      <c r="AT39" s="4"/>
      <c r="AU39" s="4">
        <f t="shared" si="14"/>
        <v>0</v>
      </c>
      <c r="AV39" s="4"/>
      <c r="AW39" s="199"/>
      <c r="AX39" s="199"/>
      <c r="AY39" s="4"/>
      <c r="AZ39" s="4">
        <f t="shared" si="15"/>
        <v>0</v>
      </c>
      <c r="BA39" s="4"/>
      <c r="BB39" s="4"/>
      <c r="BC39" s="4"/>
      <c r="BD39" s="4"/>
    </row>
    <row r="40" spans="1:60" s="334" customFormat="1" ht="19.95" customHeight="1">
      <c r="A40" s="198">
        <f t="shared" si="16"/>
        <v>34</v>
      </c>
      <c r="B40" s="340">
        <v>1819</v>
      </c>
      <c r="C40" s="198" t="s">
        <v>884</v>
      </c>
      <c r="D40" s="199">
        <v>18000000</v>
      </c>
      <c r="E40" s="199">
        <v>18000000</v>
      </c>
      <c r="F40" s="199">
        <f t="shared" si="0"/>
        <v>0</v>
      </c>
      <c r="G40" s="199">
        <v>2200000</v>
      </c>
      <c r="H40" s="199">
        <v>834062.1</v>
      </c>
      <c r="I40" s="199"/>
      <c r="J40" s="199">
        <v>1031865.66</v>
      </c>
      <c r="K40" s="199">
        <f t="shared" si="2"/>
        <v>1031865.66</v>
      </c>
      <c r="L40" s="199">
        <f t="shared" si="1"/>
        <v>1865927.76</v>
      </c>
      <c r="M40" s="199">
        <f t="shared" si="3"/>
        <v>7334072.2400000002</v>
      </c>
      <c r="N40" s="199">
        <f>8800000-2000000</f>
        <v>6800000</v>
      </c>
      <c r="O40" s="199">
        <f t="shared" si="4"/>
        <v>2000000</v>
      </c>
      <c r="P40" s="199">
        <f t="shared" si="5"/>
        <v>334072.24</v>
      </c>
      <c r="Q40" s="199">
        <v>7000000</v>
      </c>
      <c r="R40" s="199"/>
      <c r="S40" s="199">
        <f t="shared" si="6"/>
        <v>7000000</v>
      </c>
      <c r="T40" s="199">
        <f t="shared" si="7"/>
        <v>0</v>
      </c>
      <c r="U40" s="199">
        <f t="shared" si="8"/>
        <v>6800000</v>
      </c>
      <c r="V40" s="199">
        <f t="shared" si="9"/>
        <v>6800000</v>
      </c>
      <c r="W40" s="199"/>
      <c r="X40" s="199"/>
      <c r="Y40" s="199"/>
      <c r="Z40" s="198"/>
      <c r="AA40" s="340" t="s">
        <v>890</v>
      </c>
      <c r="AB40" s="198">
        <v>742000</v>
      </c>
      <c r="AC40" s="466"/>
      <c r="AD40" s="4"/>
      <c r="AE40" s="4"/>
      <c r="AF40" s="4"/>
      <c r="AG40" s="4"/>
      <c r="AH40" s="4"/>
      <c r="AI40" s="4"/>
      <c r="AJ40" s="4"/>
      <c r="AK40" s="4">
        <v>3000000</v>
      </c>
      <c r="AL40" s="4">
        <f t="shared" si="10"/>
        <v>3000000</v>
      </c>
      <c r="AM40" s="199"/>
      <c r="AN40" s="199">
        <f t="shared" si="11"/>
        <v>3000000</v>
      </c>
      <c r="AO40" s="4">
        <f t="shared" si="12"/>
        <v>3800000</v>
      </c>
      <c r="AP40" s="4">
        <f t="shared" si="13"/>
        <v>3000000</v>
      </c>
      <c r="AQ40" s="4"/>
      <c r="AR40" s="4"/>
      <c r="AS40" s="199"/>
      <c r="AT40" s="4"/>
      <c r="AU40" s="4">
        <f t="shared" si="14"/>
        <v>0</v>
      </c>
      <c r="AV40" s="4"/>
      <c r="AW40" s="199"/>
      <c r="AX40" s="199"/>
      <c r="AY40" s="4"/>
      <c r="AZ40" s="4">
        <f t="shared" si="15"/>
        <v>3800000</v>
      </c>
      <c r="BA40" s="4"/>
      <c r="BB40" s="4"/>
      <c r="BC40" s="4"/>
      <c r="BD40" s="4"/>
    </row>
    <row r="41" spans="1:60" s="202" customFormat="1" ht="19.95" customHeight="1">
      <c r="A41" s="198">
        <f t="shared" si="16"/>
        <v>35</v>
      </c>
      <c r="B41" s="198">
        <v>1825</v>
      </c>
      <c r="C41" s="198" t="s">
        <v>596</v>
      </c>
      <c r="D41" s="199">
        <f>36500000+2500000</f>
        <v>39000000</v>
      </c>
      <c r="E41" s="199">
        <v>36500000</v>
      </c>
      <c r="F41" s="199">
        <f t="shared" si="0"/>
        <v>2500000</v>
      </c>
      <c r="G41" s="199">
        <v>35681330</v>
      </c>
      <c r="H41" s="199">
        <v>29050568</v>
      </c>
      <c r="I41" s="199"/>
      <c r="J41" s="199">
        <v>1133344.95</v>
      </c>
      <c r="K41" s="199">
        <f t="shared" si="2"/>
        <v>1133344.95</v>
      </c>
      <c r="L41" s="199">
        <f t="shared" si="1"/>
        <v>30183912.949999999</v>
      </c>
      <c r="M41" s="199">
        <f t="shared" si="3"/>
        <v>5497417.0500000007</v>
      </c>
      <c r="N41" s="199">
        <f>2500000+818670</f>
        <v>3318670</v>
      </c>
      <c r="O41" s="199">
        <f t="shared" si="4"/>
        <v>0</v>
      </c>
      <c r="P41" s="199">
        <f t="shared" si="5"/>
        <v>5497417.0500000007</v>
      </c>
      <c r="Q41" s="199"/>
      <c r="R41" s="199"/>
      <c r="S41" s="199">
        <f t="shared" si="6"/>
        <v>0</v>
      </c>
      <c r="T41" s="199">
        <f t="shared" si="7"/>
        <v>0</v>
      </c>
      <c r="U41" s="199">
        <f t="shared" si="8"/>
        <v>3318670</v>
      </c>
      <c r="V41" s="199">
        <f t="shared" si="9"/>
        <v>3318670</v>
      </c>
      <c r="W41" s="199"/>
      <c r="X41" s="199"/>
      <c r="Y41" s="199"/>
      <c r="Z41" s="198"/>
      <c r="AA41" s="468" t="s">
        <v>595</v>
      </c>
      <c r="AB41" s="198">
        <v>810000</v>
      </c>
      <c r="AC41" s="466"/>
      <c r="AD41" s="4"/>
      <c r="AE41" s="4">
        <v>3318670</v>
      </c>
      <c r="AF41" s="4"/>
      <c r="AG41" s="4"/>
      <c r="AH41" s="4"/>
      <c r="AI41" s="4"/>
      <c r="AJ41" s="4"/>
      <c r="AK41" s="4"/>
      <c r="AL41" s="4">
        <f t="shared" si="10"/>
        <v>3318670</v>
      </c>
      <c r="AM41" s="199"/>
      <c r="AN41" s="199">
        <f t="shared" si="11"/>
        <v>3318670</v>
      </c>
      <c r="AO41" s="4">
        <f t="shared" si="12"/>
        <v>0</v>
      </c>
      <c r="AP41" s="4">
        <f t="shared" si="13"/>
        <v>3318670</v>
      </c>
      <c r="AQ41" s="4"/>
      <c r="AR41" s="4"/>
      <c r="AS41" s="199"/>
      <c r="AT41" s="4"/>
      <c r="AU41" s="4">
        <f t="shared" si="14"/>
        <v>0</v>
      </c>
      <c r="AV41" s="4"/>
      <c r="AW41" s="199"/>
      <c r="AX41" s="199"/>
      <c r="AY41" s="4"/>
      <c r="AZ41" s="4">
        <f t="shared" si="15"/>
        <v>0</v>
      </c>
      <c r="BA41" s="4"/>
      <c r="BB41" s="4"/>
      <c r="BC41" s="4"/>
      <c r="BD41" s="4"/>
    </row>
    <row r="42" spans="1:60" s="334" customFormat="1" ht="19.95" customHeight="1">
      <c r="A42" s="198">
        <f t="shared" si="16"/>
        <v>36</v>
      </c>
      <c r="B42" s="340">
        <v>1833</v>
      </c>
      <c r="C42" s="198" t="s">
        <v>156</v>
      </c>
      <c r="D42" s="199">
        <f>28500000+500000</f>
        <v>29000000</v>
      </c>
      <c r="E42" s="199">
        <v>24000000</v>
      </c>
      <c r="F42" s="199">
        <f t="shared" si="0"/>
        <v>5000000</v>
      </c>
      <c r="G42" s="199">
        <f>500000+500000</f>
        <v>1000000</v>
      </c>
      <c r="H42" s="199">
        <v>107269</v>
      </c>
      <c r="I42" s="199"/>
      <c r="J42" s="199">
        <v>361413.42</v>
      </c>
      <c r="K42" s="199">
        <f t="shared" si="2"/>
        <v>361413.42</v>
      </c>
      <c r="L42" s="199">
        <f t="shared" si="1"/>
        <v>468682.42</v>
      </c>
      <c r="M42" s="199">
        <f t="shared" si="3"/>
        <v>531317.58000000007</v>
      </c>
      <c r="N42" s="199">
        <f>28000000-14000000</f>
        <v>14000000</v>
      </c>
      <c r="O42" s="199">
        <f t="shared" si="4"/>
        <v>14000000</v>
      </c>
      <c r="P42" s="199">
        <f t="shared" si="5"/>
        <v>531317.58000000007</v>
      </c>
      <c r="Q42" s="199"/>
      <c r="R42" s="199"/>
      <c r="S42" s="199">
        <f t="shared" si="6"/>
        <v>0</v>
      </c>
      <c r="T42" s="199">
        <f t="shared" si="7"/>
        <v>0</v>
      </c>
      <c r="U42" s="199">
        <f t="shared" si="8"/>
        <v>14000000</v>
      </c>
      <c r="V42" s="199">
        <f t="shared" si="9"/>
        <v>14000000</v>
      </c>
      <c r="W42" s="199"/>
      <c r="X42" s="199"/>
      <c r="Y42" s="199"/>
      <c r="Z42" s="198"/>
      <c r="AA42" s="340" t="s">
        <v>853</v>
      </c>
      <c r="AB42" s="198">
        <v>829000</v>
      </c>
      <c r="AC42" s="466"/>
      <c r="AD42" s="4"/>
      <c r="AE42" s="4"/>
      <c r="AF42" s="4"/>
      <c r="AG42" s="4"/>
      <c r="AH42" s="4">
        <v>150000</v>
      </c>
      <c r="AI42" s="4"/>
      <c r="AJ42" s="4"/>
      <c r="AK42" s="199">
        <v>13850000</v>
      </c>
      <c r="AL42" s="4">
        <f t="shared" si="10"/>
        <v>14000000</v>
      </c>
      <c r="AM42" s="199"/>
      <c r="AN42" s="199">
        <f t="shared" si="11"/>
        <v>14000000</v>
      </c>
      <c r="AO42" s="4">
        <f t="shared" si="12"/>
        <v>0</v>
      </c>
      <c r="AP42" s="4">
        <f t="shared" si="13"/>
        <v>14000000</v>
      </c>
      <c r="AQ42" s="4"/>
      <c r="AR42" s="4"/>
      <c r="AS42" s="199"/>
      <c r="AT42" s="4"/>
      <c r="AU42" s="4">
        <f t="shared" si="14"/>
        <v>0</v>
      </c>
      <c r="AV42" s="4"/>
      <c r="AW42" s="199"/>
      <c r="AX42" s="199"/>
      <c r="AY42" s="4"/>
      <c r="AZ42" s="4">
        <f t="shared" si="15"/>
        <v>0</v>
      </c>
      <c r="BA42" s="4"/>
      <c r="BB42" s="4"/>
      <c r="BC42" s="4"/>
      <c r="BD42" s="4"/>
    </row>
    <row r="43" spans="1:60" s="202" customFormat="1" ht="19.95" customHeight="1">
      <c r="A43" s="198">
        <f t="shared" si="16"/>
        <v>37</v>
      </c>
      <c r="B43" s="198">
        <v>1834</v>
      </c>
      <c r="C43" s="198" t="s">
        <v>146</v>
      </c>
      <c r="D43" s="199">
        <v>60000000</v>
      </c>
      <c r="E43" s="199">
        <v>60000000</v>
      </c>
      <c r="F43" s="199">
        <f t="shared" si="0"/>
        <v>0</v>
      </c>
      <c r="G43" s="199">
        <v>2100000</v>
      </c>
      <c r="H43" s="199">
        <v>373623</v>
      </c>
      <c r="I43" s="199"/>
      <c r="J43" s="199">
        <v>1654455.23</v>
      </c>
      <c r="K43" s="199">
        <f t="shared" si="2"/>
        <v>1654455.23</v>
      </c>
      <c r="L43" s="199">
        <f t="shared" si="1"/>
        <v>2028078.23</v>
      </c>
      <c r="M43" s="199">
        <f t="shared" si="3"/>
        <v>3071921.77</v>
      </c>
      <c r="N43" s="199">
        <f>38500000-10000000</f>
        <v>28500000</v>
      </c>
      <c r="O43" s="199">
        <f t="shared" si="4"/>
        <v>26400000</v>
      </c>
      <c r="P43" s="199">
        <f t="shared" si="5"/>
        <v>71921.770000000019</v>
      </c>
      <c r="Q43" s="199">
        <v>3000000</v>
      </c>
      <c r="R43" s="199"/>
      <c r="S43" s="199">
        <f t="shared" si="6"/>
        <v>3000000</v>
      </c>
      <c r="T43" s="199">
        <f t="shared" si="7"/>
        <v>0</v>
      </c>
      <c r="U43" s="199">
        <f t="shared" si="8"/>
        <v>28500000</v>
      </c>
      <c r="V43" s="199">
        <f t="shared" si="9"/>
        <v>28500000</v>
      </c>
      <c r="W43" s="199"/>
      <c r="X43" s="199"/>
      <c r="Y43" s="199"/>
      <c r="Z43" s="198"/>
      <c r="AA43" s="340" t="s">
        <v>854</v>
      </c>
      <c r="AB43" s="198">
        <v>824000</v>
      </c>
      <c r="AC43" s="466"/>
      <c r="AD43" s="4"/>
      <c r="AE43" s="4"/>
      <c r="AF43" s="4"/>
      <c r="AG43" s="4"/>
      <c r="AH43" s="4"/>
      <c r="AI43" s="4"/>
      <c r="AJ43" s="4"/>
      <c r="AK43" s="199">
        <v>28500000</v>
      </c>
      <c r="AL43" s="4">
        <f t="shared" si="10"/>
        <v>28500000</v>
      </c>
      <c r="AM43" s="199"/>
      <c r="AN43" s="199">
        <f t="shared" si="11"/>
        <v>28500000</v>
      </c>
      <c r="AO43" s="4">
        <f t="shared" si="12"/>
        <v>0</v>
      </c>
      <c r="AP43" s="4">
        <f t="shared" si="13"/>
        <v>28500000</v>
      </c>
      <c r="AQ43" s="4"/>
      <c r="AR43" s="4"/>
      <c r="AS43" s="199"/>
      <c r="AT43" s="4"/>
      <c r="AU43" s="4">
        <f t="shared" si="14"/>
        <v>0</v>
      </c>
      <c r="AV43" s="4"/>
      <c r="AW43" s="199"/>
      <c r="AX43" s="199"/>
      <c r="AY43" s="4"/>
      <c r="AZ43" s="4">
        <f t="shared" si="15"/>
        <v>0</v>
      </c>
      <c r="BA43" s="4"/>
      <c r="BB43" s="4"/>
      <c r="BC43" s="4"/>
      <c r="BD43" s="4"/>
    </row>
    <row r="44" spans="1:60" s="202" customFormat="1" ht="27.6">
      <c r="A44" s="198">
        <f t="shared" si="16"/>
        <v>38</v>
      </c>
      <c r="B44" s="198">
        <v>1835</v>
      </c>
      <c r="C44" s="198" t="s">
        <v>760</v>
      </c>
      <c r="D44" s="199">
        <v>58000000</v>
      </c>
      <c r="E44" s="199">
        <v>58000000</v>
      </c>
      <c r="F44" s="199">
        <f t="shared" si="0"/>
        <v>0</v>
      </c>
      <c r="G44" s="199">
        <v>3400000</v>
      </c>
      <c r="H44" s="199">
        <v>383268</v>
      </c>
      <c r="I44" s="199"/>
      <c r="J44" s="199">
        <v>2926209.49</v>
      </c>
      <c r="K44" s="199">
        <f t="shared" si="2"/>
        <v>2926209.49</v>
      </c>
      <c r="L44" s="199">
        <f t="shared" si="1"/>
        <v>3309477.49</v>
      </c>
      <c r="M44" s="199">
        <f t="shared" si="3"/>
        <v>8590522.5099999998</v>
      </c>
      <c r="N44" s="199"/>
      <c r="O44" s="199">
        <f t="shared" si="4"/>
        <v>46100000</v>
      </c>
      <c r="P44" s="199">
        <f t="shared" si="5"/>
        <v>90522.509999999776</v>
      </c>
      <c r="Q44" s="199">
        <v>8500000</v>
      </c>
      <c r="R44" s="199"/>
      <c r="S44" s="199">
        <f t="shared" si="6"/>
        <v>8500000</v>
      </c>
      <c r="T44" s="199">
        <f t="shared" si="7"/>
        <v>0</v>
      </c>
      <c r="U44" s="199">
        <f t="shared" si="8"/>
        <v>0</v>
      </c>
      <c r="V44" s="199">
        <f t="shared" si="9"/>
        <v>0</v>
      </c>
      <c r="W44" s="199"/>
      <c r="X44" s="199"/>
      <c r="Y44" s="199"/>
      <c r="Z44" s="198"/>
      <c r="AA44" s="466" t="s">
        <v>855</v>
      </c>
      <c r="AB44" s="198">
        <v>824000</v>
      </c>
      <c r="AC44" s="469"/>
      <c r="AD44" s="486"/>
      <c r="AE44" s="486"/>
      <c r="AF44" s="486"/>
      <c r="AG44" s="486"/>
      <c r="AH44" s="486"/>
      <c r="AI44" s="486"/>
      <c r="AJ44" s="486"/>
      <c r="AK44" s="486"/>
      <c r="AL44" s="486">
        <f t="shared" si="10"/>
        <v>0</v>
      </c>
      <c r="AM44" s="199"/>
      <c r="AN44" s="199">
        <f t="shared" si="11"/>
        <v>0</v>
      </c>
      <c r="AO44" s="4">
        <f t="shared" si="12"/>
        <v>0</v>
      </c>
      <c r="AP44" s="4">
        <f t="shared" si="13"/>
        <v>0</v>
      </c>
      <c r="AQ44" s="4"/>
      <c r="AR44" s="4"/>
      <c r="AS44" s="199"/>
      <c r="AT44" s="4"/>
      <c r="AU44" s="4">
        <f t="shared" si="14"/>
        <v>0</v>
      </c>
      <c r="AV44" s="4"/>
      <c r="AW44" s="199"/>
      <c r="AX44" s="199"/>
      <c r="AY44" s="4"/>
      <c r="AZ44" s="4">
        <f t="shared" si="15"/>
        <v>0</v>
      </c>
      <c r="BA44" s="4"/>
      <c r="BB44" s="4"/>
      <c r="BC44" s="4"/>
      <c r="BD44" s="4"/>
    </row>
    <row r="45" spans="1:60" s="202" customFormat="1" ht="19.95" customHeight="1">
      <c r="A45" s="198">
        <f t="shared" si="16"/>
        <v>39</v>
      </c>
      <c r="B45" s="198">
        <v>1836</v>
      </c>
      <c r="C45" s="198" t="s">
        <v>147</v>
      </c>
      <c r="D45" s="199">
        <v>500000</v>
      </c>
      <c r="E45" s="199">
        <v>500000</v>
      </c>
      <c r="F45" s="199">
        <f t="shared" si="0"/>
        <v>0</v>
      </c>
      <c r="G45" s="199">
        <v>500000</v>
      </c>
      <c r="H45" s="199">
        <v>375301</v>
      </c>
      <c r="I45" s="199"/>
      <c r="J45" s="199">
        <v>124609.99</v>
      </c>
      <c r="K45" s="199">
        <f t="shared" si="2"/>
        <v>124609.99</v>
      </c>
      <c r="L45" s="199">
        <f t="shared" si="1"/>
        <v>499910.99</v>
      </c>
      <c r="M45" s="199">
        <f t="shared" si="3"/>
        <v>89.010000000009313</v>
      </c>
      <c r="N45" s="199"/>
      <c r="O45" s="199">
        <f t="shared" si="4"/>
        <v>0</v>
      </c>
      <c r="P45" s="199">
        <f t="shared" si="5"/>
        <v>89.010000000009313</v>
      </c>
      <c r="Q45" s="199"/>
      <c r="R45" s="199"/>
      <c r="S45" s="199">
        <f t="shared" si="6"/>
        <v>0</v>
      </c>
      <c r="T45" s="199">
        <f t="shared" si="7"/>
        <v>0</v>
      </c>
      <c r="U45" s="199">
        <f t="shared" si="8"/>
        <v>0</v>
      </c>
      <c r="V45" s="199">
        <f t="shared" si="9"/>
        <v>0</v>
      </c>
      <c r="W45" s="199"/>
      <c r="X45" s="199"/>
      <c r="Y45" s="199"/>
      <c r="Z45" s="198"/>
      <c r="AA45" s="340"/>
      <c r="AB45" s="198">
        <v>930000</v>
      </c>
      <c r="AC45" s="469"/>
      <c r="AD45" s="486"/>
      <c r="AE45" s="486"/>
      <c r="AF45" s="486"/>
      <c r="AG45" s="486"/>
      <c r="AH45" s="486"/>
      <c r="AI45" s="486"/>
      <c r="AJ45" s="486"/>
      <c r="AK45" s="486"/>
      <c r="AL45" s="486">
        <f t="shared" si="10"/>
        <v>0</v>
      </c>
      <c r="AM45" s="199"/>
      <c r="AN45" s="199">
        <f t="shared" si="11"/>
        <v>0</v>
      </c>
      <c r="AO45" s="4">
        <f t="shared" si="12"/>
        <v>0</v>
      </c>
      <c r="AP45" s="4">
        <f t="shared" si="13"/>
        <v>0</v>
      </c>
      <c r="AQ45" s="4"/>
      <c r="AR45" s="4"/>
      <c r="AS45" s="199"/>
      <c r="AT45" s="4"/>
      <c r="AU45" s="4">
        <f t="shared" si="14"/>
        <v>0</v>
      </c>
      <c r="AV45" s="4"/>
      <c r="AW45" s="199"/>
      <c r="AX45" s="199"/>
      <c r="AY45" s="4"/>
      <c r="AZ45" s="4">
        <f t="shared" si="15"/>
        <v>0</v>
      </c>
      <c r="BA45" s="4"/>
      <c r="BB45" s="4"/>
      <c r="BC45" s="4"/>
      <c r="BD45" s="4"/>
    </row>
    <row r="46" spans="1:60" ht="19.95" customHeight="1">
      <c r="A46" s="198">
        <f t="shared" si="16"/>
        <v>40</v>
      </c>
      <c r="B46" s="340">
        <v>1837</v>
      </c>
      <c r="C46" s="198" t="s">
        <v>157</v>
      </c>
      <c r="D46" s="199">
        <v>3200000</v>
      </c>
      <c r="E46" s="199">
        <v>3200000</v>
      </c>
      <c r="F46" s="199">
        <f t="shared" si="0"/>
        <v>0</v>
      </c>
      <c r="G46" s="199">
        <v>3200000</v>
      </c>
      <c r="H46" s="199">
        <v>787498</v>
      </c>
      <c r="I46" s="199"/>
      <c r="J46" s="199">
        <v>1227495</v>
      </c>
      <c r="K46" s="199">
        <f t="shared" si="2"/>
        <v>1227495</v>
      </c>
      <c r="L46" s="199">
        <f t="shared" si="1"/>
        <v>2014993</v>
      </c>
      <c r="M46" s="199">
        <f t="shared" si="3"/>
        <v>1185007</v>
      </c>
      <c r="N46" s="199"/>
      <c r="O46" s="199">
        <f t="shared" si="4"/>
        <v>0</v>
      </c>
      <c r="P46" s="199">
        <f t="shared" si="5"/>
        <v>1185007</v>
      </c>
      <c r="Q46" s="199"/>
      <c r="R46" s="199"/>
      <c r="S46" s="199">
        <f t="shared" si="6"/>
        <v>0</v>
      </c>
      <c r="T46" s="199">
        <f t="shared" si="7"/>
        <v>0</v>
      </c>
      <c r="U46" s="199">
        <f t="shared" si="8"/>
        <v>0</v>
      </c>
      <c r="V46" s="199">
        <f t="shared" si="9"/>
        <v>0</v>
      </c>
      <c r="W46" s="199"/>
      <c r="X46" s="199"/>
      <c r="Y46" s="199"/>
      <c r="Z46" s="198"/>
      <c r="AA46" s="340" t="s">
        <v>849</v>
      </c>
      <c r="AB46" s="198">
        <v>850000</v>
      </c>
      <c r="AC46" s="469"/>
      <c r="AD46" s="486"/>
      <c r="AE46" s="486"/>
      <c r="AF46" s="486"/>
      <c r="AG46" s="486"/>
      <c r="AH46" s="486"/>
      <c r="AI46" s="486"/>
      <c r="AJ46" s="486"/>
      <c r="AK46" s="486"/>
      <c r="AL46" s="486">
        <f t="shared" si="10"/>
        <v>0</v>
      </c>
      <c r="AM46" s="199"/>
      <c r="AN46" s="199">
        <f t="shared" si="11"/>
        <v>0</v>
      </c>
      <c r="AO46" s="4">
        <f t="shared" si="12"/>
        <v>0</v>
      </c>
      <c r="AP46" s="4">
        <f t="shared" si="13"/>
        <v>0</v>
      </c>
      <c r="AQ46" s="4"/>
      <c r="AR46" s="4"/>
      <c r="AS46" s="199"/>
      <c r="AT46" s="4"/>
      <c r="AU46" s="4">
        <f t="shared" si="14"/>
        <v>0</v>
      </c>
      <c r="AV46" s="4"/>
      <c r="AW46" s="199"/>
      <c r="AX46" s="199"/>
      <c r="AY46" s="4"/>
      <c r="AZ46" s="4">
        <f t="shared" si="15"/>
        <v>0</v>
      </c>
      <c r="BA46" s="4"/>
      <c r="BB46" s="4"/>
      <c r="BC46" s="4"/>
      <c r="BD46" s="4"/>
    </row>
    <row r="47" spans="1:60" s="334" customFormat="1" ht="19.95" customHeight="1">
      <c r="A47" s="198">
        <f t="shared" si="16"/>
        <v>41</v>
      </c>
      <c r="B47" s="340">
        <v>1845</v>
      </c>
      <c r="C47" s="198" t="s">
        <v>158</v>
      </c>
      <c r="D47" s="199">
        <v>1500000</v>
      </c>
      <c r="E47" s="199">
        <v>1500000</v>
      </c>
      <c r="F47" s="199">
        <f t="shared" si="0"/>
        <v>0</v>
      </c>
      <c r="G47" s="199">
        <v>500000</v>
      </c>
      <c r="H47" s="199">
        <v>360072</v>
      </c>
      <c r="I47" s="199"/>
      <c r="J47" s="199">
        <v>39892</v>
      </c>
      <c r="K47" s="199">
        <f t="shared" si="2"/>
        <v>39892</v>
      </c>
      <c r="L47" s="199">
        <f t="shared" si="1"/>
        <v>399964</v>
      </c>
      <c r="M47" s="199">
        <f t="shared" si="3"/>
        <v>100036</v>
      </c>
      <c r="N47" s="199">
        <v>1000000</v>
      </c>
      <c r="O47" s="199">
        <f t="shared" si="4"/>
        <v>0</v>
      </c>
      <c r="P47" s="199">
        <f t="shared" si="5"/>
        <v>100036</v>
      </c>
      <c r="Q47" s="199"/>
      <c r="R47" s="199"/>
      <c r="S47" s="199">
        <f t="shared" si="6"/>
        <v>0</v>
      </c>
      <c r="T47" s="199">
        <f t="shared" si="7"/>
        <v>0</v>
      </c>
      <c r="U47" s="199">
        <f t="shared" si="8"/>
        <v>1000000</v>
      </c>
      <c r="V47" s="199">
        <f t="shared" si="9"/>
        <v>1000000</v>
      </c>
      <c r="W47" s="199"/>
      <c r="X47" s="199"/>
      <c r="Y47" s="199"/>
      <c r="Z47" s="198"/>
      <c r="AA47" s="340" t="s">
        <v>632</v>
      </c>
      <c r="AB47" s="198">
        <v>742000</v>
      </c>
      <c r="AC47" s="466"/>
      <c r="AD47" s="4">
        <v>250000</v>
      </c>
      <c r="AE47" s="4"/>
      <c r="AF47" s="4"/>
      <c r="AG47" s="4"/>
      <c r="AH47" s="4"/>
      <c r="AI47" s="4"/>
      <c r="AJ47" s="4"/>
      <c r="AK47" s="4">
        <v>750000</v>
      </c>
      <c r="AL47" s="4">
        <f t="shared" si="10"/>
        <v>1000000</v>
      </c>
      <c r="AM47" s="199"/>
      <c r="AN47" s="199">
        <f t="shared" si="11"/>
        <v>1000000</v>
      </c>
      <c r="AO47" s="4">
        <f t="shared" si="12"/>
        <v>0</v>
      </c>
      <c r="AP47" s="4">
        <f t="shared" si="13"/>
        <v>1000000</v>
      </c>
      <c r="AQ47" s="4"/>
      <c r="AR47" s="4"/>
      <c r="AS47" s="199"/>
      <c r="AT47" s="4"/>
      <c r="AU47" s="4">
        <f t="shared" si="14"/>
        <v>0</v>
      </c>
      <c r="AV47" s="4"/>
      <c r="AW47" s="199"/>
      <c r="AX47" s="199"/>
      <c r="AY47" s="4"/>
      <c r="AZ47" s="4">
        <f t="shared" si="15"/>
        <v>0</v>
      </c>
      <c r="BA47" s="4"/>
      <c r="BB47" s="4"/>
      <c r="BC47" s="4"/>
      <c r="BD47" s="4"/>
    </row>
    <row r="48" spans="1:60" s="334" customFormat="1" ht="19.95" customHeight="1">
      <c r="A48" s="198">
        <f t="shared" si="16"/>
        <v>42</v>
      </c>
      <c r="B48" s="340">
        <v>1846</v>
      </c>
      <c r="C48" s="198" t="s">
        <v>159</v>
      </c>
      <c r="D48" s="199">
        <f>2500000-2000000</f>
        <v>500000</v>
      </c>
      <c r="E48" s="199">
        <v>2500000</v>
      </c>
      <c r="F48" s="199">
        <f t="shared" si="0"/>
        <v>-2000000</v>
      </c>
      <c r="G48" s="199">
        <v>2500000</v>
      </c>
      <c r="H48" s="199">
        <v>200055</v>
      </c>
      <c r="I48" s="199"/>
      <c r="J48" s="199">
        <v>299944.23</v>
      </c>
      <c r="K48" s="199">
        <f t="shared" si="2"/>
        <v>299944.23</v>
      </c>
      <c r="L48" s="199">
        <f t="shared" si="1"/>
        <v>499999.23</v>
      </c>
      <c r="M48" s="199">
        <f>P48+S48-1000000</f>
        <v>0.77000000001862645</v>
      </c>
      <c r="N48" s="199"/>
      <c r="O48" s="199">
        <f t="shared" si="4"/>
        <v>0</v>
      </c>
      <c r="P48" s="199">
        <f t="shared" si="5"/>
        <v>2000000.77</v>
      </c>
      <c r="Q48" s="337">
        <v>-1000000</v>
      </c>
      <c r="R48" s="199"/>
      <c r="S48" s="199">
        <f t="shared" si="6"/>
        <v>-1000000</v>
      </c>
      <c r="T48" s="199">
        <f t="shared" si="7"/>
        <v>1000000</v>
      </c>
      <c r="U48" s="199">
        <f t="shared" si="8"/>
        <v>-1000000</v>
      </c>
      <c r="V48" s="199">
        <f t="shared" si="9"/>
        <v>-1000000</v>
      </c>
      <c r="W48" s="199"/>
      <c r="X48" s="199"/>
      <c r="Y48" s="199"/>
      <c r="Z48" s="198"/>
      <c r="AA48" s="340"/>
      <c r="AB48" s="198">
        <v>732000</v>
      </c>
      <c r="AC48" s="466"/>
      <c r="AD48" s="4"/>
      <c r="AE48" s="4">
        <v>-1000000</v>
      </c>
      <c r="AF48" s="4"/>
      <c r="AG48" s="4"/>
      <c r="AH48" s="4"/>
      <c r="AI48" s="4"/>
      <c r="AJ48" s="4"/>
      <c r="AK48" s="4"/>
      <c r="AL48" s="4">
        <f t="shared" si="10"/>
        <v>-1000000</v>
      </c>
      <c r="AM48" s="199"/>
      <c r="AN48" s="199">
        <f t="shared" si="11"/>
        <v>-1000000</v>
      </c>
      <c r="AO48" s="4">
        <f t="shared" si="12"/>
        <v>0</v>
      </c>
      <c r="AP48" s="4">
        <f t="shared" si="13"/>
        <v>-1000000</v>
      </c>
      <c r="AQ48" s="4"/>
      <c r="AR48" s="4"/>
      <c r="AS48" s="199"/>
      <c r="AT48" s="4"/>
      <c r="AU48" s="4">
        <f t="shared" ref="AU48:AU92" si="17">AM48-AV48-AW48-AX48-AY48</f>
        <v>0</v>
      </c>
      <c r="AV48" s="4"/>
      <c r="AW48" s="199"/>
      <c r="AX48" s="199"/>
      <c r="AY48" s="4"/>
      <c r="AZ48" s="4">
        <f t="shared" si="15"/>
        <v>0</v>
      </c>
      <c r="BA48" s="4"/>
      <c r="BB48" s="4"/>
      <c r="BC48" s="4"/>
      <c r="BD48" s="4"/>
    </row>
    <row r="49" spans="1:58" ht="27.6">
      <c r="A49" s="198">
        <f t="shared" si="16"/>
        <v>43</v>
      </c>
      <c r="B49" s="487">
        <v>1847</v>
      </c>
      <c r="C49" s="487" t="s">
        <v>954</v>
      </c>
      <c r="D49" s="199">
        <v>7340000</v>
      </c>
      <c r="E49" s="199">
        <v>7340000</v>
      </c>
      <c r="F49" s="199">
        <f t="shared" si="0"/>
        <v>0</v>
      </c>
      <c r="G49" s="199">
        <v>7340000</v>
      </c>
      <c r="H49" s="199">
        <v>6930897</v>
      </c>
      <c r="I49" s="199"/>
      <c r="J49" s="199">
        <v>381754.9</v>
      </c>
      <c r="K49" s="199">
        <f t="shared" si="2"/>
        <v>381754.9</v>
      </c>
      <c r="L49" s="199">
        <f t="shared" si="1"/>
        <v>7312651.9000000004</v>
      </c>
      <c r="M49" s="199">
        <f t="shared" si="3"/>
        <v>27348.099999999627</v>
      </c>
      <c r="N49" s="199"/>
      <c r="O49" s="199">
        <f t="shared" si="4"/>
        <v>0</v>
      </c>
      <c r="P49" s="199">
        <f t="shared" si="5"/>
        <v>27348.099999999627</v>
      </c>
      <c r="Q49" s="199"/>
      <c r="R49" s="199"/>
      <c r="S49" s="199">
        <f t="shared" si="6"/>
        <v>0</v>
      </c>
      <c r="T49" s="199">
        <f t="shared" si="7"/>
        <v>0</v>
      </c>
      <c r="U49" s="199">
        <f t="shared" si="8"/>
        <v>0</v>
      </c>
      <c r="V49" s="199">
        <f t="shared" si="9"/>
        <v>0</v>
      </c>
      <c r="W49" s="199"/>
      <c r="X49" s="199"/>
      <c r="Y49" s="199"/>
      <c r="Z49" s="198"/>
      <c r="AA49" s="340"/>
      <c r="AB49" s="198">
        <v>810000</v>
      </c>
      <c r="AC49" s="469"/>
      <c r="AD49" s="486"/>
      <c r="AE49" s="486"/>
      <c r="AF49" s="486"/>
      <c r="AG49" s="486"/>
      <c r="AH49" s="486"/>
      <c r="AI49" s="486"/>
      <c r="AJ49" s="486"/>
      <c r="AK49" s="486"/>
      <c r="AL49" s="486">
        <f t="shared" si="10"/>
        <v>0</v>
      </c>
      <c r="AM49" s="199"/>
      <c r="AN49" s="199">
        <f t="shared" si="11"/>
        <v>0</v>
      </c>
      <c r="AO49" s="4">
        <f t="shared" si="12"/>
        <v>0</v>
      </c>
      <c r="AP49" s="4">
        <f t="shared" si="13"/>
        <v>0</v>
      </c>
      <c r="AQ49" s="4"/>
      <c r="AR49" s="4"/>
      <c r="AS49" s="199"/>
      <c r="AT49" s="4"/>
      <c r="AU49" s="4">
        <f t="shared" si="17"/>
        <v>0</v>
      </c>
      <c r="AV49" s="4"/>
      <c r="AW49" s="199"/>
      <c r="AX49" s="199"/>
      <c r="AY49" s="4"/>
      <c r="AZ49" s="4">
        <f t="shared" si="15"/>
        <v>0</v>
      </c>
      <c r="BA49" s="4"/>
      <c r="BB49" s="4"/>
      <c r="BC49" s="4"/>
      <c r="BD49" s="4"/>
    </row>
    <row r="50" spans="1:58" s="202" customFormat="1" ht="19.95" customHeight="1">
      <c r="A50" s="487">
        <f t="shared" si="16"/>
        <v>44</v>
      </c>
      <c r="B50" s="487">
        <v>1854</v>
      </c>
      <c r="C50" s="487" t="s">
        <v>955</v>
      </c>
      <c r="D50" s="199">
        <v>5600000</v>
      </c>
      <c r="E50" s="199">
        <v>5600000</v>
      </c>
      <c r="F50" s="199">
        <f t="shared" si="0"/>
        <v>0</v>
      </c>
      <c r="G50" s="199">
        <v>5600000</v>
      </c>
      <c r="H50" s="199">
        <v>5518363</v>
      </c>
      <c r="I50" s="199"/>
      <c r="J50" s="199">
        <v>80238</v>
      </c>
      <c r="K50" s="199">
        <f t="shared" si="2"/>
        <v>80238</v>
      </c>
      <c r="L50" s="199">
        <f t="shared" si="1"/>
        <v>5598601</v>
      </c>
      <c r="M50" s="199">
        <f t="shared" si="3"/>
        <v>1399</v>
      </c>
      <c r="N50" s="199"/>
      <c r="O50" s="199">
        <f t="shared" si="4"/>
        <v>0</v>
      </c>
      <c r="P50" s="199">
        <f t="shared" si="5"/>
        <v>1399</v>
      </c>
      <c r="Q50" s="199"/>
      <c r="R50" s="199"/>
      <c r="S50" s="199">
        <f t="shared" si="6"/>
        <v>0</v>
      </c>
      <c r="T50" s="199">
        <f t="shared" si="7"/>
        <v>0</v>
      </c>
      <c r="U50" s="199">
        <f t="shared" si="8"/>
        <v>0</v>
      </c>
      <c r="V50" s="199">
        <f t="shared" si="9"/>
        <v>0</v>
      </c>
      <c r="W50" s="199"/>
      <c r="X50" s="199"/>
      <c r="Y50" s="199"/>
      <c r="Z50" s="198"/>
      <c r="AA50" s="340"/>
      <c r="AB50" s="198">
        <v>810000</v>
      </c>
      <c r="AC50" s="469"/>
      <c r="AD50" s="486"/>
      <c r="AE50" s="486"/>
      <c r="AF50" s="486"/>
      <c r="AG50" s="486"/>
      <c r="AH50" s="486"/>
      <c r="AI50" s="486"/>
      <c r="AJ50" s="486"/>
      <c r="AK50" s="486"/>
      <c r="AL50" s="486">
        <f t="shared" si="10"/>
        <v>0</v>
      </c>
      <c r="AM50" s="199"/>
      <c r="AN50" s="199">
        <f t="shared" si="11"/>
        <v>0</v>
      </c>
      <c r="AO50" s="4">
        <f t="shared" si="12"/>
        <v>0</v>
      </c>
      <c r="AP50" s="4">
        <f t="shared" si="13"/>
        <v>0</v>
      </c>
      <c r="AQ50" s="4"/>
      <c r="AR50" s="4"/>
      <c r="AS50" s="199"/>
      <c r="AT50" s="4"/>
      <c r="AU50" s="4">
        <f t="shared" si="17"/>
        <v>0</v>
      </c>
      <c r="AV50" s="4"/>
      <c r="AW50" s="199"/>
      <c r="AX50" s="199"/>
      <c r="AY50" s="4"/>
      <c r="AZ50" s="4">
        <f t="shared" si="15"/>
        <v>0</v>
      </c>
      <c r="BA50" s="4"/>
      <c r="BB50" s="4"/>
      <c r="BC50" s="4"/>
      <c r="BD50" s="4"/>
    </row>
    <row r="51" spans="1:58" s="5" customFormat="1" ht="19.95" customHeight="1">
      <c r="A51" s="198">
        <f t="shared" si="16"/>
        <v>45</v>
      </c>
      <c r="B51" s="3">
        <v>1872</v>
      </c>
      <c r="C51" s="3" t="s">
        <v>761</v>
      </c>
      <c r="D51" s="4">
        <v>1160000</v>
      </c>
      <c r="E51" s="4">
        <v>1160000</v>
      </c>
      <c r="F51" s="4">
        <f t="shared" si="0"/>
        <v>0</v>
      </c>
      <c r="G51" s="4">
        <v>1160000</v>
      </c>
      <c r="H51" s="4">
        <v>0</v>
      </c>
      <c r="I51" s="4"/>
      <c r="J51" s="4">
        <v>200860.45</v>
      </c>
      <c r="K51" s="4">
        <f>SUM(I51:J51)</f>
        <v>200860.45</v>
      </c>
      <c r="L51" s="4">
        <f>H51+K51</f>
        <v>200860.45</v>
      </c>
      <c r="M51" s="4">
        <f>P51+S51</f>
        <v>959139.55</v>
      </c>
      <c r="N51" s="4"/>
      <c r="O51" s="4">
        <f t="shared" si="4"/>
        <v>0</v>
      </c>
      <c r="P51" s="4">
        <f t="shared" si="5"/>
        <v>959139.55</v>
      </c>
      <c r="Q51" s="4"/>
      <c r="R51" s="4"/>
      <c r="S51" s="4">
        <f t="shared" si="6"/>
        <v>0</v>
      </c>
      <c r="T51" s="4">
        <f t="shared" si="7"/>
        <v>0</v>
      </c>
      <c r="U51" s="4">
        <f t="shared" si="8"/>
        <v>0</v>
      </c>
      <c r="V51" s="4">
        <f>U51-Z51-W51-Y51</f>
        <v>0</v>
      </c>
      <c r="W51" s="4"/>
      <c r="X51" s="4"/>
      <c r="Y51" s="4"/>
      <c r="Z51" s="3"/>
      <c r="AA51" s="323" t="s">
        <v>845</v>
      </c>
      <c r="AB51" s="3">
        <v>742000</v>
      </c>
      <c r="AC51" s="3"/>
      <c r="AD51" s="486"/>
      <c r="AE51" s="486"/>
      <c r="AF51" s="486"/>
      <c r="AG51" s="486"/>
      <c r="AH51" s="486"/>
      <c r="AI51" s="486"/>
      <c r="AJ51" s="486"/>
      <c r="AK51" s="486"/>
      <c r="AL51" s="486">
        <f t="shared" si="10"/>
        <v>0</v>
      </c>
      <c r="AM51" s="199"/>
      <c r="AN51" s="199">
        <f t="shared" si="11"/>
        <v>0</v>
      </c>
      <c r="AO51" s="4">
        <f t="shared" si="12"/>
        <v>0</v>
      </c>
      <c r="AP51" s="4">
        <f t="shared" si="13"/>
        <v>0</v>
      </c>
      <c r="AQ51" s="4"/>
      <c r="AR51" s="4"/>
      <c r="AS51" s="199"/>
      <c r="AT51" s="4"/>
      <c r="AU51" s="4">
        <f t="shared" si="17"/>
        <v>0</v>
      </c>
      <c r="AV51" s="4"/>
      <c r="AW51" s="199"/>
      <c r="AX51" s="199"/>
      <c r="AY51" s="4"/>
      <c r="AZ51" s="4">
        <f t="shared" si="15"/>
        <v>0</v>
      </c>
      <c r="BA51" s="4"/>
      <c r="BB51" s="4"/>
      <c r="BC51" s="4"/>
      <c r="BD51" s="4"/>
    </row>
    <row r="52" spans="1:58" ht="19.95" customHeight="1">
      <c r="A52" s="198">
        <f t="shared" si="16"/>
        <v>46</v>
      </c>
      <c r="B52" s="340">
        <v>1894</v>
      </c>
      <c r="C52" s="198" t="s">
        <v>359</v>
      </c>
      <c r="D52" s="199">
        <v>7100000</v>
      </c>
      <c r="E52" s="199">
        <v>7100000</v>
      </c>
      <c r="F52" s="199">
        <f t="shared" si="0"/>
        <v>0</v>
      </c>
      <c r="G52" s="199">
        <v>7100000</v>
      </c>
      <c r="H52" s="199">
        <v>6050308</v>
      </c>
      <c r="I52" s="199"/>
      <c r="J52" s="199">
        <v>1046091.4</v>
      </c>
      <c r="K52" s="199">
        <f t="shared" si="2"/>
        <v>1046091.4</v>
      </c>
      <c r="L52" s="199">
        <f t="shared" si="1"/>
        <v>7096399.4000000004</v>
      </c>
      <c r="M52" s="199">
        <f t="shared" si="3"/>
        <v>3600.5999999996275</v>
      </c>
      <c r="N52" s="199"/>
      <c r="O52" s="199">
        <f t="shared" si="4"/>
        <v>0</v>
      </c>
      <c r="P52" s="199">
        <f t="shared" si="5"/>
        <v>3600.5999999996275</v>
      </c>
      <c r="Q52" s="199"/>
      <c r="R52" s="199"/>
      <c r="S52" s="199">
        <f t="shared" si="6"/>
        <v>0</v>
      </c>
      <c r="T52" s="199">
        <f t="shared" si="7"/>
        <v>0</v>
      </c>
      <c r="U52" s="199">
        <f t="shared" si="8"/>
        <v>0</v>
      </c>
      <c r="V52" s="199">
        <f t="shared" si="9"/>
        <v>0</v>
      </c>
      <c r="W52" s="199"/>
      <c r="X52" s="199"/>
      <c r="Y52" s="199"/>
      <c r="Z52" s="198"/>
      <c r="AA52" s="340"/>
      <c r="AB52" s="198">
        <v>810000</v>
      </c>
      <c r="AC52" s="469"/>
      <c r="AD52" s="486"/>
      <c r="AE52" s="486"/>
      <c r="AF52" s="486"/>
      <c r="AG52" s="486"/>
      <c r="AH52" s="486"/>
      <c r="AI52" s="486"/>
      <c r="AJ52" s="486"/>
      <c r="AK52" s="486"/>
      <c r="AL52" s="486">
        <f t="shared" si="10"/>
        <v>0</v>
      </c>
      <c r="AM52" s="199"/>
      <c r="AN52" s="199">
        <f t="shared" si="11"/>
        <v>0</v>
      </c>
      <c r="AO52" s="4">
        <f t="shared" si="12"/>
        <v>0</v>
      </c>
      <c r="AP52" s="4">
        <f t="shared" si="13"/>
        <v>0</v>
      </c>
      <c r="AQ52" s="4"/>
      <c r="AR52" s="4"/>
      <c r="AS52" s="199"/>
      <c r="AT52" s="4"/>
      <c r="AU52" s="4">
        <f t="shared" si="17"/>
        <v>0</v>
      </c>
      <c r="AV52" s="4"/>
      <c r="AW52" s="199"/>
      <c r="AX52" s="199"/>
      <c r="AY52" s="4"/>
      <c r="AZ52" s="4">
        <f t="shared" si="15"/>
        <v>0</v>
      </c>
      <c r="BA52" s="4"/>
      <c r="BB52" s="4"/>
      <c r="BC52" s="4"/>
      <c r="BD52" s="4"/>
    </row>
    <row r="53" spans="1:58" s="334" customFormat="1" ht="19.95" customHeight="1">
      <c r="A53" s="198">
        <f t="shared" si="16"/>
        <v>47</v>
      </c>
      <c r="B53" s="340">
        <v>1896</v>
      </c>
      <c r="C53" s="198" t="s">
        <v>762</v>
      </c>
      <c r="D53" s="199">
        <v>18560000</v>
      </c>
      <c r="E53" s="199">
        <v>18560000</v>
      </c>
      <c r="F53" s="199">
        <f t="shared" si="0"/>
        <v>0</v>
      </c>
      <c r="G53" s="199">
        <v>1000000</v>
      </c>
      <c r="H53" s="199">
        <v>3622</v>
      </c>
      <c r="I53" s="199"/>
      <c r="J53" s="199">
        <v>2228.0500000000002</v>
      </c>
      <c r="K53" s="199">
        <f t="shared" si="2"/>
        <v>2228.0500000000002</v>
      </c>
      <c r="L53" s="199">
        <f t="shared" si="1"/>
        <v>5850.05</v>
      </c>
      <c r="M53" s="199">
        <f t="shared" si="3"/>
        <v>3994149.95</v>
      </c>
      <c r="N53" s="199">
        <v>7600000</v>
      </c>
      <c r="O53" s="199">
        <f t="shared" si="4"/>
        <v>6960000</v>
      </c>
      <c r="P53" s="199">
        <f t="shared" si="5"/>
        <v>994149.95</v>
      </c>
      <c r="Q53" s="199">
        <v>3000000</v>
      </c>
      <c r="R53" s="199"/>
      <c r="S53" s="199">
        <f t="shared" si="6"/>
        <v>3000000</v>
      </c>
      <c r="T53" s="199">
        <f t="shared" si="7"/>
        <v>0</v>
      </c>
      <c r="U53" s="199">
        <f t="shared" si="8"/>
        <v>7600000</v>
      </c>
      <c r="V53" s="199">
        <f t="shared" si="9"/>
        <v>7600000</v>
      </c>
      <c r="W53" s="199"/>
      <c r="X53" s="199"/>
      <c r="Y53" s="199"/>
      <c r="Z53" s="198"/>
      <c r="AA53" s="340" t="s">
        <v>612</v>
      </c>
      <c r="AB53" s="198">
        <v>829000</v>
      </c>
      <c r="AC53" s="466"/>
      <c r="AD53" s="4"/>
      <c r="AE53" s="4"/>
      <c r="AF53" s="4"/>
      <c r="AG53" s="4"/>
      <c r="AH53" s="4"/>
      <c r="AI53" s="4"/>
      <c r="AJ53" s="4"/>
      <c r="AK53" s="4">
        <v>7600000</v>
      </c>
      <c r="AL53" s="4">
        <f t="shared" si="10"/>
        <v>7600000</v>
      </c>
      <c r="AM53" s="199"/>
      <c r="AN53" s="199">
        <f t="shared" si="11"/>
        <v>7600000</v>
      </c>
      <c r="AO53" s="4">
        <f t="shared" si="12"/>
        <v>0</v>
      </c>
      <c r="AP53" s="4">
        <f t="shared" si="13"/>
        <v>7600000</v>
      </c>
      <c r="AQ53" s="4"/>
      <c r="AR53" s="4"/>
      <c r="AS53" s="199"/>
      <c r="AT53" s="4"/>
      <c r="AU53" s="4">
        <f t="shared" si="17"/>
        <v>0</v>
      </c>
      <c r="AV53" s="4"/>
      <c r="AW53" s="199"/>
      <c r="AX53" s="199"/>
      <c r="AY53" s="4"/>
      <c r="AZ53" s="4">
        <f t="shared" si="15"/>
        <v>0</v>
      </c>
      <c r="BA53" s="4"/>
      <c r="BB53" s="4"/>
      <c r="BC53" s="4"/>
      <c r="BD53" s="4"/>
    </row>
    <row r="54" spans="1:58" ht="19.95" customHeight="1">
      <c r="A54" s="198">
        <f t="shared" si="16"/>
        <v>48</v>
      </c>
      <c r="B54" s="340">
        <v>1903</v>
      </c>
      <c r="C54" s="198" t="s">
        <v>160</v>
      </c>
      <c r="D54" s="199">
        <v>1700000</v>
      </c>
      <c r="E54" s="199">
        <v>1700000</v>
      </c>
      <c r="F54" s="199">
        <f t="shared" si="0"/>
        <v>0</v>
      </c>
      <c r="G54" s="199">
        <v>1700000</v>
      </c>
      <c r="H54" s="199">
        <v>1613350</v>
      </c>
      <c r="I54" s="199"/>
      <c r="J54" s="199">
        <v>86645.62</v>
      </c>
      <c r="K54" s="199">
        <f t="shared" si="2"/>
        <v>86645.62</v>
      </c>
      <c r="L54" s="199">
        <f t="shared" si="1"/>
        <v>1699995.62</v>
      </c>
      <c r="M54" s="199">
        <f t="shared" si="3"/>
        <v>4.3799999998882413</v>
      </c>
      <c r="N54" s="199"/>
      <c r="O54" s="199">
        <f t="shared" si="4"/>
        <v>0</v>
      </c>
      <c r="P54" s="199">
        <f t="shared" si="5"/>
        <v>4.3799999998882413</v>
      </c>
      <c r="Q54" s="199"/>
      <c r="R54" s="199"/>
      <c r="S54" s="199">
        <f t="shared" si="6"/>
        <v>0</v>
      </c>
      <c r="T54" s="199">
        <f t="shared" si="7"/>
        <v>0</v>
      </c>
      <c r="U54" s="199">
        <f t="shared" si="8"/>
        <v>0</v>
      </c>
      <c r="V54" s="199">
        <f t="shared" si="9"/>
        <v>0</v>
      </c>
      <c r="W54" s="199"/>
      <c r="X54" s="199"/>
      <c r="Y54" s="199"/>
      <c r="Z54" s="198"/>
      <c r="AA54" s="340"/>
      <c r="AB54" s="198">
        <v>930000</v>
      </c>
      <c r="AC54" s="469"/>
      <c r="AD54" s="486"/>
      <c r="AE54" s="486"/>
      <c r="AF54" s="486"/>
      <c r="AG54" s="486"/>
      <c r="AH54" s="486"/>
      <c r="AI54" s="486"/>
      <c r="AJ54" s="486"/>
      <c r="AK54" s="486"/>
      <c r="AL54" s="486">
        <f t="shared" si="10"/>
        <v>0</v>
      </c>
      <c r="AM54" s="199"/>
      <c r="AN54" s="199">
        <f t="shared" si="11"/>
        <v>0</v>
      </c>
      <c r="AO54" s="4">
        <f t="shared" si="12"/>
        <v>0</v>
      </c>
      <c r="AP54" s="4">
        <f t="shared" si="13"/>
        <v>0</v>
      </c>
      <c r="AQ54" s="4"/>
      <c r="AR54" s="4"/>
      <c r="AS54" s="199"/>
      <c r="AT54" s="4"/>
      <c r="AU54" s="4">
        <f t="shared" si="17"/>
        <v>0</v>
      </c>
      <c r="AV54" s="4"/>
      <c r="AW54" s="199"/>
      <c r="AX54" s="199"/>
      <c r="AY54" s="4"/>
      <c r="AZ54" s="4">
        <f t="shared" si="15"/>
        <v>0</v>
      </c>
      <c r="BA54" s="4"/>
      <c r="BB54" s="4"/>
      <c r="BC54" s="4"/>
      <c r="BD54" s="4"/>
    </row>
    <row r="55" spans="1:58" s="202" customFormat="1" ht="19.95" customHeight="1">
      <c r="A55" s="198">
        <f t="shared" si="16"/>
        <v>49</v>
      </c>
      <c r="B55" s="198">
        <v>1904</v>
      </c>
      <c r="C55" s="198" t="s">
        <v>150</v>
      </c>
      <c r="D55" s="199">
        <v>5700000</v>
      </c>
      <c r="E55" s="199">
        <v>5700000</v>
      </c>
      <c r="F55" s="199">
        <f t="shared" si="0"/>
        <v>0</v>
      </c>
      <c r="G55" s="199">
        <v>2000000</v>
      </c>
      <c r="H55" s="199">
        <v>86598</v>
      </c>
      <c r="I55" s="199"/>
      <c r="J55" s="199">
        <v>263400.27</v>
      </c>
      <c r="K55" s="199">
        <f t="shared" si="2"/>
        <v>263400.27</v>
      </c>
      <c r="L55" s="199">
        <f t="shared" si="1"/>
        <v>349998.27</v>
      </c>
      <c r="M55" s="199">
        <f t="shared" si="3"/>
        <v>1650001.73</v>
      </c>
      <c r="N55" s="199">
        <v>3700000</v>
      </c>
      <c r="O55" s="199">
        <f t="shared" si="4"/>
        <v>0</v>
      </c>
      <c r="P55" s="199">
        <f t="shared" si="5"/>
        <v>1650001.73</v>
      </c>
      <c r="Q55" s="199"/>
      <c r="R55" s="199"/>
      <c r="S55" s="199">
        <f t="shared" si="6"/>
        <v>0</v>
      </c>
      <c r="T55" s="199">
        <f t="shared" si="7"/>
        <v>0</v>
      </c>
      <c r="U55" s="199">
        <f t="shared" si="8"/>
        <v>3700000</v>
      </c>
      <c r="V55" s="199">
        <f t="shared" si="9"/>
        <v>775000</v>
      </c>
      <c r="W55" s="199"/>
      <c r="X55" s="199"/>
      <c r="Y55" s="199"/>
      <c r="Z55" s="199">
        <f>936000+1989000</f>
        <v>2925000</v>
      </c>
      <c r="AA55" s="340" t="s">
        <v>749</v>
      </c>
      <c r="AB55" s="198">
        <v>742000</v>
      </c>
      <c r="AC55" s="466"/>
      <c r="AD55" s="4"/>
      <c r="AE55" s="4"/>
      <c r="AF55" s="4"/>
      <c r="AG55" s="4"/>
      <c r="AH55" s="4"/>
      <c r="AI55" s="4"/>
      <c r="AJ55" s="4">
        <v>1000000</v>
      </c>
      <c r="AK55" s="4">
        <v>2700000</v>
      </c>
      <c r="AL55" s="4">
        <f t="shared" si="10"/>
        <v>3700000</v>
      </c>
      <c r="AM55" s="199"/>
      <c r="AN55" s="199">
        <f t="shared" si="11"/>
        <v>3700000</v>
      </c>
      <c r="AO55" s="4">
        <f t="shared" si="12"/>
        <v>0</v>
      </c>
      <c r="AP55" s="4">
        <f t="shared" si="13"/>
        <v>775000</v>
      </c>
      <c r="AQ55" s="4"/>
      <c r="AR55" s="4"/>
      <c r="AS55" s="199"/>
      <c r="AT55" s="4">
        <v>2925000</v>
      </c>
      <c r="AU55" s="4">
        <f t="shared" si="17"/>
        <v>0</v>
      </c>
      <c r="AV55" s="4"/>
      <c r="AW55" s="199"/>
      <c r="AX55" s="199"/>
      <c r="AY55" s="4"/>
      <c r="AZ55" s="4">
        <f t="shared" si="15"/>
        <v>0</v>
      </c>
      <c r="BA55" s="4"/>
      <c r="BB55" s="4"/>
      <c r="BC55" s="4"/>
      <c r="BD55" s="4"/>
    </row>
    <row r="56" spans="1:58" s="334" customFormat="1" ht="19.95" customHeight="1">
      <c r="A56" s="198">
        <f t="shared" si="16"/>
        <v>50</v>
      </c>
      <c r="B56" s="340">
        <v>1921</v>
      </c>
      <c r="C56" s="198" t="s">
        <v>162</v>
      </c>
      <c r="D56" s="199">
        <f>9320000+150000-150000-44000</f>
        <v>9276000</v>
      </c>
      <c r="E56" s="199">
        <v>9320000</v>
      </c>
      <c r="F56" s="199">
        <f t="shared" si="0"/>
        <v>-44000</v>
      </c>
      <c r="G56" s="199">
        <v>4500000</v>
      </c>
      <c r="H56" s="199">
        <v>2848946</v>
      </c>
      <c r="I56" s="199"/>
      <c r="J56" s="199">
        <v>1002363.11</v>
      </c>
      <c r="K56" s="199">
        <f t="shared" si="2"/>
        <v>1002363.11</v>
      </c>
      <c r="L56" s="199">
        <f t="shared" si="1"/>
        <v>3851309.11</v>
      </c>
      <c r="M56" s="199">
        <f t="shared" si="3"/>
        <v>2968690.89</v>
      </c>
      <c r="N56" s="199">
        <f>136000+2320000</f>
        <v>2456000</v>
      </c>
      <c r="O56" s="199">
        <f t="shared" si="4"/>
        <v>0</v>
      </c>
      <c r="P56" s="199">
        <f t="shared" si="5"/>
        <v>648690.89000000013</v>
      </c>
      <c r="Q56" s="199">
        <v>2320000</v>
      </c>
      <c r="R56" s="199"/>
      <c r="S56" s="199">
        <f t="shared" si="6"/>
        <v>2320000</v>
      </c>
      <c r="T56" s="199">
        <f t="shared" si="7"/>
        <v>0</v>
      </c>
      <c r="U56" s="199">
        <f t="shared" si="8"/>
        <v>2456000</v>
      </c>
      <c r="V56" s="199">
        <f t="shared" si="9"/>
        <v>2456000</v>
      </c>
      <c r="W56" s="199"/>
      <c r="X56" s="199"/>
      <c r="Y56" s="199"/>
      <c r="Z56" s="198"/>
      <c r="AA56" s="340" t="s">
        <v>625</v>
      </c>
      <c r="AB56" s="198">
        <v>829000</v>
      </c>
      <c r="AC56" s="466"/>
      <c r="AD56" s="4"/>
      <c r="AE56" s="4"/>
      <c r="AF56" s="4"/>
      <c r="AG56" s="4"/>
      <c r="AH56" s="4"/>
      <c r="AI56" s="4"/>
      <c r="AJ56" s="4"/>
      <c r="AK56" s="4">
        <v>2456000</v>
      </c>
      <c r="AL56" s="4">
        <f t="shared" si="10"/>
        <v>2456000</v>
      </c>
      <c r="AM56" s="199"/>
      <c r="AN56" s="199">
        <f t="shared" si="11"/>
        <v>2456000</v>
      </c>
      <c r="AO56" s="4">
        <f t="shared" si="12"/>
        <v>0</v>
      </c>
      <c r="AP56" s="4">
        <f t="shared" si="13"/>
        <v>2456000</v>
      </c>
      <c r="AQ56" s="4"/>
      <c r="AR56" s="4"/>
      <c r="AS56" s="199"/>
      <c r="AT56" s="4"/>
      <c r="AU56" s="4">
        <f t="shared" si="17"/>
        <v>0</v>
      </c>
      <c r="AV56" s="4"/>
      <c r="AW56" s="199"/>
      <c r="AX56" s="199"/>
      <c r="AY56" s="4"/>
      <c r="AZ56" s="4">
        <f t="shared" si="15"/>
        <v>0</v>
      </c>
      <c r="BA56" s="4"/>
      <c r="BB56" s="4"/>
      <c r="BC56" s="4"/>
      <c r="BD56" s="4"/>
    </row>
    <row r="57" spans="1:58" ht="19.95" customHeight="1">
      <c r="A57" s="198">
        <f t="shared" si="16"/>
        <v>51</v>
      </c>
      <c r="B57" s="340">
        <v>1936</v>
      </c>
      <c r="C57" s="198" t="s">
        <v>217</v>
      </c>
      <c r="D57" s="199">
        <v>6082795</v>
      </c>
      <c r="E57" s="199">
        <v>6082795</v>
      </c>
      <c r="F57" s="199">
        <f t="shared" si="0"/>
        <v>0</v>
      </c>
      <c r="G57" s="199">
        <v>700000</v>
      </c>
      <c r="H57" s="199">
        <v>313933</v>
      </c>
      <c r="I57" s="199"/>
      <c r="J57" s="199">
        <v>86064.19</v>
      </c>
      <c r="K57" s="199">
        <f t="shared" si="2"/>
        <v>86064.19</v>
      </c>
      <c r="L57" s="199">
        <f t="shared" si="1"/>
        <v>399997.19</v>
      </c>
      <c r="M57" s="199">
        <f t="shared" si="3"/>
        <v>300002.81</v>
      </c>
      <c r="N57" s="199"/>
      <c r="O57" s="199">
        <f t="shared" si="4"/>
        <v>5382795</v>
      </c>
      <c r="P57" s="199">
        <f t="shared" si="5"/>
        <v>300002.81</v>
      </c>
      <c r="Q57" s="199"/>
      <c r="R57" s="199"/>
      <c r="S57" s="199">
        <f t="shared" si="6"/>
        <v>0</v>
      </c>
      <c r="T57" s="199">
        <f t="shared" si="7"/>
        <v>0</v>
      </c>
      <c r="U57" s="199">
        <f t="shared" si="8"/>
        <v>0</v>
      </c>
      <c r="V57" s="199">
        <f t="shared" si="9"/>
        <v>0</v>
      </c>
      <c r="W57" s="199"/>
      <c r="X57" s="199"/>
      <c r="Y57" s="199"/>
      <c r="Z57" s="198"/>
      <c r="AA57" s="467" t="s">
        <v>597</v>
      </c>
      <c r="AB57" s="198">
        <v>732000</v>
      </c>
      <c r="AC57" s="469"/>
      <c r="AD57" s="486"/>
      <c r="AE57" s="486"/>
      <c r="AF57" s="486"/>
      <c r="AG57" s="486"/>
      <c r="AH57" s="486"/>
      <c r="AI57" s="486"/>
      <c r="AJ57" s="486"/>
      <c r="AK57" s="486"/>
      <c r="AL57" s="486">
        <f t="shared" si="10"/>
        <v>0</v>
      </c>
      <c r="AM57" s="199"/>
      <c r="AN57" s="199">
        <f t="shared" si="11"/>
        <v>0</v>
      </c>
      <c r="AO57" s="4">
        <f t="shared" si="12"/>
        <v>0</v>
      </c>
      <c r="AP57" s="4">
        <f t="shared" si="13"/>
        <v>0</v>
      </c>
      <c r="AQ57" s="4"/>
      <c r="AR57" s="4"/>
      <c r="AS57" s="199"/>
      <c r="AT57" s="4"/>
      <c r="AU57" s="4">
        <f t="shared" si="17"/>
        <v>0</v>
      </c>
      <c r="AV57" s="4"/>
      <c r="AW57" s="199"/>
      <c r="AX57" s="199"/>
      <c r="AY57" s="4"/>
      <c r="AZ57" s="4">
        <f t="shared" si="15"/>
        <v>0</v>
      </c>
      <c r="BA57" s="4"/>
      <c r="BB57" s="4"/>
      <c r="BC57" s="4"/>
      <c r="BD57" s="4"/>
      <c r="BF57" s="205"/>
    </row>
    <row r="58" spans="1:58" ht="19.95" customHeight="1">
      <c r="A58" s="198">
        <f t="shared" si="16"/>
        <v>52</v>
      </c>
      <c r="B58" s="487">
        <v>1940</v>
      </c>
      <c r="C58" s="487" t="s">
        <v>956</v>
      </c>
      <c r="D58" s="199">
        <v>186000</v>
      </c>
      <c r="E58" s="199">
        <v>186000</v>
      </c>
      <c r="F58" s="199">
        <f t="shared" si="0"/>
        <v>0</v>
      </c>
      <c r="G58" s="199">
        <v>186000</v>
      </c>
      <c r="H58" s="199">
        <v>99216</v>
      </c>
      <c r="I58" s="199"/>
      <c r="J58" s="199">
        <v>24773.58</v>
      </c>
      <c r="K58" s="199">
        <f t="shared" si="2"/>
        <v>24773.58</v>
      </c>
      <c r="L58" s="199">
        <f t="shared" si="1"/>
        <v>123989.58</v>
      </c>
      <c r="M58" s="199">
        <f t="shared" si="3"/>
        <v>62010.42</v>
      </c>
      <c r="N58" s="199"/>
      <c r="O58" s="199">
        <f t="shared" si="4"/>
        <v>0</v>
      </c>
      <c r="P58" s="199">
        <f t="shared" si="5"/>
        <v>62010.42</v>
      </c>
      <c r="Q58" s="199"/>
      <c r="R58" s="199"/>
      <c r="S58" s="199">
        <f t="shared" si="6"/>
        <v>0</v>
      </c>
      <c r="T58" s="199">
        <f t="shared" si="7"/>
        <v>0</v>
      </c>
      <c r="U58" s="199">
        <f t="shared" si="8"/>
        <v>0</v>
      </c>
      <c r="V58" s="199">
        <f t="shared" si="9"/>
        <v>0</v>
      </c>
      <c r="W58" s="199"/>
      <c r="X58" s="199"/>
      <c r="Y58" s="199"/>
      <c r="Z58" s="198"/>
      <c r="AA58" s="340"/>
      <c r="AB58" s="198">
        <v>732000</v>
      </c>
      <c r="AC58" s="469"/>
      <c r="AD58" s="486"/>
      <c r="AE58" s="486"/>
      <c r="AF58" s="486"/>
      <c r="AG58" s="486"/>
      <c r="AH58" s="486"/>
      <c r="AI58" s="486"/>
      <c r="AJ58" s="486"/>
      <c r="AK58" s="486"/>
      <c r="AL58" s="486">
        <f t="shared" si="10"/>
        <v>0</v>
      </c>
      <c r="AM58" s="199"/>
      <c r="AN58" s="199">
        <f t="shared" si="11"/>
        <v>0</v>
      </c>
      <c r="AO58" s="4">
        <f t="shared" si="12"/>
        <v>0</v>
      </c>
      <c r="AP58" s="4">
        <f t="shared" si="13"/>
        <v>0</v>
      </c>
      <c r="AQ58" s="4"/>
      <c r="AR58" s="4"/>
      <c r="AS58" s="199"/>
      <c r="AT58" s="4"/>
      <c r="AU58" s="4">
        <f t="shared" si="17"/>
        <v>0</v>
      </c>
      <c r="AV58" s="4"/>
      <c r="AW58" s="199"/>
      <c r="AX58" s="199"/>
      <c r="AY58" s="4"/>
      <c r="AZ58" s="4">
        <f t="shared" si="15"/>
        <v>0</v>
      </c>
      <c r="BA58" s="4"/>
      <c r="BB58" s="4"/>
      <c r="BC58" s="4"/>
      <c r="BD58" s="4"/>
      <c r="BF58" s="205"/>
    </row>
    <row r="59" spans="1:58" ht="19.95" customHeight="1">
      <c r="A59" s="198">
        <f t="shared" si="16"/>
        <v>53</v>
      </c>
      <c r="B59" s="340">
        <v>1953</v>
      </c>
      <c r="C59" s="198" t="s">
        <v>763</v>
      </c>
      <c r="D59" s="199">
        <v>5300000</v>
      </c>
      <c r="E59" s="199">
        <v>5300000</v>
      </c>
      <c r="F59" s="199">
        <f t="shared" si="0"/>
        <v>0</v>
      </c>
      <c r="G59" s="199">
        <v>3300000</v>
      </c>
      <c r="H59" s="199">
        <v>1922976</v>
      </c>
      <c r="I59" s="199"/>
      <c r="J59" s="199">
        <v>1373536.08</v>
      </c>
      <c r="K59" s="199">
        <f t="shared" ref="K59:K84" si="18">SUM(I59:J59)</f>
        <v>1373536.08</v>
      </c>
      <c r="L59" s="199">
        <f t="shared" si="1"/>
        <v>3296512.08</v>
      </c>
      <c r="M59" s="199">
        <f t="shared" si="3"/>
        <v>2003487.92</v>
      </c>
      <c r="N59" s="199"/>
      <c r="O59" s="199">
        <f t="shared" si="4"/>
        <v>0</v>
      </c>
      <c r="P59" s="199">
        <f t="shared" si="5"/>
        <v>3487.9199999999255</v>
      </c>
      <c r="Q59" s="199">
        <v>2000000</v>
      </c>
      <c r="R59" s="199"/>
      <c r="S59" s="199">
        <f t="shared" si="6"/>
        <v>2000000</v>
      </c>
      <c r="T59" s="199">
        <f t="shared" si="7"/>
        <v>0</v>
      </c>
      <c r="U59" s="199">
        <f t="shared" si="8"/>
        <v>0</v>
      </c>
      <c r="V59" s="199">
        <f t="shared" si="9"/>
        <v>0</v>
      </c>
      <c r="W59" s="199"/>
      <c r="X59" s="199"/>
      <c r="Y59" s="199"/>
      <c r="Z59" s="198"/>
      <c r="AA59" s="469" t="s">
        <v>856</v>
      </c>
      <c r="AB59" s="198">
        <v>742000</v>
      </c>
      <c r="AC59" s="469"/>
      <c r="AD59" s="486"/>
      <c r="AE59" s="486"/>
      <c r="AF59" s="486"/>
      <c r="AG59" s="486"/>
      <c r="AH59" s="486"/>
      <c r="AI59" s="486"/>
      <c r="AJ59" s="486"/>
      <c r="AK59" s="486"/>
      <c r="AL59" s="486">
        <f t="shared" si="10"/>
        <v>0</v>
      </c>
      <c r="AM59" s="199"/>
      <c r="AN59" s="199">
        <f t="shared" si="11"/>
        <v>0</v>
      </c>
      <c r="AO59" s="4">
        <f t="shared" si="12"/>
        <v>0</v>
      </c>
      <c r="AP59" s="4">
        <f t="shared" si="13"/>
        <v>0</v>
      </c>
      <c r="AQ59" s="4"/>
      <c r="AR59" s="4"/>
      <c r="AS59" s="199"/>
      <c r="AT59" s="4"/>
      <c r="AU59" s="4">
        <f t="shared" si="17"/>
        <v>0</v>
      </c>
      <c r="AV59" s="4"/>
      <c r="AW59" s="199"/>
      <c r="AX59" s="199"/>
      <c r="AY59" s="4"/>
      <c r="AZ59" s="4">
        <f t="shared" si="15"/>
        <v>0</v>
      </c>
      <c r="BA59" s="4"/>
      <c r="BB59" s="4"/>
      <c r="BC59" s="4"/>
      <c r="BD59" s="4"/>
    </row>
    <row r="60" spans="1:58" s="202" customFormat="1" ht="19.95" customHeight="1">
      <c r="A60" s="198">
        <f t="shared" si="16"/>
        <v>54</v>
      </c>
      <c r="B60" s="198">
        <v>1954</v>
      </c>
      <c r="C60" s="198" t="s">
        <v>186</v>
      </c>
      <c r="D60" s="199">
        <v>2000000</v>
      </c>
      <c r="E60" s="199">
        <v>2000000</v>
      </c>
      <c r="F60" s="199">
        <f t="shared" si="0"/>
        <v>0</v>
      </c>
      <c r="G60" s="199">
        <v>2000000</v>
      </c>
      <c r="H60" s="199">
        <v>230565</v>
      </c>
      <c r="I60" s="199"/>
      <c r="J60" s="199">
        <v>1682275.94</v>
      </c>
      <c r="K60" s="199">
        <f t="shared" si="18"/>
        <v>1682275.94</v>
      </c>
      <c r="L60" s="199">
        <f t="shared" si="1"/>
        <v>1912840.94</v>
      </c>
      <c r="M60" s="199">
        <f t="shared" si="3"/>
        <v>87159.060000000056</v>
      </c>
      <c r="N60" s="199"/>
      <c r="O60" s="199">
        <f t="shared" si="4"/>
        <v>0</v>
      </c>
      <c r="P60" s="199">
        <f t="shared" si="5"/>
        <v>87159.060000000056</v>
      </c>
      <c r="Q60" s="199"/>
      <c r="R60" s="199"/>
      <c r="S60" s="199">
        <f t="shared" si="6"/>
        <v>0</v>
      </c>
      <c r="T60" s="199">
        <f t="shared" si="7"/>
        <v>0</v>
      </c>
      <c r="U60" s="199">
        <f t="shared" si="8"/>
        <v>0</v>
      </c>
      <c r="V60" s="199">
        <f t="shared" si="9"/>
        <v>0</v>
      </c>
      <c r="W60" s="199"/>
      <c r="X60" s="199"/>
      <c r="Y60" s="199"/>
      <c r="Z60" s="198"/>
      <c r="AA60" s="467"/>
      <c r="AB60" s="198">
        <v>742000</v>
      </c>
      <c r="AC60" s="469"/>
      <c r="AD60" s="486"/>
      <c r="AE60" s="486"/>
      <c r="AF60" s="486"/>
      <c r="AG60" s="486"/>
      <c r="AH60" s="486"/>
      <c r="AI60" s="486"/>
      <c r="AJ60" s="486"/>
      <c r="AK60" s="486"/>
      <c r="AL60" s="486">
        <f t="shared" si="10"/>
        <v>0</v>
      </c>
      <c r="AM60" s="199"/>
      <c r="AN60" s="199">
        <f t="shared" si="11"/>
        <v>0</v>
      </c>
      <c r="AO60" s="4">
        <f t="shared" si="12"/>
        <v>0</v>
      </c>
      <c r="AP60" s="4">
        <f t="shared" si="13"/>
        <v>0</v>
      </c>
      <c r="AQ60" s="4"/>
      <c r="AR60" s="4"/>
      <c r="AS60" s="199"/>
      <c r="AT60" s="4"/>
      <c r="AU60" s="4">
        <f t="shared" si="17"/>
        <v>0</v>
      </c>
      <c r="AV60" s="4"/>
      <c r="AW60" s="199"/>
      <c r="AX60" s="199"/>
      <c r="AY60" s="4"/>
      <c r="AZ60" s="4">
        <f t="shared" si="15"/>
        <v>0</v>
      </c>
      <c r="BA60" s="4"/>
      <c r="BB60" s="4"/>
      <c r="BC60" s="4"/>
      <c r="BD60" s="4"/>
    </row>
    <row r="61" spans="1:58" ht="19.95" customHeight="1">
      <c r="A61" s="198">
        <f t="shared" si="16"/>
        <v>55</v>
      </c>
      <c r="B61" s="340">
        <v>1955</v>
      </c>
      <c r="C61" s="198" t="s">
        <v>187</v>
      </c>
      <c r="D61" s="199">
        <v>250000</v>
      </c>
      <c r="E61" s="199">
        <v>250000</v>
      </c>
      <c r="F61" s="199">
        <f t="shared" si="0"/>
        <v>0</v>
      </c>
      <c r="G61" s="199">
        <v>250000</v>
      </c>
      <c r="H61" s="199">
        <v>0</v>
      </c>
      <c r="I61" s="199"/>
      <c r="J61" s="199"/>
      <c r="K61" s="199">
        <f t="shared" si="18"/>
        <v>0</v>
      </c>
      <c r="L61" s="199">
        <f t="shared" si="1"/>
        <v>0</v>
      </c>
      <c r="M61" s="199">
        <f t="shared" si="3"/>
        <v>250000</v>
      </c>
      <c r="N61" s="199"/>
      <c r="O61" s="199">
        <f t="shared" si="4"/>
        <v>0</v>
      </c>
      <c r="P61" s="199">
        <f t="shared" si="5"/>
        <v>250000</v>
      </c>
      <c r="Q61" s="199"/>
      <c r="R61" s="199"/>
      <c r="S61" s="199">
        <f t="shared" si="6"/>
        <v>0</v>
      </c>
      <c r="T61" s="199">
        <f t="shared" si="7"/>
        <v>0</v>
      </c>
      <c r="U61" s="199">
        <f t="shared" si="8"/>
        <v>0</v>
      </c>
      <c r="V61" s="199">
        <f t="shared" si="9"/>
        <v>0</v>
      </c>
      <c r="W61" s="199"/>
      <c r="X61" s="199"/>
      <c r="Y61" s="199"/>
      <c r="Z61" s="198"/>
      <c r="AA61" s="340"/>
      <c r="AB61" s="198">
        <v>742000</v>
      </c>
      <c r="AC61" s="469"/>
      <c r="AD61" s="486"/>
      <c r="AE61" s="486"/>
      <c r="AF61" s="486"/>
      <c r="AG61" s="486"/>
      <c r="AH61" s="486"/>
      <c r="AI61" s="486"/>
      <c r="AJ61" s="486"/>
      <c r="AK61" s="486"/>
      <c r="AL61" s="486">
        <f t="shared" si="10"/>
        <v>0</v>
      </c>
      <c r="AM61" s="199"/>
      <c r="AN61" s="199">
        <f t="shared" si="11"/>
        <v>0</v>
      </c>
      <c r="AO61" s="4">
        <f t="shared" si="12"/>
        <v>0</v>
      </c>
      <c r="AP61" s="4">
        <f t="shared" si="13"/>
        <v>0</v>
      </c>
      <c r="AQ61" s="4"/>
      <c r="AR61" s="4"/>
      <c r="AS61" s="199"/>
      <c r="AT61" s="4"/>
      <c r="AU61" s="4">
        <f t="shared" si="17"/>
        <v>0</v>
      </c>
      <c r="AV61" s="4"/>
      <c r="AW61" s="199"/>
      <c r="AX61" s="199"/>
      <c r="AY61" s="4"/>
      <c r="AZ61" s="4">
        <f t="shared" si="15"/>
        <v>0</v>
      </c>
      <c r="BA61" s="4"/>
      <c r="BB61" s="4"/>
      <c r="BC61" s="4"/>
      <c r="BD61" s="4"/>
    </row>
    <row r="62" spans="1:58" ht="19.95" customHeight="1">
      <c r="A62" s="198">
        <f t="shared" si="16"/>
        <v>56</v>
      </c>
      <c r="B62" s="340">
        <v>1957</v>
      </c>
      <c r="C62" s="198" t="s">
        <v>465</v>
      </c>
      <c r="D62" s="199">
        <v>60000000</v>
      </c>
      <c r="E62" s="199">
        <v>60000000</v>
      </c>
      <c r="F62" s="199">
        <f t="shared" si="0"/>
        <v>0</v>
      </c>
      <c r="G62" s="199">
        <f>1900000+400000</f>
        <v>2300000</v>
      </c>
      <c r="H62" s="199">
        <v>1730549</v>
      </c>
      <c r="I62" s="199"/>
      <c r="J62" s="199">
        <v>169446</v>
      </c>
      <c r="K62" s="199">
        <f t="shared" si="18"/>
        <v>169446</v>
      </c>
      <c r="L62" s="199">
        <f t="shared" si="1"/>
        <v>1899995</v>
      </c>
      <c r="M62" s="199">
        <f t="shared" si="3"/>
        <v>14600005</v>
      </c>
      <c r="N62" s="199">
        <v>14500000</v>
      </c>
      <c r="O62" s="199">
        <f t="shared" si="4"/>
        <v>29000000</v>
      </c>
      <c r="P62" s="199">
        <f t="shared" si="5"/>
        <v>400005</v>
      </c>
      <c r="Q62" s="337">
        <f>14600000-400000</f>
        <v>14200000</v>
      </c>
      <c r="R62" s="199"/>
      <c r="S62" s="199">
        <f t="shared" si="6"/>
        <v>14200000</v>
      </c>
      <c r="T62" s="199">
        <f t="shared" si="7"/>
        <v>0</v>
      </c>
      <c r="U62" s="199">
        <f t="shared" si="8"/>
        <v>14500000</v>
      </c>
      <c r="V62" s="199">
        <f t="shared" si="9"/>
        <v>14500000</v>
      </c>
      <c r="W62" s="199"/>
      <c r="X62" s="199"/>
      <c r="Y62" s="199"/>
      <c r="Z62" s="198"/>
      <c r="AA62" s="340" t="s">
        <v>750</v>
      </c>
      <c r="AB62" s="198">
        <v>810000</v>
      </c>
      <c r="AC62" s="469"/>
      <c r="AD62" s="486"/>
      <c r="AE62" s="486"/>
      <c r="AF62" s="486"/>
      <c r="AG62" s="486"/>
      <c r="AH62" s="486"/>
      <c r="AI62" s="486"/>
      <c r="AJ62" s="486"/>
      <c r="AK62" s="486">
        <v>14500000</v>
      </c>
      <c r="AL62" s="486">
        <f t="shared" si="10"/>
        <v>14500000</v>
      </c>
      <c r="AM62" s="199"/>
      <c r="AN62" s="199">
        <f t="shared" si="11"/>
        <v>14500000</v>
      </c>
      <c r="AO62" s="4">
        <f t="shared" si="12"/>
        <v>0</v>
      </c>
      <c r="AP62" s="4">
        <f t="shared" si="13"/>
        <v>14500000</v>
      </c>
      <c r="AQ62" s="4"/>
      <c r="AR62" s="4"/>
      <c r="AS62" s="199"/>
      <c r="AT62" s="4"/>
      <c r="AU62" s="4">
        <f t="shared" si="17"/>
        <v>0</v>
      </c>
      <c r="AV62" s="4"/>
      <c r="AW62" s="199"/>
      <c r="AX62" s="199"/>
      <c r="AY62" s="4"/>
      <c r="AZ62" s="4">
        <f t="shared" si="15"/>
        <v>0</v>
      </c>
      <c r="BA62" s="4"/>
      <c r="BB62" s="4"/>
      <c r="BC62" s="4"/>
      <c r="BD62" s="4"/>
    </row>
    <row r="63" spans="1:58" s="334" customFormat="1" ht="19.95" customHeight="1">
      <c r="A63" s="198">
        <f t="shared" si="16"/>
        <v>57</v>
      </c>
      <c r="B63" s="340">
        <v>1972</v>
      </c>
      <c r="C63" s="198" t="s">
        <v>466</v>
      </c>
      <c r="D63" s="199">
        <v>4470000</v>
      </c>
      <c r="E63" s="199">
        <v>4470000</v>
      </c>
      <c r="F63" s="199">
        <f t="shared" si="0"/>
        <v>0</v>
      </c>
      <c r="G63" s="199">
        <v>900000</v>
      </c>
      <c r="H63" s="199">
        <v>116425</v>
      </c>
      <c r="I63" s="199"/>
      <c r="J63" s="199">
        <v>539423</v>
      </c>
      <c r="K63" s="199">
        <f t="shared" si="18"/>
        <v>539423</v>
      </c>
      <c r="L63" s="199">
        <f t="shared" si="1"/>
        <v>655848</v>
      </c>
      <c r="M63" s="199">
        <f t="shared" si="3"/>
        <v>244152</v>
      </c>
      <c r="N63" s="199">
        <v>3570000</v>
      </c>
      <c r="O63" s="199">
        <f t="shared" si="4"/>
        <v>0</v>
      </c>
      <c r="P63" s="199">
        <f t="shared" si="5"/>
        <v>244152</v>
      </c>
      <c r="Q63" s="199"/>
      <c r="R63" s="199"/>
      <c r="S63" s="199">
        <f t="shared" si="6"/>
        <v>0</v>
      </c>
      <c r="T63" s="199">
        <f t="shared" si="7"/>
        <v>0</v>
      </c>
      <c r="U63" s="199">
        <f t="shared" si="8"/>
        <v>3570000</v>
      </c>
      <c r="V63" s="199">
        <f t="shared" si="9"/>
        <v>3570000</v>
      </c>
      <c r="W63" s="199"/>
      <c r="X63" s="199"/>
      <c r="Y63" s="199"/>
      <c r="Z63" s="198"/>
      <c r="AA63" s="340" t="s">
        <v>751</v>
      </c>
      <c r="AB63" s="198">
        <v>746000</v>
      </c>
      <c r="AC63" s="466"/>
      <c r="AD63" s="4"/>
      <c r="AE63" s="4"/>
      <c r="AF63" s="4"/>
      <c r="AG63" s="4"/>
      <c r="AH63" s="4"/>
      <c r="AI63" s="4"/>
      <c r="AJ63" s="4">
        <v>1570000</v>
      </c>
      <c r="AK63" s="4">
        <v>2000000</v>
      </c>
      <c r="AL63" s="4">
        <f t="shared" si="10"/>
        <v>3570000</v>
      </c>
      <c r="AM63" s="199"/>
      <c r="AN63" s="199">
        <f t="shared" si="11"/>
        <v>3570000</v>
      </c>
      <c r="AO63" s="4">
        <f t="shared" si="12"/>
        <v>0</v>
      </c>
      <c r="AP63" s="4">
        <f t="shared" si="13"/>
        <v>3570000</v>
      </c>
      <c r="AQ63" s="4"/>
      <c r="AR63" s="4"/>
      <c r="AS63" s="199"/>
      <c r="AT63" s="4"/>
      <c r="AU63" s="4">
        <f t="shared" si="17"/>
        <v>0</v>
      </c>
      <c r="AV63" s="4"/>
      <c r="AW63" s="199"/>
      <c r="AX63" s="199"/>
      <c r="AY63" s="4"/>
      <c r="AZ63" s="4">
        <f t="shared" si="15"/>
        <v>0</v>
      </c>
      <c r="BA63" s="4"/>
      <c r="BB63" s="4"/>
      <c r="BC63" s="4"/>
      <c r="BD63" s="4"/>
      <c r="BF63" s="205"/>
    </row>
    <row r="64" spans="1:58" s="334" customFormat="1" ht="19.95" customHeight="1">
      <c r="A64" s="198">
        <f t="shared" si="16"/>
        <v>58</v>
      </c>
      <c r="B64" s="340">
        <v>1991</v>
      </c>
      <c r="C64" s="198" t="s">
        <v>467</v>
      </c>
      <c r="D64" s="199">
        <v>2000000</v>
      </c>
      <c r="E64" s="199">
        <v>2000000</v>
      </c>
      <c r="F64" s="199">
        <f t="shared" si="0"/>
        <v>0</v>
      </c>
      <c r="G64" s="199">
        <v>2000000</v>
      </c>
      <c r="H64" s="199">
        <v>65414</v>
      </c>
      <c r="I64" s="199"/>
      <c r="J64" s="199">
        <v>34387.89</v>
      </c>
      <c r="K64" s="199">
        <f t="shared" si="18"/>
        <v>34387.89</v>
      </c>
      <c r="L64" s="199">
        <f t="shared" si="1"/>
        <v>99801.89</v>
      </c>
      <c r="M64" s="199">
        <f>P64+S64-1900000</f>
        <v>198.11000000010245</v>
      </c>
      <c r="N64" s="199"/>
      <c r="O64" s="199">
        <f t="shared" si="4"/>
        <v>1900000</v>
      </c>
      <c r="P64" s="199">
        <f t="shared" si="5"/>
        <v>1900198.11</v>
      </c>
      <c r="Q64" s="199"/>
      <c r="R64" s="199"/>
      <c r="S64" s="199">
        <f t="shared" si="6"/>
        <v>0</v>
      </c>
      <c r="T64" s="199">
        <f t="shared" si="7"/>
        <v>1900000</v>
      </c>
      <c r="U64" s="199">
        <f t="shared" si="8"/>
        <v>-1900000</v>
      </c>
      <c r="V64" s="199">
        <f t="shared" si="9"/>
        <v>-1900000</v>
      </c>
      <c r="W64" s="199"/>
      <c r="X64" s="199"/>
      <c r="Y64" s="199"/>
      <c r="Z64" s="198"/>
      <c r="AA64" s="340"/>
      <c r="AB64" s="198">
        <v>823000</v>
      </c>
      <c r="AC64" s="466"/>
      <c r="AD64" s="4"/>
      <c r="AE64" s="4"/>
      <c r="AF64" s="4">
        <v>-1900000</v>
      </c>
      <c r="AG64" s="4"/>
      <c r="AH64" s="4"/>
      <c r="AI64" s="4"/>
      <c r="AJ64" s="4"/>
      <c r="AK64" s="4"/>
      <c r="AL64" s="4">
        <f t="shared" si="10"/>
        <v>-1900000</v>
      </c>
      <c r="AM64" s="199"/>
      <c r="AN64" s="199">
        <f t="shared" si="11"/>
        <v>-1900000</v>
      </c>
      <c r="AO64" s="4">
        <f t="shared" si="12"/>
        <v>0</v>
      </c>
      <c r="AP64" s="4">
        <f t="shared" si="13"/>
        <v>-1900000</v>
      </c>
      <c r="AQ64" s="4"/>
      <c r="AR64" s="4"/>
      <c r="AS64" s="199"/>
      <c r="AT64" s="4"/>
      <c r="AU64" s="4">
        <f t="shared" si="17"/>
        <v>0</v>
      </c>
      <c r="AV64" s="4"/>
      <c r="AW64" s="199"/>
      <c r="AX64" s="199"/>
      <c r="AY64" s="4"/>
      <c r="AZ64" s="4">
        <f t="shared" si="15"/>
        <v>0</v>
      </c>
      <c r="BA64" s="4"/>
      <c r="BB64" s="4"/>
      <c r="BC64" s="4"/>
      <c r="BD64" s="4"/>
      <c r="BF64" s="205"/>
    </row>
    <row r="65" spans="1:60" s="202" customFormat="1" ht="19.95" customHeight="1">
      <c r="A65" s="198">
        <f t="shared" si="16"/>
        <v>59</v>
      </c>
      <c r="B65" s="198">
        <v>2002</v>
      </c>
      <c r="C65" s="198" t="s">
        <v>237</v>
      </c>
      <c r="D65" s="199">
        <f>865000+635000</f>
        <v>1500000</v>
      </c>
      <c r="E65" s="199">
        <v>1500000</v>
      </c>
      <c r="F65" s="199">
        <f t="shared" si="0"/>
        <v>0</v>
      </c>
      <c r="G65" s="199">
        <v>865000</v>
      </c>
      <c r="H65" s="199">
        <v>3473</v>
      </c>
      <c r="I65" s="199"/>
      <c r="J65" s="199">
        <v>568945</v>
      </c>
      <c r="K65" s="199">
        <f t="shared" si="18"/>
        <v>568945</v>
      </c>
      <c r="L65" s="199">
        <f t="shared" si="1"/>
        <v>572418</v>
      </c>
      <c r="M65" s="199">
        <f t="shared" si="3"/>
        <v>292582</v>
      </c>
      <c r="N65" s="199">
        <v>635000</v>
      </c>
      <c r="O65" s="199">
        <f t="shared" si="4"/>
        <v>0</v>
      </c>
      <c r="P65" s="199">
        <f t="shared" si="5"/>
        <v>292582</v>
      </c>
      <c r="Q65" s="199"/>
      <c r="R65" s="199"/>
      <c r="S65" s="199">
        <f t="shared" si="6"/>
        <v>0</v>
      </c>
      <c r="T65" s="199">
        <f t="shared" si="7"/>
        <v>0</v>
      </c>
      <c r="U65" s="199">
        <f t="shared" si="8"/>
        <v>635000</v>
      </c>
      <c r="V65" s="199">
        <f t="shared" si="9"/>
        <v>635000</v>
      </c>
      <c r="W65" s="199"/>
      <c r="X65" s="199"/>
      <c r="Y65" s="199"/>
      <c r="Z65" s="198"/>
      <c r="AA65" s="340" t="s">
        <v>598</v>
      </c>
      <c r="AB65" s="343">
        <v>742000</v>
      </c>
      <c r="AC65" s="466"/>
      <c r="AD65" s="4"/>
      <c r="AE65" s="4"/>
      <c r="AF65" s="4"/>
      <c r="AG65" s="4"/>
      <c r="AH65" s="4"/>
      <c r="AI65" s="4"/>
      <c r="AJ65" s="4"/>
      <c r="AK65" s="4">
        <v>635000</v>
      </c>
      <c r="AL65" s="4">
        <f t="shared" si="10"/>
        <v>635000</v>
      </c>
      <c r="AM65" s="199"/>
      <c r="AN65" s="199">
        <f t="shared" si="11"/>
        <v>635000</v>
      </c>
      <c r="AO65" s="4">
        <f t="shared" si="12"/>
        <v>0</v>
      </c>
      <c r="AP65" s="4">
        <f t="shared" si="13"/>
        <v>635000</v>
      </c>
      <c r="AQ65" s="4"/>
      <c r="AR65" s="4"/>
      <c r="AS65" s="199"/>
      <c r="AT65" s="4"/>
      <c r="AU65" s="4">
        <f t="shared" si="17"/>
        <v>0</v>
      </c>
      <c r="AV65" s="4"/>
      <c r="AW65" s="199"/>
      <c r="AX65" s="199"/>
      <c r="AY65" s="4"/>
      <c r="AZ65" s="4">
        <f t="shared" si="15"/>
        <v>0</v>
      </c>
      <c r="BA65" s="4"/>
      <c r="BB65" s="4"/>
      <c r="BC65" s="4"/>
      <c r="BD65" s="4"/>
      <c r="BE65" s="209"/>
      <c r="BF65" s="209"/>
      <c r="BG65" s="209"/>
      <c r="BH65" s="209"/>
    </row>
    <row r="66" spans="1:60" s="202" customFormat="1" ht="19.95" customHeight="1">
      <c r="A66" s="198">
        <f t="shared" si="16"/>
        <v>60</v>
      </c>
      <c r="B66" s="198">
        <v>2008</v>
      </c>
      <c r="C66" s="198" t="s">
        <v>434</v>
      </c>
      <c r="D66" s="199">
        <v>2500000</v>
      </c>
      <c r="E66" s="199">
        <v>2500000</v>
      </c>
      <c r="F66" s="199">
        <f t="shared" si="0"/>
        <v>0</v>
      </c>
      <c r="G66" s="199">
        <v>0</v>
      </c>
      <c r="H66" s="199">
        <v>0</v>
      </c>
      <c r="I66" s="199"/>
      <c r="J66" s="199"/>
      <c r="K66" s="199">
        <f>SUM(I66:J66)</f>
        <v>0</v>
      </c>
      <c r="L66" s="199">
        <f>H66+K66</f>
        <v>0</v>
      </c>
      <c r="M66" s="199">
        <f t="shared" si="3"/>
        <v>0</v>
      </c>
      <c r="N66" s="199"/>
      <c r="O66" s="199">
        <f t="shared" si="4"/>
        <v>2500000</v>
      </c>
      <c r="P66" s="199">
        <f t="shared" si="5"/>
        <v>0</v>
      </c>
      <c r="Q66" s="199"/>
      <c r="R66" s="199"/>
      <c r="S66" s="199">
        <f>SUM(Q66:R66)</f>
        <v>0</v>
      </c>
      <c r="T66" s="199">
        <f t="shared" si="7"/>
        <v>0</v>
      </c>
      <c r="U66" s="199">
        <f t="shared" si="8"/>
        <v>0</v>
      </c>
      <c r="V66" s="199">
        <f t="shared" si="9"/>
        <v>0</v>
      </c>
      <c r="W66" s="199"/>
      <c r="X66" s="199"/>
      <c r="Y66" s="199"/>
      <c r="Z66" s="198"/>
      <c r="AA66" s="467"/>
      <c r="AB66" s="198">
        <v>742000</v>
      </c>
      <c r="AC66" s="466"/>
      <c r="AD66" s="4"/>
      <c r="AE66" s="4"/>
      <c r="AF66" s="4"/>
      <c r="AG66" s="4"/>
      <c r="AH66" s="4"/>
      <c r="AI66" s="4"/>
      <c r="AJ66" s="4"/>
      <c r="AK66" s="4"/>
      <c r="AL66" s="4">
        <f t="shared" si="10"/>
        <v>0</v>
      </c>
      <c r="AM66" s="199"/>
      <c r="AN66" s="199">
        <f t="shared" si="11"/>
        <v>0</v>
      </c>
      <c r="AO66" s="4">
        <f t="shared" si="12"/>
        <v>0</v>
      </c>
      <c r="AP66" s="4">
        <f t="shared" si="13"/>
        <v>0</v>
      </c>
      <c r="AQ66" s="4"/>
      <c r="AR66" s="4"/>
      <c r="AS66" s="199"/>
      <c r="AT66" s="4"/>
      <c r="AU66" s="4">
        <f t="shared" si="17"/>
        <v>0</v>
      </c>
      <c r="AV66" s="4"/>
      <c r="AW66" s="199"/>
      <c r="AX66" s="199"/>
      <c r="AY66" s="4"/>
      <c r="AZ66" s="4">
        <f t="shared" si="15"/>
        <v>0</v>
      </c>
      <c r="BA66" s="4"/>
      <c r="BB66" s="4"/>
      <c r="BC66" s="4"/>
      <c r="BD66" s="4"/>
      <c r="BE66" s="209"/>
      <c r="BF66" s="209"/>
      <c r="BG66" s="209"/>
      <c r="BH66" s="209"/>
    </row>
    <row r="67" spans="1:60" s="202" customFormat="1" ht="19.95" customHeight="1">
      <c r="A67" s="198">
        <f t="shared" si="16"/>
        <v>61</v>
      </c>
      <c r="B67" s="198">
        <v>2015</v>
      </c>
      <c r="C67" s="397" t="s">
        <v>887</v>
      </c>
      <c r="D67" s="199">
        <v>10500000</v>
      </c>
      <c r="E67" s="199">
        <v>10500000</v>
      </c>
      <c r="F67" s="199">
        <f t="shared" si="0"/>
        <v>0</v>
      </c>
      <c r="G67" s="199">
        <v>250000</v>
      </c>
      <c r="H67" s="199">
        <v>0</v>
      </c>
      <c r="I67" s="199"/>
      <c r="J67" s="199"/>
      <c r="K67" s="199">
        <f t="shared" si="18"/>
        <v>0</v>
      </c>
      <c r="L67" s="199">
        <f t="shared" si="1"/>
        <v>0</v>
      </c>
      <c r="M67" s="199">
        <f t="shared" si="3"/>
        <v>5500000</v>
      </c>
      <c r="N67" s="199">
        <v>5000000</v>
      </c>
      <c r="O67" s="199">
        <f t="shared" si="4"/>
        <v>0</v>
      </c>
      <c r="P67" s="199">
        <f t="shared" si="5"/>
        <v>250000</v>
      </c>
      <c r="Q67" s="199">
        <v>5250000</v>
      </c>
      <c r="R67" s="199"/>
      <c r="S67" s="199">
        <f t="shared" si="6"/>
        <v>5250000</v>
      </c>
      <c r="T67" s="199">
        <f t="shared" si="7"/>
        <v>0</v>
      </c>
      <c r="U67" s="199">
        <f t="shared" si="8"/>
        <v>5000000</v>
      </c>
      <c r="V67" s="199">
        <f t="shared" si="9"/>
        <v>5000000</v>
      </c>
      <c r="W67" s="199"/>
      <c r="X67" s="199"/>
      <c r="Y67" s="199"/>
      <c r="Z67" s="198"/>
      <c r="AA67" s="340" t="s">
        <v>891</v>
      </c>
      <c r="AB67" s="198">
        <v>810000</v>
      </c>
      <c r="AC67" s="466"/>
      <c r="AD67" s="4"/>
      <c r="AE67" s="4"/>
      <c r="AF67" s="4"/>
      <c r="AG67" s="4"/>
      <c r="AH67" s="4"/>
      <c r="AI67" s="4"/>
      <c r="AJ67" s="4"/>
      <c r="AK67" s="4">
        <v>5000000</v>
      </c>
      <c r="AL67" s="4">
        <f t="shared" si="10"/>
        <v>5000000</v>
      </c>
      <c r="AM67" s="199"/>
      <c r="AN67" s="199">
        <f t="shared" si="11"/>
        <v>5000000</v>
      </c>
      <c r="AO67" s="4">
        <f t="shared" si="12"/>
        <v>0</v>
      </c>
      <c r="AP67" s="4">
        <f t="shared" si="13"/>
        <v>5000000</v>
      </c>
      <c r="AQ67" s="4"/>
      <c r="AR67" s="4"/>
      <c r="AS67" s="199"/>
      <c r="AT67" s="4"/>
      <c r="AU67" s="4">
        <f t="shared" si="17"/>
        <v>0</v>
      </c>
      <c r="AV67" s="4"/>
      <c r="AW67" s="199"/>
      <c r="AX67" s="199"/>
      <c r="AY67" s="4"/>
      <c r="AZ67" s="4">
        <f t="shared" si="15"/>
        <v>0</v>
      </c>
      <c r="BA67" s="4"/>
      <c r="BB67" s="4"/>
      <c r="BC67" s="4"/>
      <c r="BD67" s="4"/>
    </row>
    <row r="68" spans="1:60" s="203" customFormat="1" ht="19.95" customHeight="1">
      <c r="A68" s="198">
        <f t="shared" si="16"/>
        <v>62</v>
      </c>
      <c r="B68" s="198">
        <v>2016</v>
      </c>
      <c r="C68" s="397" t="s">
        <v>888</v>
      </c>
      <c r="D68" s="199">
        <v>7340000</v>
      </c>
      <c r="E68" s="199">
        <v>7340000</v>
      </c>
      <c r="F68" s="199">
        <f t="shared" si="0"/>
        <v>0</v>
      </c>
      <c r="G68" s="199">
        <v>7340000</v>
      </c>
      <c r="H68" s="199">
        <v>5006147</v>
      </c>
      <c r="I68" s="199"/>
      <c r="J68" s="199">
        <v>2333837</v>
      </c>
      <c r="K68" s="199">
        <f t="shared" si="18"/>
        <v>2333837</v>
      </c>
      <c r="L68" s="199">
        <f t="shared" si="1"/>
        <v>7339984</v>
      </c>
      <c r="M68" s="199">
        <f t="shared" si="3"/>
        <v>16</v>
      </c>
      <c r="N68" s="199"/>
      <c r="O68" s="199">
        <f t="shared" si="4"/>
        <v>0</v>
      </c>
      <c r="P68" s="199">
        <f t="shared" si="5"/>
        <v>16</v>
      </c>
      <c r="Q68" s="199"/>
      <c r="R68" s="199"/>
      <c r="S68" s="199">
        <f t="shared" si="6"/>
        <v>0</v>
      </c>
      <c r="T68" s="199">
        <f t="shared" si="7"/>
        <v>0</v>
      </c>
      <c r="U68" s="199">
        <f t="shared" si="8"/>
        <v>0</v>
      </c>
      <c r="V68" s="199">
        <f t="shared" si="9"/>
        <v>0</v>
      </c>
      <c r="W68" s="199"/>
      <c r="X68" s="199"/>
      <c r="Y68" s="199"/>
      <c r="Z68" s="198"/>
      <c r="AA68" s="340"/>
      <c r="AB68" s="198">
        <v>810000</v>
      </c>
      <c r="AC68" s="469"/>
      <c r="AD68" s="486"/>
      <c r="AE68" s="486"/>
      <c r="AF68" s="486"/>
      <c r="AG68" s="486"/>
      <c r="AH68" s="486"/>
      <c r="AI68" s="486"/>
      <c r="AJ68" s="486"/>
      <c r="AK68" s="486"/>
      <c r="AL68" s="486">
        <f t="shared" si="10"/>
        <v>0</v>
      </c>
      <c r="AM68" s="199"/>
      <c r="AN68" s="199">
        <f t="shared" si="11"/>
        <v>0</v>
      </c>
      <c r="AO68" s="4">
        <f t="shared" si="12"/>
        <v>0</v>
      </c>
      <c r="AP68" s="4">
        <f t="shared" si="13"/>
        <v>0</v>
      </c>
      <c r="AQ68" s="4"/>
      <c r="AR68" s="4"/>
      <c r="AS68" s="199"/>
      <c r="AT68" s="4"/>
      <c r="AU68" s="4">
        <f t="shared" si="17"/>
        <v>0</v>
      </c>
      <c r="AV68" s="4"/>
      <c r="AW68" s="199"/>
      <c r="AX68" s="199"/>
      <c r="AY68" s="4"/>
      <c r="AZ68" s="4">
        <f t="shared" si="15"/>
        <v>0</v>
      </c>
      <c r="BA68" s="4"/>
      <c r="BB68" s="4"/>
      <c r="BC68" s="4"/>
      <c r="BD68" s="4"/>
    </row>
    <row r="69" spans="1:60" s="334" customFormat="1" ht="19.95" customHeight="1">
      <c r="A69" s="198">
        <f t="shared" si="16"/>
        <v>63</v>
      </c>
      <c r="B69" s="198">
        <v>2017</v>
      </c>
      <c r="C69" s="198" t="s">
        <v>468</v>
      </c>
      <c r="D69" s="199">
        <v>2000000</v>
      </c>
      <c r="E69" s="199">
        <v>2000000</v>
      </c>
      <c r="F69" s="199">
        <f t="shared" si="0"/>
        <v>0</v>
      </c>
      <c r="G69" s="199">
        <v>500000</v>
      </c>
      <c r="H69" s="199">
        <v>42787</v>
      </c>
      <c r="I69" s="199"/>
      <c r="J69" s="199">
        <v>442950.3</v>
      </c>
      <c r="K69" s="199">
        <f t="shared" si="18"/>
        <v>442950.3</v>
      </c>
      <c r="L69" s="199">
        <f t="shared" si="1"/>
        <v>485737.3</v>
      </c>
      <c r="M69" s="199">
        <f t="shared" si="3"/>
        <v>514262.7</v>
      </c>
      <c r="N69" s="199">
        <v>1000000</v>
      </c>
      <c r="O69" s="199">
        <f t="shared" si="4"/>
        <v>0</v>
      </c>
      <c r="P69" s="199">
        <f t="shared" si="5"/>
        <v>14262.700000000012</v>
      </c>
      <c r="Q69" s="199">
        <v>500000</v>
      </c>
      <c r="R69" s="199"/>
      <c r="S69" s="199">
        <f t="shared" si="6"/>
        <v>500000</v>
      </c>
      <c r="T69" s="199">
        <f t="shared" si="7"/>
        <v>0</v>
      </c>
      <c r="U69" s="199">
        <f t="shared" si="8"/>
        <v>1000000</v>
      </c>
      <c r="V69" s="199">
        <f t="shared" si="9"/>
        <v>1000000</v>
      </c>
      <c r="W69" s="199"/>
      <c r="X69" s="199"/>
      <c r="Y69" s="199"/>
      <c r="Z69" s="198"/>
      <c r="AA69" s="340" t="s">
        <v>752</v>
      </c>
      <c r="AB69" s="198">
        <v>824000</v>
      </c>
      <c r="AC69" s="466"/>
      <c r="AD69" s="4"/>
      <c r="AE69" s="4"/>
      <c r="AF69" s="4"/>
      <c r="AG69" s="4"/>
      <c r="AH69" s="4"/>
      <c r="AI69" s="4"/>
      <c r="AJ69" s="4"/>
      <c r="AK69" s="4">
        <v>1000000</v>
      </c>
      <c r="AL69" s="4">
        <f t="shared" si="10"/>
        <v>1000000</v>
      </c>
      <c r="AM69" s="199"/>
      <c r="AN69" s="199">
        <f t="shared" si="11"/>
        <v>1000000</v>
      </c>
      <c r="AO69" s="4">
        <f t="shared" si="12"/>
        <v>0</v>
      </c>
      <c r="AP69" s="4">
        <f t="shared" si="13"/>
        <v>1000000</v>
      </c>
      <c r="AQ69" s="4"/>
      <c r="AR69" s="4"/>
      <c r="AS69" s="199"/>
      <c r="AT69" s="4"/>
      <c r="AU69" s="4">
        <f t="shared" si="17"/>
        <v>0</v>
      </c>
      <c r="AV69" s="4"/>
      <c r="AW69" s="199"/>
      <c r="AX69" s="199"/>
      <c r="AY69" s="4"/>
      <c r="AZ69" s="4">
        <f t="shared" si="15"/>
        <v>0</v>
      </c>
      <c r="BA69" s="4"/>
      <c r="BB69" s="4"/>
      <c r="BC69" s="4"/>
      <c r="BD69" s="4"/>
      <c r="BE69" s="202"/>
      <c r="BF69" s="202"/>
      <c r="BG69" s="202"/>
      <c r="BH69" s="202"/>
    </row>
    <row r="70" spans="1:60" s="334" customFormat="1" ht="19.95" customHeight="1">
      <c r="A70" s="198">
        <f t="shared" si="16"/>
        <v>64</v>
      </c>
      <c r="B70" s="198">
        <v>2018</v>
      </c>
      <c r="C70" s="198" t="s">
        <v>469</v>
      </c>
      <c r="D70" s="199">
        <v>10000000</v>
      </c>
      <c r="E70" s="199">
        <v>10000000</v>
      </c>
      <c r="F70" s="199">
        <f t="shared" si="0"/>
        <v>0</v>
      </c>
      <c r="G70" s="199">
        <f>500000+500000</f>
        <v>1000000</v>
      </c>
      <c r="H70" s="199">
        <v>63471</v>
      </c>
      <c r="I70" s="199"/>
      <c r="J70" s="199">
        <v>236517.04</v>
      </c>
      <c r="K70" s="199">
        <f t="shared" si="18"/>
        <v>236517.04</v>
      </c>
      <c r="L70" s="199">
        <f t="shared" si="1"/>
        <v>299988.04000000004</v>
      </c>
      <c r="M70" s="199">
        <f t="shared" si="3"/>
        <v>3000011.96</v>
      </c>
      <c r="N70" s="199">
        <f>3300000-2000000</f>
        <v>1300000</v>
      </c>
      <c r="O70" s="199">
        <f t="shared" si="4"/>
        <v>5400000.0000000009</v>
      </c>
      <c r="P70" s="199">
        <f t="shared" si="5"/>
        <v>700011.96</v>
      </c>
      <c r="Q70" s="199">
        <f>2800000-500000</f>
        <v>2300000</v>
      </c>
      <c r="R70" s="199"/>
      <c r="S70" s="199">
        <f t="shared" si="6"/>
        <v>2300000</v>
      </c>
      <c r="T70" s="199">
        <f t="shared" si="7"/>
        <v>0</v>
      </c>
      <c r="U70" s="199">
        <f t="shared" si="8"/>
        <v>1300000</v>
      </c>
      <c r="V70" s="199">
        <f t="shared" si="9"/>
        <v>1300000</v>
      </c>
      <c r="W70" s="199"/>
      <c r="X70" s="199"/>
      <c r="Y70" s="199"/>
      <c r="Z70" s="198"/>
      <c r="AA70" s="340" t="s">
        <v>599</v>
      </c>
      <c r="AB70" s="198">
        <v>742000</v>
      </c>
      <c r="AC70" s="466"/>
      <c r="AD70" s="4"/>
      <c r="AE70" s="4"/>
      <c r="AF70" s="4"/>
      <c r="AG70" s="4"/>
      <c r="AH70" s="4"/>
      <c r="AI70" s="4"/>
      <c r="AJ70" s="4"/>
      <c r="AK70" s="4">
        <v>1300000</v>
      </c>
      <c r="AL70" s="4">
        <f t="shared" si="10"/>
        <v>1300000</v>
      </c>
      <c r="AM70" s="199"/>
      <c r="AN70" s="199">
        <f t="shared" si="11"/>
        <v>1300000</v>
      </c>
      <c r="AO70" s="4">
        <f t="shared" si="12"/>
        <v>0</v>
      </c>
      <c r="AP70" s="4">
        <f t="shared" si="13"/>
        <v>1300000</v>
      </c>
      <c r="AQ70" s="4"/>
      <c r="AR70" s="4"/>
      <c r="AS70" s="199"/>
      <c r="AT70" s="4"/>
      <c r="AU70" s="4">
        <f t="shared" si="17"/>
        <v>0</v>
      </c>
      <c r="AV70" s="4"/>
      <c r="AW70" s="199"/>
      <c r="AX70" s="199"/>
      <c r="AY70" s="4"/>
      <c r="AZ70" s="4">
        <f t="shared" si="15"/>
        <v>0</v>
      </c>
      <c r="BA70" s="4"/>
      <c r="BB70" s="4"/>
      <c r="BC70" s="4"/>
      <c r="BD70" s="4"/>
    </row>
    <row r="71" spans="1:60" ht="19.95" customHeight="1">
      <c r="A71" s="198">
        <f t="shared" si="16"/>
        <v>65</v>
      </c>
      <c r="B71" s="198">
        <v>2019</v>
      </c>
      <c r="C71" s="198" t="s">
        <v>470</v>
      </c>
      <c r="D71" s="199">
        <v>1200000</v>
      </c>
      <c r="E71" s="199">
        <v>1200000</v>
      </c>
      <c r="F71" s="199">
        <f t="shared" si="0"/>
        <v>0</v>
      </c>
      <c r="G71" s="199">
        <v>350000</v>
      </c>
      <c r="H71" s="199">
        <v>0</v>
      </c>
      <c r="I71" s="199"/>
      <c r="J71" s="199"/>
      <c r="K71" s="199">
        <f t="shared" si="18"/>
        <v>0</v>
      </c>
      <c r="L71" s="199">
        <f t="shared" ref="L71:L85" si="19">K71+H71</f>
        <v>0</v>
      </c>
      <c r="M71" s="199">
        <f t="shared" si="3"/>
        <v>1200000</v>
      </c>
      <c r="N71" s="199"/>
      <c r="O71" s="199">
        <f t="shared" si="4"/>
        <v>0</v>
      </c>
      <c r="P71" s="199">
        <f t="shared" si="5"/>
        <v>350000</v>
      </c>
      <c r="Q71" s="199">
        <v>850000</v>
      </c>
      <c r="R71" s="199"/>
      <c r="S71" s="199">
        <f t="shared" si="6"/>
        <v>850000</v>
      </c>
      <c r="T71" s="199">
        <f t="shared" si="7"/>
        <v>0</v>
      </c>
      <c r="U71" s="199">
        <f t="shared" si="8"/>
        <v>0</v>
      </c>
      <c r="V71" s="199">
        <f t="shared" si="9"/>
        <v>0</v>
      </c>
      <c r="W71" s="199"/>
      <c r="X71" s="199"/>
      <c r="Y71" s="199"/>
      <c r="Z71" s="198"/>
      <c r="AA71" s="340" t="s">
        <v>600</v>
      </c>
      <c r="AB71" s="198">
        <v>742000</v>
      </c>
      <c r="AC71" s="469"/>
      <c r="AD71" s="486"/>
      <c r="AE71" s="486"/>
      <c r="AF71" s="486"/>
      <c r="AG71" s="486"/>
      <c r="AH71" s="486"/>
      <c r="AI71" s="486"/>
      <c r="AJ71" s="486"/>
      <c r="AK71" s="486"/>
      <c r="AL71" s="486">
        <f t="shared" si="10"/>
        <v>0</v>
      </c>
      <c r="AM71" s="199"/>
      <c r="AN71" s="199">
        <f t="shared" si="11"/>
        <v>0</v>
      </c>
      <c r="AO71" s="4">
        <f t="shared" si="12"/>
        <v>0</v>
      </c>
      <c r="AP71" s="4">
        <f t="shared" si="13"/>
        <v>0</v>
      </c>
      <c r="AQ71" s="4"/>
      <c r="AR71" s="4"/>
      <c r="AS71" s="199"/>
      <c r="AT71" s="4"/>
      <c r="AU71" s="4">
        <f t="shared" si="17"/>
        <v>0</v>
      </c>
      <c r="AV71" s="4"/>
      <c r="AW71" s="199"/>
      <c r="AX71" s="199"/>
      <c r="AY71" s="4"/>
      <c r="AZ71" s="4">
        <f t="shared" si="15"/>
        <v>0</v>
      </c>
      <c r="BA71" s="4"/>
      <c r="BB71" s="4"/>
      <c r="BC71" s="4"/>
      <c r="BD71" s="4"/>
    </row>
    <row r="72" spans="1:60" s="202" customFormat="1" ht="19.95" customHeight="1">
      <c r="A72" s="198">
        <f t="shared" si="16"/>
        <v>66</v>
      </c>
      <c r="B72" s="198">
        <v>2021</v>
      </c>
      <c r="C72" s="198" t="s">
        <v>360</v>
      </c>
      <c r="D72" s="199">
        <v>8200000</v>
      </c>
      <c r="E72" s="199">
        <v>500000</v>
      </c>
      <c r="F72" s="199">
        <f t="shared" si="0"/>
        <v>7700000</v>
      </c>
      <c r="G72" s="199">
        <v>150000</v>
      </c>
      <c r="H72" s="199">
        <v>34106</v>
      </c>
      <c r="I72" s="199"/>
      <c r="J72" s="199">
        <v>115890</v>
      </c>
      <c r="K72" s="199">
        <f t="shared" si="18"/>
        <v>115890</v>
      </c>
      <c r="L72" s="199">
        <f t="shared" si="19"/>
        <v>149996</v>
      </c>
      <c r="M72" s="199">
        <f t="shared" ref="M72:M85" si="20">P72+S72</f>
        <v>350004</v>
      </c>
      <c r="N72" s="199">
        <f>7700000-5200000</f>
        <v>2500000</v>
      </c>
      <c r="O72" s="199">
        <f t="shared" ref="O72:O92" si="21">D72-L72-M72-N72</f>
        <v>5200000</v>
      </c>
      <c r="P72" s="199">
        <f t="shared" ref="P72:P85" si="22">G72-L72</f>
        <v>4</v>
      </c>
      <c r="Q72" s="199">
        <v>350000</v>
      </c>
      <c r="R72" s="199"/>
      <c r="S72" s="199">
        <f t="shared" ref="S72:S85" si="23">SUM(Q72:R72)</f>
        <v>350000</v>
      </c>
      <c r="T72" s="199">
        <f t="shared" ref="T72:T85" si="24">P72-M72+S72</f>
        <v>0</v>
      </c>
      <c r="U72" s="199">
        <f t="shared" ref="U72:U92" si="25">N72-T72</f>
        <v>2500000</v>
      </c>
      <c r="V72" s="199">
        <f t="shared" ref="V72:V91" si="26">U72-Y72-X72-Z72-W72</f>
        <v>2500000</v>
      </c>
      <c r="W72" s="199"/>
      <c r="X72" s="199"/>
      <c r="Y72" s="199"/>
      <c r="Z72" s="198"/>
      <c r="AA72" s="340" t="s">
        <v>753</v>
      </c>
      <c r="AB72" s="198">
        <v>850000</v>
      </c>
      <c r="AC72" s="469"/>
      <c r="AD72" s="486"/>
      <c r="AE72" s="486"/>
      <c r="AF72" s="486"/>
      <c r="AG72" s="486"/>
      <c r="AH72" s="486"/>
      <c r="AI72" s="486"/>
      <c r="AJ72" s="486"/>
      <c r="AK72" s="486"/>
      <c r="AL72" s="486">
        <f t="shared" ref="AL72:AL92" si="27">SUM(AC72:AK72)</f>
        <v>0</v>
      </c>
      <c r="AM72" s="199"/>
      <c r="AN72" s="199">
        <f t="shared" ref="AN72:AN92" si="28">AL72+AM72</f>
        <v>0</v>
      </c>
      <c r="AO72" s="4">
        <f t="shared" ref="AO72:AO92" si="29">U72-AN72</f>
        <v>2500000</v>
      </c>
      <c r="AP72" s="4">
        <f t="shared" ref="AP72:AP92" si="30">AN72-AQ72-AS72-AT72</f>
        <v>0</v>
      </c>
      <c r="AQ72" s="4"/>
      <c r="AR72" s="4"/>
      <c r="AS72" s="199"/>
      <c r="AT72" s="4"/>
      <c r="AU72" s="4">
        <f t="shared" si="17"/>
        <v>0</v>
      </c>
      <c r="AV72" s="4"/>
      <c r="AW72" s="199"/>
      <c r="AX72" s="199"/>
      <c r="AY72" s="4"/>
      <c r="AZ72" s="4">
        <f t="shared" ref="AZ72:AZ92" si="31">AO72-BA72-BB72-BC72-BD72</f>
        <v>2500000</v>
      </c>
      <c r="BA72" s="4"/>
      <c r="BB72" s="4"/>
      <c r="BC72" s="4"/>
      <c r="BD72" s="4"/>
    </row>
    <row r="73" spans="1:60" s="202" customFormat="1" ht="19.95" customHeight="1">
      <c r="A73" s="198">
        <f t="shared" ref="A73:A92" si="32">A72+1</f>
        <v>67</v>
      </c>
      <c r="B73" s="198">
        <v>2022</v>
      </c>
      <c r="C73" s="198" t="s">
        <v>764</v>
      </c>
      <c r="D73" s="199">
        <v>20000000</v>
      </c>
      <c r="E73" s="199">
        <v>20000000</v>
      </c>
      <c r="F73" s="199">
        <f t="shared" si="0"/>
        <v>0</v>
      </c>
      <c r="G73" s="199">
        <v>200000</v>
      </c>
      <c r="H73" s="199">
        <v>0</v>
      </c>
      <c r="I73" s="199"/>
      <c r="J73" s="199"/>
      <c r="K73" s="199">
        <f t="shared" si="18"/>
        <v>0</v>
      </c>
      <c r="L73" s="199">
        <f t="shared" si="19"/>
        <v>0</v>
      </c>
      <c r="M73" s="199">
        <f t="shared" si="20"/>
        <v>2000000</v>
      </c>
      <c r="N73" s="199">
        <v>18000000</v>
      </c>
      <c r="O73" s="199">
        <f t="shared" si="21"/>
        <v>0</v>
      </c>
      <c r="P73" s="199">
        <f t="shared" si="22"/>
        <v>200000</v>
      </c>
      <c r="Q73" s="199">
        <f>2000000-200000</f>
        <v>1800000</v>
      </c>
      <c r="R73" s="199"/>
      <c r="S73" s="199">
        <f t="shared" si="23"/>
        <v>1800000</v>
      </c>
      <c r="T73" s="199">
        <f t="shared" si="24"/>
        <v>0</v>
      </c>
      <c r="U73" s="199">
        <f t="shared" si="25"/>
        <v>18000000</v>
      </c>
      <c r="V73" s="199">
        <f t="shared" si="26"/>
        <v>18000000</v>
      </c>
      <c r="W73" s="199"/>
      <c r="X73" s="199"/>
      <c r="Y73" s="199"/>
      <c r="Z73" s="198"/>
      <c r="AA73" s="340" t="s">
        <v>754</v>
      </c>
      <c r="AB73" s="198">
        <v>829000</v>
      </c>
      <c r="AC73" s="466"/>
      <c r="AD73" s="4"/>
      <c r="AE73" s="4"/>
      <c r="AF73" s="4"/>
      <c r="AG73" s="4"/>
      <c r="AH73" s="4"/>
      <c r="AI73" s="4"/>
      <c r="AJ73" s="4"/>
      <c r="AK73" s="4">
        <v>18000000</v>
      </c>
      <c r="AL73" s="4">
        <f t="shared" si="27"/>
        <v>18000000</v>
      </c>
      <c r="AM73" s="199"/>
      <c r="AN73" s="199">
        <f t="shared" si="28"/>
        <v>18000000</v>
      </c>
      <c r="AO73" s="4">
        <f t="shared" si="29"/>
        <v>0</v>
      </c>
      <c r="AP73" s="4">
        <f t="shared" si="30"/>
        <v>18000000</v>
      </c>
      <c r="AQ73" s="4"/>
      <c r="AR73" s="4"/>
      <c r="AS73" s="199"/>
      <c r="AT73" s="4"/>
      <c r="AU73" s="4">
        <f t="shared" si="17"/>
        <v>0</v>
      </c>
      <c r="AV73" s="4"/>
      <c r="AW73" s="199"/>
      <c r="AX73" s="199"/>
      <c r="AY73" s="4"/>
      <c r="AZ73" s="4">
        <f t="shared" si="31"/>
        <v>0</v>
      </c>
      <c r="BA73" s="4"/>
      <c r="BB73" s="4"/>
      <c r="BC73" s="4"/>
      <c r="BD73" s="4"/>
    </row>
    <row r="74" spans="1:60" s="202" customFormat="1" ht="19.95" customHeight="1">
      <c r="A74" s="198">
        <f t="shared" si="32"/>
        <v>68</v>
      </c>
      <c r="B74" s="198">
        <v>2023</v>
      </c>
      <c r="C74" s="198" t="s">
        <v>471</v>
      </c>
      <c r="D74" s="199">
        <v>7340000</v>
      </c>
      <c r="E74" s="199">
        <v>7340000</v>
      </c>
      <c r="F74" s="199">
        <f t="shared" si="0"/>
        <v>0</v>
      </c>
      <c r="G74" s="199">
        <v>250000</v>
      </c>
      <c r="H74" s="199">
        <v>4713</v>
      </c>
      <c r="I74" s="199"/>
      <c r="J74" s="199">
        <v>245286.99</v>
      </c>
      <c r="K74" s="199">
        <f t="shared" si="18"/>
        <v>245286.99</v>
      </c>
      <c r="L74" s="199">
        <f t="shared" si="19"/>
        <v>249999.99</v>
      </c>
      <c r="M74" s="199">
        <f t="shared" si="20"/>
        <v>2750000.01</v>
      </c>
      <c r="N74" s="199">
        <v>4340000</v>
      </c>
      <c r="O74" s="199">
        <f t="shared" si="21"/>
        <v>0</v>
      </c>
      <c r="P74" s="199">
        <f t="shared" si="22"/>
        <v>1.0000000009313226E-2</v>
      </c>
      <c r="Q74" s="199">
        <v>2750000</v>
      </c>
      <c r="R74" s="199"/>
      <c r="S74" s="199">
        <f t="shared" si="23"/>
        <v>2750000</v>
      </c>
      <c r="T74" s="199">
        <f t="shared" si="24"/>
        <v>0</v>
      </c>
      <c r="U74" s="199">
        <f t="shared" si="25"/>
        <v>4340000</v>
      </c>
      <c r="V74" s="199">
        <f t="shared" si="26"/>
        <v>4340000</v>
      </c>
      <c r="W74" s="199"/>
      <c r="X74" s="199"/>
      <c r="Y74" s="199"/>
      <c r="Z74" s="198"/>
      <c r="AA74" s="340" t="s">
        <v>601</v>
      </c>
      <c r="AB74" s="198">
        <v>810000</v>
      </c>
      <c r="AC74" s="466"/>
      <c r="AD74" s="4"/>
      <c r="AE74" s="4"/>
      <c r="AF74" s="4"/>
      <c r="AG74" s="4"/>
      <c r="AH74" s="4"/>
      <c r="AI74" s="4"/>
      <c r="AJ74" s="4"/>
      <c r="AK74" s="4">
        <f>4340000-4340000</f>
        <v>0</v>
      </c>
      <c r="AL74" s="4">
        <f t="shared" si="27"/>
        <v>0</v>
      </c>
      <c r="AM74" s="199"/>
      <c r="AN74" s="199">
        <f t="shared" si="28"/>
        <v>0</v>
      </c>
      <c r="AO74" s="4">
        <f t="shared" si="29"/>
        <v>4340000</v>
      </c>
      <c r="AP74" s="4">
        <f t="shared" si="30"/>
        <v>0</v>
      </c>
      <c r="AQ74" s="4"/>
      <c r="AR74" s="4"/>
      <c r="AS74" s="199"/>
      <c r="AT74" s="4"/>
      <c r="AU74" s="4">
        <f t="shared" si="17"/>
        <v>0</v>
      </c>
      <c r="AV74" s="4"/>
      <c r="AW74" s="199"/>
      <c r="AX74" s="199"/>
      <c r="AY74" s="4"/>
      <c r="AZ74" s="4">
        <f t="shared" si="31"/>
        <v>4340000</v>
      </c>
      <c r="BA74" s="4"/>
      <c r="BB74" s="4"/>
      <c r="BC74" s="4"/>
      <c r="BD74" s="4"/>
    </row>
    <row r="75" spans="1:60" s="202" customFormat="1" ht="19.95" customHeight="1">
      <c r="A75" s="198">
        <f t="shared" si="32"/>
        <v>69</v>
      </c>
      <c r="B75" s="198">
        <v>2024</v>
      </c>
      <c r="C75" s="198" t="s">
        <v>472</v>
      </c>
      <c r="D75" s="199">
        <v>7340000</v>
      </c>
      <c r="E75" s="199">
        <v>7340000</v>
      </c>
      <c r="F75" s="199">
        <f t="shared" si="0"/>
        <v>0</v>
      </c>
      <c r="G75" s="199">
        <v>250000</v>
      </c>
      <c r="H75" s="199">
        <v>10393</v>
      </c>
      <c r="I75" s="199"/>
      <c r="J75" s="199">
        <v>239519.55</v>
      </c>
      <c r="K75" s="199">
        <f t="shared" si="18"/>
        <v>239519.55</v>
      </c>
      <c r="L75" s="199">
        <f t="shared" si="19"/>
        <v>249912.55</v>
      </c>
      <c r="M75" s="199">
        <f t="shared" si="20"/>
        <v>450087.45</v>
      </c>
      <c r="N75" s="199">
        <f>6640000-6640000</f>
        <v>0</v>
      </c>
      <c r="O75" s="199">
        <f t="shared" si="21"/>
        <v>6640000</v>
      </c>
      <c r="P75" s="199">
        <f t="shared" si="22"/>
        <v>87.450000000011642</v>
      </c>
      <c r="Q75" s="199">
        <v>450000</v>
      </c>
      <c r="R75" s="199"/>
      <c r="S75" s="199">
        <f t="shared" si="23"/>
        <v>450000</v>
      </c>
      <c r="T75" s="199">
        <f t="shared" si="24"/>
        <v>0</v>
      </c>
      <c r="U75" s="199">
        <f t="shared" si="25"/>
        <v>0</v>
      </c>
      <c r="V75" s="199">
        <f t="shared" si="26"/>
        <v>0</v>
      </c>
      <c r="W75" s="199"/>
      <c r="X75" s="199"/>
      <c r="Y75" s="199"/>
      <c r="Z75" s="198"/>
      <c r="AA75" s="340" t="s">
        <v>602</v>
      </c>
      <c r="AB75" s="198">
        <v>810000</v>
      </c>
      <c r="AC75" s="469"/>
      <c r="AD75" s="199"/>
      <c r="AE75" s="199"/>
      <c r="AF75" s="199"/>
      <c r="AG75" s="199"/>
      <c r="AH75" s="199"/>
      <c r="AI75" s="199"/>
      <c r="AJ75" s="199"/>
      <c r="AK75" s="199"/>
      <c r="AL75" s="199">
        <f t="shared" si="27"/>
        <v>0</v>
      </c>
      <c r="AM75" s="199"/>
      <c r="AN75" s="199">
        <f t="shared" si="28"/>
        <v>0</v>
      </c>
      <c r="AO75" s="4">
        <f t="shared" si="29"/>
        <v>0</v>
      </c>
      <c r="AP75" s="4">
        <f t="shared" si="30"/>
        <v>0</v>
      </c>
      <c r="AQ75" s="4"/>
      <c r="AR75" s="4"/>
      <c r="AS75" s="199"/>
      <c r="AT75" s="4"/>
      <c r="AU75" s="4">
        <f t="shared" si="17"/>
        <v>0</v>
      </c>
      <c r="AV75" s="4"/>
      <c r="AW75" s="199"/>
      <c r="AX75" s="199"/>
      <c r="AY75" s="4"/>
      <c r="AZ75" s="4">
        <f t="shared" si="31"/>
        <v>0</v>
      </c>
      <c r="BA75" s="4"/>
      <c r="BB75" s="4"/>
      <c r="BC75" s="4"/>
      <c r="BD75" s="4"/>
    </row>
    <row r="76" spans="1:60" s="202" customFormat="1" ht="19.95" customHeight="1">
      <c r="A76" s="198">
        <f t="shared" si="32"/>
        <v>70</v>
      </c>
      <c r="B76" s="198">
        <v>2025</v>
      </c>
      <c r="C76" s="198" t="s">
        <v>473</v>
      </c>
      <c r="D76" s="199">
        <v>2600000</v>
      </c>
      <c r="E76" s="199">
        <v>2600000</v>
      </c>
      <c r="F76" s="199">
        <f t="shared" si="0"/>
        <v>0</v>
      </c>
      <c r="G76" s="199">
        <v>150000</v>
      </c>
      <c r="H76" s="199">
        <v>6201</v>
      </c>
      <c r="I76" s="199"/>
      <c r="J76" s="199">
        <v>143797</v>
      </c>
      <c r="K76" s="199">
        <f t="shared" si="18"/>
        <v>143797</v>
      </c>
      <c r="L76" s="199">
        <f t="shared" si="19"/>
        <v>149998</v>
      </c>
      <c r="M76" s="199">
        <f t="shared" si="20"/>
        <v>1150002</v>
      </c>
      <c r="N76" s="199">
        <v>1300000</v>
      </c>
      <c r="O76" s="199">
        <f t="shared" si="21"/>
        <v>0</v>
      </c>
      <c r="P76" s="199">
        <f t="shared" si="22"/>
        <v>2</v>
      </c>
      <c r="Q76" s="199">
        <v>1150000</v>
      </c>
      <c r="R76" s="199"/>
      <c r="S76" s="199">
        <f t="shared" si="23"/>
        <v>1150000</v>
      </c>
      <c r="T76" s="199">
        <f t="shared" si="24"/>
        <v>0</v>
      </c>
      <c r="U76" s="199">
        <f t="shared" si="25"/>
        <v>1300000</v>
      </c>
      <c r="V76" s="199">
        <f t="shared" si="26"/>
        <v>1300000</v>
      </c>
      <c r="W76" s="199"/>
      <c r="X76" s="199"/>
      <c r="Y76" s="199"/>
      <c r="Z76" s="198"/>
      <c r="AA76" s="340" t="s">
        <v>603</v>
      </c>
      <c r="AB76" s="198">
        <v>810000</v>
      </c>
      <c r="AC76" s="486"/>
      <c r="AD76" s="199"/>
      <c r="AE76" s="199"/>
      <c r="AF76" s="199"/>
      <c r="AG76" s="199"/>
      <c r="AH76" s="199"/>
      <c r="AI76" s="199">
        <v>300000</v>
      </c>
      <c r="AJ76" s="199"/>
      <c r="AK76" s="199">
        <v>1000000</v>
      </c>
      <c r="AL76" s="199">
        <f t="shared" si="27"/>
        <v>1300000</v>
      </c>
      <c r="AM76" s="199"/>
      <c r="AN76" s="199">
        <f t="shared" si="28"/>
        <v>1300000</v>
      </c>
      <c r="AO76" s="4">
        <f t="shared" si="29"/>
        <v>0</v>
      </c>
      <c r="AP76" s="4">
        <f t="shared" si="30"/>
        <v>1300000</v>
      </c>
      <c r="AQ76" s="4"/>
      <c r="AR76" s="4"/>
      <c r="AS76" s="199"/>
      <c r="AT76" s="4"/>
      <c r="AU76" s="4">
        <f t="shared" si="17"/>
        <v>0</v>
      </c>
      <c r="AV76" s="4"/>
      <c r="AW76" s="199"/>
      <c r="AX76" s="199"/>
      <c r="AY76" s="4"/>
      <c r="AZ76" s="4">
        <f t="shared" si="31"/>
        <v>0</v>
      </c>
      <c r="BA76" s="4"/>
      <c r="BB76" s="4"/>
      <c r="BC76" s="4"/>
      <c r="BD76" s="4"/>
    </row>
    <row r="77" spans="1:60" s="202" customFormat="1" ht="19.95" customHeight="1">
      <c r="A77" s="198">
        <f t="shared" si="32"/>
        <v>71</v>
      </c>
      <c r="B77" s="198">
        <v>2026</v>
      </c>
      <c r="C77" s="198" t="s">
        <v>384</v>
      </c>
      <c r="D77" s="199">
        <v>8200000</v>
      </c>
      <c r="E77" s="199">
        <v>7340000</v>
      </c>
      <c r="F77" s="199">
        <f t="shared" si="0"/>
        <v>860000</v>
      </c>
      <c r="G77" s="199">
        <v>150000</v>
      </c>
      <c r="H77" s="199">
        <v>0</v>
      </c>
      <c r="I77" s="199"/>
      <c r="J77" s="199">
        <v>147883.44</v>
      </c>
      <c r="K77" s="199">
        <f t="shared" si="18"/>
        <v>147883.44</v>
      </c>
      <c r="L77" s="199">
        <f t="shared" si="19"/>
        <v>147883.44</v>
      </c>
      <c r="M77" s="199">
        <f t="shared" si="20"/>
        <v>2116.5599999999977</v>
      </c>
      <c r="N77" s="199">
        <v>8050000</v>
      </c>
      <c r="O77" s="199">
        <f t="shared" si="21"/>
        <v>0</v>
      </c>
      <c r="P77" s="199">
        <f t="shared" si="22"/>
        <v>2116.5599999999977</v>
      </c>
      <c r="Q77" s="199"/>
      <c r="R77" s="199"/>
      <c r="S77" s="199">
        <f t="shared" si="23"/>
        <v>0</v>
      </c>
      <c r="T77" s="199">
        <f t="shared" si="24"/>
        <v>0</v>
      </c>
      <c r="U77" s="199">
        <f t="shared" si="25"/>
        <v>8050000</v>
      </c>
      <c r="V77" s="199">
        <f t="shared" si="26"/>
        <v>8050000</v>
      </c>
      <c r="W77" s="199"/>
      <c r="X77" s="199"/>
      <c r="Y77" s="199"/>
      <c r="Z77" s="198"/>
      <c r="AA77" s="340" t="s">
        <v>604</v>
      </c>
      <c r="AB77" s="198">
        <v>810000</v>
      </c>
      <c r="AC77" s="486"/>
      <c r="AD77" s="199">
        <v>150000</v>
      </c>
      <c r="AE77" s="199"/>
      <c r="AF77" s="199">
        <v>1000000</v>
      </c>
      <c r="AG77" s="199">
        <v>900000</v>
      </c>
      <c r="AH77" s="199"/>
      <c r="AI77" s="199">
        <v>2500000</v>
      </c>
      <c r="AJ77" s="199"/>
      <c r="AK77" s="199">
        <v>3500000</v>
      </c>
      <c r="AL77" s="199">
        <f t="shared" si="27"/>
        <v>8050000</v>
      </c>
      <c r="AM77" s="199"/>
      <c r="AN77" s="199">
        <f t="shared" si="28"/>
        <v>8050000</v>
      </c>
      <c r="AO77" s="4">
        <f t="shared" si="29"/>
        <v>0</v>
      </c>
      <c r="AP77" s="4">
        <f t="shared" si="30"/>
        <v>8050000</v>
      </c>
      <c r="AQ77" s="4"/>
      <c r="AR77" s="4"/>
      <c r="AS77" s="199"/>
      <c r="AT77" s="4"/>
      <c r="AU77" s="4">
        <f t="shared" si="17"/>
        <v>0</v>
      </c>
      <c r="AV77" s="4"/>
      <c r="AW77" s="199"/>
      <c r="AX77" s="199"/>
      <c r="AY77" s="4"/>
      <c r="AZ77" s="4">
        <f t="shared" si="31"/>
        <v>0</v>
      </c>
      <c r="BA77" s="4"/>
      <c r="BB77" s="4"/>
      <c r="BC77" s="4"/>
      <c r="BD77" s="4"/>
    </row>
    <row r="78" spans="1:60" ht="19.95" customHeight="1">
      <c r="A78" s="198">
        <f t="shared" si="32"/>
        <v>72</v>
      </c>
      <c r="B78" s="340">
        <v>2058</v>
      </c>
      <c r="C78" s="198" t="s">
        <v>474</v>
      </c>
      <c r="D78" s="199">
        <v>2330000</v>
      </c>
      <c r="E78" s="199">
        <v>2330000</v>
      </c>
      <c r="F78" s="199">
        <f t="shared" si="0"/>
        <v>0</v>
      </c>
      <c r="G78" s="199">
        <v>630000</v>
      </c>
      <c r="H78" s="199">
        <v>0</v>
      </c>
      <c r="I78" s="199"/>
      <c r="J78" s="199"/>
      <c r="K78" s="199">
        <f t="shared" si="18"/>
        <v>0</v>
      </c>
      <c r="L78" s="199">
        <f t="shared" si="19"/>
        <v>0</v>
      </c>
      <c r="M78" s="199">
        <f>P78+S78-500000</f>
        <v>130000</v>
      </c>
      <c r="N78" s="199"/>
      <c r="O78" s="199">
        <f t="shared" si="21"/>
        <v>2200000</v>
      </c>
      <c r="P78" s="199">
        <f t="shared" si="22"/>
        <v>630000</v>
      </c>
      <c r="Q78" s="199"/>
      <c r="R78" s="199"/>
      <c r="S78" s="199">
        <f t="shared" si="23"/>
        <v>0</v>
      </c>
      <c r="T78" s="199">
        <f t="shared" si="24"/>
        <v>500000</v>
      </c>
      <c r="U78" s="199">
        <f t="shared" si="25"/>
        <v>-500000</v>
      </c>
      <c r="V78" s="199">
        <f t="shared" si="26"/>
        <v>-500000</v>
      </c>
      <c r="W78" s="199"/>
      <c r="X78" s="199"/>
      <c r="Y78" s="199"/>
      <c r="Z78" s="198"/>
      <c r="AA78" s="340"/>
      <c r="AB78" s="198">
        <v>826000</v>
      </c>
      <c r="AC78" s="486"/>
      <c r="AD78" s="199"/>
      <c r="AE78" s="199">
        <v>-500000</v>
      </c>
      <c r="AF78" s="199"/>
      <c r="AG78" s="199"/>
      <c r="AH78" s="199"/>
      <c r="AI78" s="199"/>
      <c r="AJ78" s="199"/>
      <c r="AK78" s="199"/>
      <c r="AL78" s="199">
        <f t="shared" si="27"/>
        <v>-500000</v>
      </c>
      <c r="AM78" s="199"/>
      <c r="AN78" s="199">
        <f t="shared" si="28"/>
        <v>-500000</v>
      </c>
      <c r="AO78" s="4">
        <f t="shared" si="29"/>
        <v>0</v>
      </c>
      <c r="AP78" s="4">
        <f t="shared" si="30"/>
        <v>-500000</v>
      </c>
      <c r="AQ78" s="4"/>
      <c r="AR78" s="4"/>
      <c r="AS78" s="199"/>
      <c r="AT78" s="4"/>
      <c r="AU78" s="4">
        <f t="shared" si="17"/>
        <v>0</v>
      </c>
      <c r="AV78" s="4"/>
      <c r="AW78" s="199"/>
      <c r="AX78" s="199"/>
      <c r="AY78" s="4"/>
      <c r="AZ78" s="4">
        <f t="shared" si="31"/>
        <v>0</v>
      </c>
      <c r="BA78" s="4"/>
      <c r="BB78" s="4"/>
      <c r="BC78" s="4"/>
      <c r="BD78" s="4"/>
    </row>
    <row r="79" spans="1:60" ht="19.95" customHeight="1">
      <c r="A79" s="198">
        <f t="shared" si="32"/>
        <v>73</v>
      </c>
      <c r="B79" s="340">
        <v>2059</v>
      </c>
      <c r="C79" s="198" t="s">
        <v>438</v>
      </c>
      <c r="D79" s="199">
        <v>2610000</v>
      </c>
      <c r="E79" s="199">
        <v>2610000</v>
      </c>
      <c r="F79" s="199">
        <f t="shared" si="0"/>
        <v>0</v>
      </c>
      <c r="G79" s="199">
        <v>350000</v>
      </c>
      <c r="H79" s="199">
        <v>0</v>
      </c>
      <c r="I79" s="199"/>
      <c r="J79" s="199">
        <v>24570</v>
      </c>
      <c r="K79" s="199">
        <f>SUM(I79:J79)</f>
        <v>24570</v>
      </c>
      <c r="L79" s="199">
        <f>H79+K79</f>
        <v>24570</v>
      </c>
      <c r="M79" s="199">
        <f>P79+S79</f>
        <v>325430</v>
      </c>
      <c r="N79" s="199">
        <f>2260000-1760000</f>
        <v>500000</v>
      </c>
      <c r="O79" s="199">
        <f t="shared" si="21"/>
        <v>1760000</v>
      </c>
      <c r="P79" s="199">
        <f t="shared" si="22"/>
        <v>325430</v>
      </c>
      <c r="Q79" s="199"/>
      <c r="R79" s="199"/>
      <c r="S79" s="199">
        <f t="shared" si="23"/>
        <v>0</v>
      </c>
      <c r="T79" s="199">
        <f t="shared" si="24"/>
        <v>0</v>
      </c>
      <c r="U79" s="199">
        <f t="shared" si="25"/>
        <v>500000</v>
      </c>
      <c r="V79" s="199">
        <f t="shared" si="26"/>
        <v>500000</v>
      </c>
      <c r="W79" s="199"/>
      <c r="X79" s="199"/>
      <c r="Y79" s="199"/>
      <c r="Z79" s="198"/>
      <c r="AA79" s="340" t="s">
        <v>605</v>
      </c>
      <c r="AB79" s="198">
        <v>826000</v>
      </c>
      <c r="AC79" s="486"/>
      <c r="AD79" s="199"/>
      <c r="AE79" s="199"/>
      <c r="AF79" s="199"/>
      <c r="AG79" s="199"/>
      <c r="AH79" s="199"/>
      <c r="AI79" s="199"/>
      <c r="AJ79" s="199"/>
      <c r="AK79" s="199"/>
      <c r="AL79" s="199">
        <f t="shared" si="27"/>
        <v>0</v>
      </c>
      <c r="AM79" s="199"/>
      <c r="AN79" s="199">
        <f t="shared" si="28"/>
        <v>0</v>
      </c>
      <c r="AO79" s="4">
        <f t="shared" si="29"/>
        <v>500000</v>
      </c>
      <c r="AP79" s="4">
        <f t="shared" si="30"/>
        <v>0</v>
      </c>
      <c r="AQ79" s="4"/>
      <c r="AR79" s="4"/>
      <c r="AS79" s="199"/>
      <c r="AT79" s="4"/>
      <c r="AU79" s="4">
        <f t="shared" si="17"/>
        <v>0</v>
      </c>
      <c r="AV79" s="4"/>
      <c r="AW79" s="199"/>
      <c r="AX79" s="199"/>
      <c r="AY79" s="4"/>
      <c r="AZ79" s="4">
        <f t="shared" si="31"/>
        <v>500000</v>
      </c>
      <c r="BA79" s="4"/>
      <c r="BB79" s="4"/>
      <c r="BC79" s="4"/>
      <c r="BD79" s="4"/>
    </row>
    <row r="80" spans="1:60" ht="27.6">
      <c r="A80" s="198">
        <f t="shared" si="32"/>
        <v>74</v>
      </c>
      <c r="B80" s="487">
        <v>2062</v>
      </c>
      <c r="C80" s="487" t="s">
        <v>1269</v>
      </c>
      <c r="D80" s="199">
        <v>1200000</v>
      </c>
      <c r="E80" s="199">
        <v>1200000</v>
      </c>
      <c r="F80" s="199">
        <f t="shared" si="0"/>
        <v>0</v>
      </c>
      <c r="G80" s="199">
        <v>1200000</v>
      </c>
      <c r="H80" s="199">
        <v>698660</v>
      </c>
      <c r="I80" s="199"/>
      <c r="J80" s="199">
        <v>36525</v>
      </c>
      <c r="K80" s="199">
        <f t="shared" si="18"/>
        <v>36525</v>
      </c>
      <c r="L80" s="199">
        <f t="shared" si="19"/>
        <v>735185</v>
      </c>
      <c r="M80" s="199">
        <f t="shared" si="20"/>
        <v>464815</v>
      </c>
      <c r="N80" s="199"/>
      <c r="O80" s="199">
        <f t="shared" si="21"/>
        <v>0</v>
      </c>
      <c r="P80" s="199">
        <f t="shared" si="22"/>
        <v>464815</v>
      </c>
      <c r="Q80" s="199"/>
      <c r="R80" s="199"/>
      <c r="S80" s="199">
        <f t="shared" si="23"/>
        <v>0</v>
      </c>
      <c r="T80" s="199">
        <f t="shared" si="24"/>
        <v>0</v>
      </c>
      <c r="U80" s="199">
        <f t="shared" si="25"/>
        <v>0</v>
      </c>
      <c r="V80" s="199">
        <f t="shared" si="26"/>
        <v>0</v>
      </c>
      <c r="W80" s="199"/>
      <c r="X80" s="199"/>
      <c r="Y80" s="199"/>
      <c r="Z80" s="198"/>
      <c r="AA80" s="340"/>
      <c r="AB80" s="198">
        <v>930000</v>
      </c>
      <c r="AC80" s="469"/>
      <c r="AD80" s="199"/>
      <c r="AE80" s="199"/>
      <c r="AF80" s="199"/>
      <c r="AG80" s="199"/>
      <c r="AH80" s="199"/>
      <c r="AI80" s="199"/>
      <c r="AJ80" s="199"/>
      <c r="AK80" s="199"/>
      <c r="AL80" s="199">
        <f t="shared" si="27"/>
        <v>0</v>
      </c>
      <c r="AM80" s="199"/>
      <c r="AN80" s="199">
        <f t="shared" si="28"/>
        <v>0</v>
      </c>
      <c r="AO80" s="4">
        <f t="shared" si="29"/>
        <v>0</v>
      </c>
      <c r="AP80" s="4">
        <f t="shared" si="30"/>
        <v>0</v>
      </c>
      <c r="AQ80" s="4"/>
      <c r="AR80" s="4"/>
      <c r="AS80" s="199"/>
      <c r="AT80" s="4"/>
      <c r="AU80" s="4">
        <f t="shared" si="17"/>
        <v>0</v>
      </c>
      <c r="AV80" s="4"/>
      <c r="AW80" s="199"/>
      <c r="AX80" s="199"/>
      <c r="AY80" s="4"/>
      <c r="AZ80" s="4">
        <f t="shared" si="31"/>
        <v>0</v>
      </c>
      <c r="BA80" s="4"/>
      <c r="BB80" s="4"/>
      <c r="BC80" s="4"/>
      <c r="BD80" s="4"/>
    </row>
    <row r="81" spans="1:58" ht="19.95" customHeight="1">
      <c r="A81" s="198">
        <f t="shared" si="32"/>
        <v>75</v>
      </c>
      <c r="B81" s="340">
        <v>2064</v>
      </c>
      <c r="C81" s="198" t="s">
        <v>353</v>
      </c>
      <c r="D81" s="199">
        <v>6417000</v>
      </c>
      <c r="E81" s="199">
        <v>6417000</v>
      </c>
      <c r="F81" s="199">
        <f t="shared" si="0"/>
        <v>0</v>
      </c>
      <c r="G81" s="199">
        <v>200000</v>
      </c>
      <c r="H81" s="199">
        <v>7441</v>
      </c>
      <c r="I81" s="199"/>
      <c r="J81" s="199">
        <v>92556.36</v>
      </c>
      <c r="K81" s="199">
        <f t="shared" si="18"/>
        <v>92556.36</v>
      </c>
      <c r="L81" s="199">
        <f t="shared" si="19"/>
        <v>99997.36</v>
      </c>
      <c r="M81" s="199">
        <f t="shared" si="20"/>
        <v>900002.64</v>
      </c>
      <c r="N81" s="199">
        <f>5417000-5417000</f>
        <v>0</v>
      </c>
      <c r="O81" s="199">
        <f t="shared" si="21"/>
        <v>5417000</v>
      </c>
      <c r="P81" s="199">
        <f t="shared" si="22"/>
        <v>100002.64</v>
      </c>
      <c r="Q81" s="199"/>
      <c r="R81" s="199">
        <v>800000</v>
      </c>
      <c r="S81" s="199">
        <f t="shared" si="23"/>
        <v>800000</v>
      </c>
      <c r="T81" s="199">
        <f t="shared" si="24"/>
        <v>0</v>
      </c>
      <c r="U81" s="199">
        <f t="shared" si="25"/>
        <v>0</v>
      </c>
      <c r="V81" s="199">
        <f t="shared" si="26"/>
        <v>0</v>
      </c>
      <c r="W81" s="199"/>
      <c r="X81" s="199"/>
      <c r="Y81" s="199"/>
      <c r="Z81" s="198"/>
      <c r="AA81" s="340" t="s">
        <v>755</v>
      </c>
      <c r="AB81" s="198">
        <v>829000</v>
      </c>
      <c r="AC81" s="469"/>
      <c r="AD81" s="486"/>
      <c r="AE81" s="486"/>
      <c r="AF81" s="486"/>
      <c r="AG81" s="486"/>
      <c r="AH81" s="486"/>
      <c r="AI81" s="486"/>
      <c r="AJ81" s="486"/>
      <c r="AK81" s="486"/>
      <c r="AL81" s="486">
        <f t="shared" si="27"/>
        <v>0</v>
      </c>
      <c r="AM81" s="199"/>
      <c r="AN81" s="199">
        <f t="shared" si="28"/>
        <v>0</v>
      </c>
      <c r="AO81" s="4">
        <f t="shared" si="29"/>
        <v>0</v>
      </c>
      <c r="AP81" s="4">
        <f t="shared" si="30"/>
        <v>0</v>
      </c>
      <c r="AQ81" s="4"/>
      <c r="AR81" s="4"/>
      <c r="AS81" s="199"/>
      <c r="AT81" s="4"/>
      <c r="AU81" s="4">
        <f t="shared" si="17"/>
        <v>0</v>
      </c>
      <c r="AV81" s="4"/>
      <c r="AW81" s="199"/>
      <c r="AX81" s="199"/>
      <c r="AY81" s="4"/>
      <c r="AZ81" s="4">
        <f t="shared" si="31"/>
        <v>0</v>
      </c>
      <c r="BA81" s="4"/>
      <c r="BB81" s="4"/>
      <c r="BC81" s="4"/>
      <c r="BD81" s="4"/>
    </row>
    <row r="82" spans="1:58" s="202" customFormat="1" ht="27.6">
      <c r="A82" s="198">
        <f t="shared" si="32"/>
        <v>76</v>
      </c>
      <c r="B82" s="487">
        <v>2067</v>
      </c>
      <c r="C82" s="487" t="s">
        <v>1270</v>
      </c>
      <c r="D82" s="199">
        <v>800000</v>
      </c>
      <c r="E82" s="199">
        <v>800000</v>
      </c>
      <c r="F82" s="199">
        <f t="shared" si="0"/>
        <v>0</v>
      </c>
      <c r="G82" s="199">
        <v>800000</v>
      </c>
      <c r="H82" s="199">
        <v>0</v>
      </c>
      <c r="I82" s="199"/>
      <c r="J82" s="199">
        <v>180876</v>
      </c>
      <c r="K82" s="199">
        <f t="shared" si="18"/>
        <v>180876</v>
      </c>
      <c r="L82" s="199">
        <f t="shared" si="19"/>
        <v>180876</v>
      </c>
      <c r="M82" s="199">
        <f t="shared" si="20"/>
        <v>619124</v>
      </c>
      <c r="N82" s="199"/>
      <c r="O82" s="199">
        <f t="shared" si="21"/>
        <v>0</v>
      </c>
      <c r="P82" s="199">
        <f t="shared" si="22"/>
        <v>619124</v>
      </c>
      <c r="Q82" s="199"/>
      <c r="R82" s="199"/>
      <c r="S82" s="199">
        <f t="shared" si="23"/>
        <v>0</v>
      </c>
      <c r="T82" s="199">
        <f t="shared" si="24"/>
        <v>0</v>
      </c>
      <c r="U82" s="199">
        <f t="shared" si="25"/>
        <v>0</v>
      </c>
      <c r="V82" s="199">
        <f t="shared" si="26"/>
        <v>0</v>
      </c>
      <c r="W82" s="199"/>
      <c r="X82" s="199"/>
      <c r="Y82" s="199"/>
      <c r="Z82" s="198"/>
      <c r="AA82" s="340"/>
      <c r="AB82" s="198">
        <v>829000</v>
      </c>
      <c r="AC82" s="469"/>
      <c r="AD82" s="486"/>
      <c r="AE82" s="486"/>
      <c r="AF82" s="486"/>
      <c r="AG82" s="486"/>
      <c r="AH82" s="486"/>
      <c r="AI82" s="486"/>
      <c r="AJ82" s="486"/>
      <c r="AK82" s="486"/>
      <c r="AL82" s="486">
        <f t="shared" si="27"/>
        <v>0</v>
      </c>
      <c r="AM82" s="199"/>
      <c r="AN82" s="199">
        <f t="shared" si="28"/>
        <v>0</v>
      </c>
      <c r="AO82" s="4">
        <f t="shared" si="29"/>
        <v>0</v>
      </c>
      <c r="AP82" s="4">
        <f t="shared" si="30"/>
        <v>0</v>
      </c>
      <c r="AQ82" s="4"/>
      <c r="AR82" s="4"/>
      <c r="AS82" s="199"/>
      <c r="AT82" s="4"/>
      <c r="AU82" s="4">
        <f t="shared" si="17"/>
        <v>0</v>
      </c>
      <c r="AV82" s="4"/>
      <c r="AW82" s="199"/>
      <c r="AX82" s="199"/>
      <c r="AY82" s="4"/>
      <c r="AZ82" s="4">
        <f t="shared" si="31"/>
        <v>0</v>
      </c>
      <c r="BA82" s="4"/>
      <c r="BB82" s="4"/>
      <c r="BC82" s="4"/>
      <c r="BD82" s="4"/>
    </row>
    <row r="83" spans="1:58" s="334" customFormat="1" ht="19.95" customHeight="1">
      <c r="A83" s="198">
        <f t="shared" si="32"/>
        <v>77</v>
      </c>
      <c r="B83" s="340">
        <v>2073</v>
      </c>
      <c r="C83" s="198" t="s">
        <v>957</v>
      </c>
      <c r="D83" s="199">
        <f>350000+11000000</f>
        <v>11350000</v>
      </c>
      <c r="E83" s="199">
        <v>350000</v>
      </c>
      <c r="F83" s="199">
        <f t="shared" si="0"/>
        <v>11000000</v>
      </c>
      <c r="G83" s="199">
        <v>350000</v>
      </c>
      <c r="H83" s="199">
        <v>0</v>
      </c>
      <c r="I83" s="199"/>
      <c r="J83" s="199"/>
      <c r="K83" s="199">
        <f t="shared" si="18"/>
        <v>0</v>
      </c>
      <c r="L83" s="199">
        <f t="shared" si="19"/>
        <v>0</v>
      </c>
      <c r="M83" s="199">
        <f t="shared" si="20"/>
        <v>350000</v>
      </c>
      <c r="N83" s="199">
        <f>11000000-10500000</f>
        <v>500000</v>
      </c>
      <c r="O83" s="199">
        <f t="shared" si="21"/>
        <v>10500000</v>
      </c>
      <c r="P83" s="199">
        <f t="shared" si="22"/>
        <v>350000</v>
      </c>
      <c r="Q83" s="199"/>
      <c r="R83" s="199"/>
      <c r="S83" s="199">
        <f t="shared" si="23"/>
        <v>0</v>
      </c>
      <c r="T83" s="199">
        <f t="shared" si="24"/>
        <v>0</v>
      </c>
      <c r="U83" s="199">
        <f t="shared" si="25"/>
        <v>500000</v>
      </c>
      <c r="V83" s="199">
        <f t="shared" si="26"/>
        <v>500000</v>
      </c>
      <c r="W83" s="199"/>
      <c r="X83" s="199"/>
      <c r="Y83" s="199"/>
      <c r="Z83" s="198"/>
      <c r="AA83" s="340" t="s">
        <v>633</v>
      </c>
      <c r="AB83" s="198">
        <v>829000</v>
      </c>
      <c r="AC83" s="466"/>
      <c r="AD83" s="4"/>
      <c r="AE83" s="4"/>
      <c r="AF83" s="4"/>
      <c r="AG83" s="4"/>
      <c r="AH83" s="4"/>
      <c r="AI83" s="4"/>
      <c r="AJ83" s="4"/>
      <c r="AK83" s="199">
        <v>500000</v>
      </c>
      <c r="AL83" s="4">
        <f t="shared" si="27"/>
        <v>500000</v>
      </c>
      <c r="AM83" s="199"/>
      <c r="AN83" s="199">
        <f t="shared" si="28"/>
        <v>500000</v>
      </c>
      <c r="AO83" s="4">
        <f t="shared" si="29"/>
        <v>0</v>
      </c>
      <c r="AP83" s="4">
        <f t="shared" si="30"/>
        <v>500000</v>
      </c>
      <c r="AQ83" s="4"/>
      <c r="AR83" s="4"/>
      <c r="AS83" s="199"/>
      <c r="AT83" s="4"/>
      <c r="AU83" s="4">
        <f t="shared" si="17"/>
        <v>0</v>
      </c>
      <c r="AV83" s="4"/>
      <c r="AW83" s="199"/>
      <c r="AX83" s="199"/>
      <c r="AY83" s="4"/>
      <c r="AZ83" s="4">
        <f t="shared" si="31"/>
        <v>0</v>
      </c>
      <c r="BA83" s="4"/>
      <c r="BB83" s="4"/>
      <c r="BC83" s="4"/>
      <c r="BD83" s="4"/>
    </row>
    <row r="84" spans="1:58" s="334" customFormat="1" ht="19.95" customHeight="1">
      <c r="A84" s="198">
        <f t="shared" si="32"/>
        <v>78</v>
      </c>
      <c r="B84" s="340">
        <v>2076</v>
      </c>
      <c r="C84" s="198" t="s">
        <v>475</v>
      </c>
      <c r="D84" s="199">
        <v>1450000</v>
      </c>
      <c r="E84" s="199">
        <v>1450000</v>
      </c>
      <c r="F84" s="199">
        <f t="shared" si="0"/>
        <v>0</v>
      </c>
      <c r="G84" s="199">
        <v>250000</v>
      </c>
      <c r="H84" s="199">
        <v>0</v>
      </c>
      <c r="I84" s="199"/>
      <c r="J84" s="199"/>
      <c r="K84" s="199">
        <f t="shared" si="18"/>
        <v>0</v>
      </c>
      <c r="L84" s="199">
        <f t="shared" si="19"/>
        <v>0</v>
      </c>
      <c r="M84" s="199">
        <f t="shared" si="20"/>
        <v>250000</v>
      </c>
      <c r="N84" s="199">
        <v>1200000</v>
      </c>
      <c r="O84" s="199">
        <f t="shared" si="21"/>
        <v>0</v>
      </c>
      <c r="P84" s="199">
        <f t="shared" si="22"/>
        <v>250000</v>
      </c>
      <c r="Q84" s="199"/>
      <c r="R84" s="199"/>
      <c r="S84" s="199">
        <f t="shared" si="23"/>
        <v>0</v>
      </c>
      <c r="T84" s="199">
        <f t="shared" si="24"/>
        <v>0</v>
      </c>
      <c r="U84" s="199">
        <f t="shared" si="25"/>
        <v>1200000</v>
      </c>
      <c r="V84" s="199">
        <f t="shared" si="26"/>
        <v>1200000</v>
      </c>
      <c r="W84" s="199"/>
      <c r="X84" s="199"/>
      <c r="Y84" s="199"/>
      <c r="Z84" s="198"/>
      <c r="AA84" s="340" t="s">
        <v>606</v>
      </c>
      <c r="AB84" s="198">
        <v>850000</v>
      </c>
      <c r="AC84" s="466"/>
      <c r="AD84" s="4"/>
      <c r="AE84" s="4"/>
      <c r="AF84" s="4"/>
      <c r="AG84" s="4"/>
      <c r="AH84" s="4"/>
      <c r="AI84" s="4"/>
      <c r="AJ84" s="4"/>
      <c r="AK84" s="199">
        <v>1200000</v>
      </c>
      <c r="AL84" s="4">
        <f t="shared" si="27"/>
        <v>1200000</v>
      </c>
      <c r="AM84" s="199"/>
      <c r="AN84" s="199">
        <f t="shared" si="28"/>
        <v>1200000</v>
      </c>
      <c r="AO84" s="4">
        <f t="shared" si="29"/>
        <v>0</v>
      </c>
      <c r="AP84" s="4">
        <f t="shared" si="30"/>
        <v>1200000</v>
      </c>
      <c r="AQ84" s="4"/>
      <c r="AR84" s="4"/>
      <c r="AS84" s="199"/>
      <c r="AT84" s="4"/>
      <c r="AU84" s="4">
        <f t="shared" si="17"/>
        <v>0</v>
      </c>
      <c r="AV84" s="4"/>
      <c r="AW84" s="199"/>
      <c r="AX84" s="199"/>
      <c r="AY84" s="4"/>
      <c r="AZ84" s="4">
        <f t="shared" si="31"/>
        <v>0</v>
      </c>
      <c r="BA84" s="4"/>
      <c r="BB84" s="4"/>
      <c r="BC84" s="4"/>
      <c r="BD84" s="4"/>
    </row>
    <row r="85" spans="1:58" s="334" customFormat="1" ht="19.95" customHeight="1">
      <c r="A85" s="198">
        <f t="shared" si="32"/>
        <v>79</v>
      </c>
      <c r="B85" s="39">
        <v>2079</v>
      </c>
      <c r="C85" s="198" t="s">
        <v>476</v>
      </c>
      <c r="D85" s="199">
        <v>500000</v>
      </c>
      <c r="E85" s="199">
        <v>500000</v>
      </c>
      <c r="F85" s="199">
        <f t="shared" ref="F85:F92" si="33">D85-E85</f>
        <v>0</v>
      </c>
      <c r="G85" s="199">
        <v>500000</v>
      </c>
      <c r="H85" s="199"/>
      <c r="I85" s="199"/>
      <c r="J85" s="199"/>
      <c r="K85" s="199">
        <f>SUM(I85:J85)</f>
        <v>0</v>
      </c>
      <c r="L85" s="199">
        <f t="shared" si="19"/>
        <v>0</v>
      </c>
      <c r="M85" s="199">
        <f t="shared" si="20"/>
        <v>500000</v>
      </c>
      <c r="N85" s="199"/>
      <c r="O85" s="199">
        <f t="shared" si="21"/>
        <v>0</v>
      </c>
      <c r="P85" s="199">
        <f t="shared" si="22"/>
        <v>500000</v>
      </c>
      <c r="Q85" s="199"/>
      <c r="R85" s="199"/>
      <c r="S85" s="199">
        <f t="shared" si="23"/>
        <v>0</v>
      </c>
      <c r="T85" s="199">
        <f t="shared" si="24"/>
        <v>0</v>
      </c>
      <c r="U85" s="199">
        <f t="shared" si="25"/>
        <v>0</v>
      </c>
      <c r="V85" s="199">
        <f t="shared" si="26"/>
        <v>0</v>
      </c>
      <c r="W85" s="199"/>
      <c r="X85" s="199"/>
      <c r="Y85" s="199"/>
      <c r="Z85" s="198"/>
      <c r="AA85" s="467" t="s">
        <v>607</v>
      </c>
      <c r="AB85" s="198">
        <v>840000</v>
      </c>
      <c r="AC85" s="466"/>
      <c r="AD85" s="4"/>
      <c r="AE85" s="4"/>
      <c r="AF85" s="4"/>
      <c r="AG85" s="4"/>
      <c r="AH85" s="4"/>
      <c r="AI85" s="4"/>
      <c r="AJ85" s="4"/>
      <c r="AK85" s="4"/>
      <c r="AL85" s="4">
        <f t="shared" si="27"/>
        <v>0</v>
      </c>
      <c r="AM85" s="199"/>
      <c r="AN85" s="199">
        <f t="shared" si="28"/>
        <v>0</v>
      </c>
      <c r="AO85" s="4">
        <f t="shared" si="29"/>
        <v>0</v>
      </c>
      <c r="AP85" s="4">
        <f t="shared" si="30"/>
        <v>0</v>
      </c>
      <c r="AQ85" s="4"/>
      <c r="AR85" s="4"/>
      <c r="AS85" s="199"/>
      <c r="AT85" s="4"/>
      <c r="AU85" s="4">
        <f t="shared" si="17"/>
        <v>0</v>
      </c>
      <c r="AV85" s="4"/>
      <c r="AW85" s="199"/>
      <c r="AX85" s="199"/>
      <c r="AY85" s="4"/>
      <c r="AZ85" s="4">
        <f t="shared" si="31"/>
        <v>0</v>
      </c>
      <c r="BA85" s="4"/>
      <c r="BB85" s="4"/>
      <c r="BC85" s="4"/>
      <c r="BD85" s="4"/>
      <c r="BF85" s="205"/>
    </row>
    <row r="86" spans="1:58" s="334" customFormat="1" ht="19.95" customHeight="1">
      <c r="A86" s="198">
        <f t="shared" si="32"/>
        <v>80</v>
      </c>
      <c r="B86" s="39">
        <v>2080</v>
      </c>
      <c r="C86" s="198" t="s">
        <v>477</v>
      </c>
      <c r="D86" s="199">
        <v>2050000</v>
      </c>
      <c r="E86" s="199">
        <v>2050000</v>
      </c>
      <c r="F86" s="199">
        <f t="shared" si="33"/>
        <v>0</v>
      </c>
      <c r="G86" s="199">
        <v>500000</v>
      </c>
      <c r="H86" s="199"/>
      <c r="I86" s="199"/>
      <c r="J86" s="199"/>
      <c r="K86" s="199">
        <f>SUM(I86:J86)</f>
        <v>0</v>
      </c>
      <c r="L86" s="199">
        <f>K86+H86</f>
        <v>0</v>
      </c>
      <c r="M86" s="199">
        <f>P86+S86</f>
        <v>500000</v>
      </c>
      <c r="N86" s="199">
        <v>1550000</v>
      </c>
      <c r="O86" s="199">
        <f t="shared" si="21"/>
        <v>0</v>
      </c>
      <c r="P86" s="199">
        <f>G86-L86</f>
        <v>500000</v>
      </c>
      <c r="Q86" s="199"/>
      <c r="R86" s="199"/>
      <c r="S86" s="199">
        <f>SUM(Q86:R86)</f>
        <v>0</v>
      </c>
      <c r="T86" s="199">
        <f>P86-M86+S86</f>
        <v>0</v>
      </c>
      <c r="U86" s="199">
        <f t="shared" si="25"/>
        <v>1550000</v>
      </c>
      <c r="V86" s="199">
        <f t="shared" si="26"/>
        <v>1550000</v>
      </c>
      <c r="W86" s="199"/>
      <c r="X86" s="199"/>
      <c r="Y86" s="199"/>
      <c r="Z86" s="198"/>
      <c r="AA86" s="340" t="s">
        <v>892</v>
      </c>
      <c r="AB86" s="198">
        <v>747000</v>
      </c>
      <c r="AC86" s="466"/>
      <c r="AD86" s="4">
        <v>550000</v>
      </c>
      <c r="AE86" s="4"/>
      <c r="AF86" s="4"/>
      <c r="AG86" s="4"/>
      <c r="AH86" s="4">
        <v>450000</v>
      </c>
      <c r="AI86" s="4">
        <v>550000</v>
      </c>
      <c r="AJ86" s="4"/>
      <c r="AK86" s="4"/>
      <c r="AL86" s="4">
        <f t="shared" si="27"/>
        <v>1550000</v>
      </c>
      <c r="AM86" s="199"/>
      <c r="AN86" s="199">
        <f t="shared" si="28"/>
        <v>1550000</v>
      </c>
      <c r="AO86" s="4">
        <f t="shared" si="29"/>
        <v>0</v>
      </c>
      <c r="AP86" s="4">
        <f t="shared" si="30"/>
        <v>1550000</v>
      </c>
      <c r="AQ86" s="4"/>
      <c r="AR86" s="4"/>
      <c r="AS86" s="199"/>
      <c r="AT86" s="4"/>
      <c r="AU86" s="4">
        <f t="shared" si="17"/>
        <v>0</v>
      </c>
      <c r="AV86" s="4"/>
      <c r="AW86" s="199"/>
      <c r="AX86" s="199"/>
      <c r="AY86" s="4"/>
      <c r="AZ86" s="4">
        <f t="shared" si="31"/>
        <v>0</v>
      </c>
      <c r="BA86" s="4"/>
      <c r="BB86" s="4"/>
      <c r="BC86" s="4"/>
      <c r="BD86" s="4"/>
      <c r="BF86" s="205"/>
    </row>
    <row r="87" spans="1:58" s="334" customFormat="1" ht="19.95" customHeight="1">
      <c r="A87" s="198">
        <f t="shared" si="32"/>
        <v>81</v>
      </c>
      <c r="B87" s="39">
        <v>2097</v>
      </c>
      <c r="C87" s="198" t="s">
        <v>478</v>
      </c>
      <c r="D87" s="199">
        <v>41000000</v>
      </c>
      <c r="E87" s="199"/>
      <c r="F87" s="199">
        <f t="shared" si="33"/>
        <v>41000000</v>
      </c>
      <c r="G87" s="199"/>
      <c r="H87" s="199"/>
      <c r="I87" s="199"/>
      <c r="J87" s="199"/>
      <c r="K87" s="199">
        <f>SUM(I87:J87)</f>
        <v>0</v>
      </c>
      <c r="L87" s="199">
        <f>K87+H87</f>
        <v>0</v>
      </c>
      <c r="M87" s="199">
        <f>P87+S87</f>
        <v>0</v>
      </c>
      <c r="N87" s="199">
        <v>1000000</v>
      </c>
      <c r="O87" s="199">
        <f t="shared" si="21"/>
        <v>40000000</v>
      </c>
      <c r="P87" s="199">
        <f>G87-L87</f>
        <v>0</v>
      </c>
      <c r="Q87" s="199"/>
      <c r="R87" s="199"/>
      <c r="S87" s="199">
        <f>SUM(Q87:R87)</f>
        <v>0</v>
      </c>
      <c r="T87" s="199">
        <f>P87-M87+S87</f>
        <v>0</v>
      </c>
      <c r="U87" s="199">
        <f t="shared" si="25"/>
        <v>1000000</v>
      </c>
      <c r="V87" s="199">
        <f t="shared" si="26"/>
        <v>1000000</v>
      </c>
      <c r="W87" s="199"/>
      <c r="X87" s="199"/>
      <c r="Y87" s="199"/>
      <c r="Z87" s="198"/>
      <c r="AA87" s="468" t="s">
        <v>851</v>
      </c>
      <c r="AB87" s="198">
        <v>810000</v>
      </c>
      <c r="AC87" s="466"/>
      <c r="AD87" s="4"/>
      <c r="AE87" s="4"/>
      <c r="AF87" s="4"/>
      <c r="AG87" s="4">
        <v>150000</v>
      </c>
      <c r="AH87" s="4"/>
      <c r="AI87" s="4">
        <v>250000</v>
      </c>
      <c r="AJ87" s="4"/>
      <c r="AK87" s="4">
        <v>600000</v>
      </c>
      <c r="AL87" s="4">
        <f t="shared" si="27"/>
        <v>1000000</v>
      </c>
      <c r="AM87" s="199"/>
      <c r="AN87" s="199">
        <f t="shared" si="28"/>
        <v>1000000</v>
      </c>
      <c r="AO87" s="4">
        <f t="shared" si="29"/>
        <v>0</v>
      </c>
      <c r="AP87" s="4">
        <f t="shared" si="30"/>
        <v>1000000</v>
      </c>
      <c r="AQ87" s="4"/>
      <c r="AR87" s="4"/>
      <c r="AS87" s="199"/>
      <c r="AT87" s="4"/>
      <c r="AU87" s="4">
        <f t="shared" si="17"/>
        <v>0</v>
      </c>
      <c r="AV87" s="4"/>
      <c r="AW87" s="199"/>
      <c r="AX87" s="199"/>
      <c r="AY87" s="4"/>
      <c r="AZ87" s="4">
        <f t="shared" si="31"/>
        <v>0</v>
      </c>
      <c r="BA87" s="4"/>
      <c r="BB87" s="4"/>
      <c r="BC87" s="4"/>
      <c r="BD87" s="4"/>
      <c r="BF87" s="205"/>
    </row>
    <row r="88" spans="1:58" s="334" customFormat="1" ht="19.95" customHeight="1">
      <c r="A88" s="198">
        <f t="shared" si="32"/>
        <v>82</v>
      </c>
      <c r="B88" s="487">
        <v>2098</v>
      </c>
      <c r="C88" s="487" t="s">
        <v>1271</v>
      </c>
      <c r="D88" s="199">
        <v>760000</v>
      </c>
      <c r="E88" s="199"/>
      <c r="F88" s="199">
        <f t="shared" si="33"/>
        <v>760000</v>
      </c>
      <c r="G88" s="199"/>
      <c r="H88" s="199"/>
      <c r="I88" s="199"/>
      <c r="J88" s="199"/>
      <c r="K88" s="199">
        <f>SUM(I88:J88)</f>
        <v>0</v>
      </c>
      <c r="L88" s="199">
        <f>K88+H88</f>
        <v>0</v>
      </c>
      <c r="M88" s="199">
        <f>P88+S88</f>
        <v>0</v>
      </c>
      <c r="N88" s="199">
        <v>760000</v>
      </c>
      <c r="O88" s="199">
        <f t="shared" si="21"/>
        <v>0</v>
      </c>
      <c r="P88" s="199">
        <f>G88-L88</f>
        <v>0</v>
      </c>
      <c r="Q88" s="199"/>
      <c r="R88" s="199"/>
      <c r="S88" s="199">
        <f>SUM(Q88:R88)</f>
        <v>0</v>
      </c>
      <c r="T88" s="199">
        <f>P88-M88+S88</f>
        <v>0</v>
      </c>
      <c r="U88" s="199">
        <f t="shared" si="25"/>
        <v>760000</v>
      </c>
      <c r="V88" s="199">
        <f t="shared" si="26"/>
        <v>410000</v>
      </c>
      <c r="W88" s="199"/>
      <c r="X88" s="199"/>
      <c r="Y88" s="199"/>
      <c r="Z88" s="199">
        <v>350000</v>
      </c>
      <c r="AA88" s="466" t="s">
        <v>846</v>
      </c>
      <c r="AB88" s="198">
        <v>810000</v>
      </c>
      <c r="AC88" s="466"/>
      <c r="AD88" s="4"/>
      <c r="AE88" s="4">
        <v>410000</v>
      </c>
      <c r="AF88" s="4"/>
      <c r="AG88" s="4"/>
      <c r="AH88" s="4">
        <v>350000</v>
      </c>
      <c r="AI88" s="4"/>
      <c r="AJ88" s="4"/>
      <c r="AK88" s="4"/>
      <c r="AL88" s="4">
        <f t="shared" si="27"/>
        <v>760000</v>
      </c>
      <c r="AM88" s="199"/>
      <c r="AN88" s="199">
        <f t="shared" si="28"/>
        <v>760000</v>
      </c>
      <c r="AO88" s="4">
        <f t="shared" si="29"/>
        <v>0</v>
      </c>
      <c r="AP88" s="4">
        <f t="shared" si="30"/>
        <v>410000</v>
      </c>
      <c r="AQ88" s="4"/>
      <c r="AR88" s="4"/>
      <c r="AS88" s="199"/>
      <c r="AT88" s="4">
        <v>350000</v>
      </c>
      <c r="AU88" s="4">
        <f t="shared" si="17"/>
        <v>0</v>
      </c>
      <c r="AV88" s="4"/>
      <c r="AW88" s="199"/>
      <c r="AX88" s="199"/>
      <c r="AY88" s="4"/>
      <c r="AZ88" s="4">
        <f t="shared" si="31"/>
        <v>0</v>
      </c>
      <c r="BA88" s="4"/>
      <c r="BB88" s="4"/>
      <c r="BC88" s="4"/>
      <c r="BD88" s="4"/>
      <c r="BF88" s="205"/>
    </row>
    <row r="89" spans="1:58" s="334" customFormat="1" ht="19.95" customHeight="1">
      <c r="A89" s="198">
        <f t="shared" si="32"/>
        <v>83</v>
      </c>
      <c r="B89" s="39">
        <v>2099</v>
      </c>
      <c r="C89" s="198" t="s">
        <v>479</v>
      </c>
      <c r="D89" s="199">
        <v>12000000</v>
      </c>
      <c r="E89" s="199"/>
      <c r="F89" s="199">
        <f t="shared" si="33"/>
        <v>12000000</v>
      </c>
      <c r="G89" s="199"/>
      <c r="H89" s="199"/>
      <c r="I89" s="199"/>
      <c r="J89" s="199"/>
      <c r="K89" s="199">
        <f>SUM(I89:J89)</f>
        <v>0</v>
      </c>
      <c r="L89" s="199">
        <f>K89+H89</f>
        <v>0</v>
      </c>
      <c r="M89" s="199">
        <f>P89+S89</f>
        <v>0</v>
      </c>
      <c r="N89" s="199">
        <f>12000000-6000000</f>
        <v>6000000</v>
      </c>
      <c r="O89" s="199">
        <f t="shared" si="21"/>
        <v>6000000</v>
      </c>
      <c r="P89" s="199">
        <f>G89-L89</f>
        <v>0</v>
      </c>
      <c r="Q89" s="199"/>
      <c r="R89" s="199"/>
      <c r="S89" s="199">
        <f>SUM(Q89:R89)</f>
        <v>0</v>
      </c>
      <c r="T89" s="199">
        <f>P89-M89+S89</f>
        <v>0</v>
      </c>
      <c r="U89" s="199">
        <f t="shared" si="25"/>
        <v>6000000</v>
      </c>
      <c r="V89" s="199">
        <f t="shared" si="26"/>
        <v>6000000</v>
      </c>
      <c r="W89" s="199"/>
      <c r="X89" s="199"/>
      <c r="Y89" s="199"/>
      <c r="Z89" s="198"/>
      <c r="AA89" s="466" t="s">
        <v>847</v>
      </c>
      <c r="AB89" s="198">
        <v>822000</v>
      </c>
      <c r="AC89" s="466"/>
      <c r="AD89" s="4"/>
      <c r="AE89" s="4">
        <v>500000</v>
      </c>
      <c r="AF89" s="4"/>
      <c r="AG89" s="4"/>
      <c r="AH89" s="4"/>
      <c r="AI89" s="4"/>
      <c r="AJ89" s="4"/>
      <c r="AK89" s="4">
        <v>5500000</v>
      </c>
      <c r="AL89" s="4">
        <f t="shared" si="27"/>
        <v>6000000</v>
      </c>
      <c r="AM89" s="199"/>
      <c r="AN89" s="199">
        <f t="shared" si="28"/>
        <v>6000000</v>
      </c>
      <c r="AO89" s="4">
        <f t="shared" si="29"/>
        <v>0</v>
      </c>
      <c r="AP89" s="4">
        <f t="shared" si="30"/>
        <v>6000000</v>
      </c>
      <c r="AQ89" s="4"/>
      <c r="AR89" s="4"/>
      <c r="AS89" s="199"/>
      <c r="AT89" s="4"/>
      <c r="AU89" s="4">
        <f t="shared" si="17"/>
        <v>0</v>
      </c>
      <c r="AV89" s="4"/>
      <c r="AW89" s="199"/>
      <c r="AX89" s="199"/>
      <c r="AY89" s="4"/>
      <c r="AZ89" s="4">
        <f t="shared" si="31"/>
        <v>0</v>
      </c>
      <c r="BA89" s="4"/>
      <c r="BB89" s="4"/>
      <c r="BC89" s="4"/>
      <c r="BD89" s="4"/>
      <c r="BF89" s="205"/>
    </row>
    <row r="90" spans="1:58" s="334" customFormat="1" ht="19.95" customHeight="1">
      <c r="A90" s="198">
        <f t="shared" si="32"/>
        <v>84</v>
      </c>
      <c r="B90" s="39">
        <v>2101</v>
      </c>
      <c r="C90" s="198" t="s">
        <v>453</v>
      </c>
      <c r="D90" s="199">
        <v>9850000</v>
      </c>
      <c r="E90" s="199"/>
      <c r="F90" s="199">
        <f t="shared" si="33"/>
        <v>9850000</v>
      </c>
      <c r="G90" s="199"/>
      <c r="H90" s="199"/>
      <c r="I90" s="199"/>
      <c r="J90" s="199"/>
      <c r="K90" s="199"/>
      <c r="L90" s="199"/>
      <c r="M90" s="199"/>
      <c r="N90" s="199"/>
      <c r="O90" s="199">
        <f t="shared" si="21"/>
        <v>9850000</v>
      </c>
      <c r="P90" s="199"/>
      <c r="Q90" s="199"/>
      <c r="R90" s="199"/>
      <c r="S90" s="199"/>
      <c r="T90" s="199"/>
      <c r="U90" s="199">
        <f t="shared" si="25"/>
        <v>0</v>
      </c>
      <c r="V90" s="199">
        <f t="shared" si="26"/>
        <v>0</v>
      </c>
      <c r="W90" s="199"/>
      <c r="X90" s="199"/>
      <c r="Y90" s="199"/>
      <c r="Z90" s="198"/>
      <c r="AA90" s="467"/>
      <c r="AB90" s="198">
        <v>840000</v>
      </c>
      <c r="AC90" s="466"/>
      <c r="AD90" s="4"/>
      <c r="AE90" s="4"/>
      <c r="AF90" s="4"/>
      <c r="AG90" s="4"/>
      <c r="AH90" s="4"/>
      <c r="AI90" s="4"/>
      <c r="AJ90" s="4"/>
      <c r="AK90" s="4"/>
      <c r="AL90" s="4">
        <f t="shared" si="27"/>
        <v>0</v>
      </c>
      <c r="AM90" s="199"/>
      <c r="AN90" s="199">
        <f t="shared" si="28"/>
        <v>0</v>
      </c>
      <c r="AO90" s="4">
        <f t="shared" si="29"/>
        <v>0</v>
      </c>
      <c r="AP90" s="4">
        <f t="shared" si="30"/>
        <v>0</v>
      </c>
      <c r="AQ90" s="4"/>
      <c r="AR90" s="4"/>
      <c r="AS90" s="199"/>
      <c r="AT90" s="4"/>
      <c r="AU90" s="4">
        <f t="shared" si="17"/>
        <v>0</v>
      </c>
      <c r="AV90" s="4"/>
      <c r="AW90" s="199"/>
      <c r="AX90" s="199"/>
      <c r="AY90" s="4"/>
      <c r="AZ90" s="4">
        <f t="shared" si="31"/>
        <v>0</v>
      </c>
      <c r="BA90" s="4"/>
      <c r="BB90" s="4"/>
      <c r="BC90" s="4"/>
      <c r="BD90" s="4"/>
      <c r="BF90" s="205"/>
    </row>
    <row r="91" spans="1:58" s="334" customFormat="1" ht="27.6">
      <c r="A91" s="198">
        <f t="shared" si="32"/>
        <v>85</v>
      </c>
      <c r="B91" s="39">
        <v>2102</v>
      </c>
      <c r="C91" s="198" t="s">
        <v>480</v>
      </c>
      <c r="D91" s="199">
        <v>1750000</v>
      </c>
      <c r="E91" s="199"/>
      <c r="F91" s="199">
        <f t="shared" si="33"/>
        <v>1750000</v>
      </c>
      <c r="G91" s="199"/>
      <c r="H91" s="199"/>
      <c r="I91" s="199"/>
      <c r="J91" s="199"/>
      <c r="K91" s="199"/>
      <c r="L91" s="199"/>
      <c r="M91" s="199"/>
      <c r="N91" s="199">
        <v>1750000</v>
      </c>
      <c r="O91" s="199">
        <f t="shared" si="21"/>
        <v>0</v>
      </c>
      <c r="P91" s="199"/>
      <c r="Q91" s="199"/>
      <c r="R91" s="199"/>
      <c r="S91" s="199"/>
      <c r="T91" s="199"/>
      <c r="U91" s="199">
        <f t="shared" si="25"/>
        <v>1750000</v>
      </c>
      <c r="V91" s="199">
        <f t="shared" si="26"/>
        <v>1750000</v>
      </c>
      <c r="W91" s="199"/>
      <c r="X91" s="199"/>
      <c r="Y91" s="199"/>
      <c r="Z91" s="198"/>
      <c r="AA91" s="468" t="s">
        <v>850</v>
      </c>
      <c r="AB91" s="198">
        <v>822000</v>
      </c>
      <c r="AC91" s="466"/>
      <c r="AD91" s="4">
        <v>150000</v>
      </c>
      <c r="AE91" s="4"/>
      <c r="AF91" s="4"/>
      <c r="AG91" s="4"/>
      <c r="AH91" s="4"/>
      <c r="AI91" s="4"/>
      <c r="AJ91" s="4"/>
      <c r="AK91" s="4">
        <v>1600000</v>
      </c>
      <c r="AL91" s="4">
        <f t="shared" si="27"/>
        <v>1750000</v>
      </c>
      <c r="AM91" s="199"/>
      <c r="AN91" s="199">
        <f t="shared" si="28"/>
        <v>1750000</v>
      </c>
      <c r="AO91" s="4">
        <f t="shared" si="29"/>
        <v>0</v>
      </c>
      <c r="AP91" s="4">
        <f t="shared" si="30"/>
        <v>1750000</v>
      </c>
      <c r="AQ91" s="4"/>
      <c r="AR91" s="4"/>
      <c r="AS91" s="199"/>
      <c r="AT91" s="4"/>
      <c r="AU91" s="4">
        <f t="shared" si="17"/>
        <v>0</v>
      </c>
      <c r="AV91" s="4"/>
      <c r="AW91" s="199"/>
      <c r="AX91" s="199"/>
      <c r="AY91" s="4"/>
      <c r="AZ91" s="4">
        <f t="shared" si="31"/>
        <v>0</v>
      </c>
      <c r="BA91" s="4"/>
      <c r="BB91" s="4"/>
      <c r="BC91" s="4"/>
      <c r="BD91" s="4"/>
      <c r="BF91" s="205"/>
    </row>
    <row r="92" spans="1:58" s="334" customFormat="1" ht="19.95" customHeight="1">
      <c r="A92" s="198">
        <f t="shared" si="32"/>
        <v>86</v>
      </c>
      <c r="B92" s="39">
        <v>2103</v>
      </c>
      <c r="C92" s="198" t="s">
        <v>589</v>
      </c>
      <c r="D92" s="199">
        <f>5000000-2500000</f>
        <v>2500000</v>
      </c>
      <c r="E92" s="199"/>
      <c r="F92" s="199">
        <f t="shared" si="33"/>
        <v>2500000</v>
      </c>
      <c r="G92" s="199"/>
      <c r="H92" s="199"/>
      <c r="I92" s="199"/>
      <c r="J92" s="199"/>
      <c r="K92" s="199"/>
      <c r="L92" s="199"/>
      <c r="M92" s="199"/>
      <c r="N92" s="199">
        <f>5000000-2500000</f>
        <v>2500000</v>
      </c>
      <c r="O92" s="199">
        <f t="shared" si="21"/>
        <v>0</v>
      </c>
      <c r="P92" s="199"/>
      <c r="Q92" s="199"/>
      <c r="R92" s="199"/>
      <c r="S92" s="199"/>
      <c r="T92" s="199"/>
      <c r="U92" s="199">
        <f t="shared" si="25"/>
        <v>2500000</v>
      </c>
      <c r="V92" s="199"/>
      <c r="W92" s="199">
        <f>U92-V92</f>
        <v>2500000</v>
      </c>
      <c r="X92" s="199"/>
      <c r="Y92" s="199"/>
      <c r="Z92" s="198"/>
      <c r="AA92" s="468" t="s">
        <v>852</v>
      </c>
      <c r="AB92" s="198">
        <v>848000</v>
      </c>
      <c r="AC92" s="466"/>
      <c r="AD92" s="4"/>
      <c r="AE92" s="4"/>
      <c r="AF92" s="4"/>
      <c r="AG92" s="4"/>
      <c r="AH92" s="4"/>
      <c r="AI92" s="4"/>
      <c r="AJ92" s="4">
        <v>350000</v>
      </c>
      <c r="AK92" s="4">
        <v>650000</v>
      </c>
      <c r="AL92" s="4">
        <f t="shared" si="27"/>
        <v>1000000</v>
      </c>
      <c r="AM92" s="199"/>
      <c r="AN92" s="199">
        <f t="shared" si="28"/>
        <v>1000000</v>
      </c>
      <c r="AO92" s="4">
        <f t="shared" si="29"/>
        <v>1500000</v>
      </c>
      <c r="AP92" s="4">
        <f t="shared" si="30"/>
        <v>0</v>
      </c>
      <c r="AQ92" s="4">
        <v>1000000</v>
      </c>
      <c r="AR92" s="4"/>
      <c r="AS92" s="199"/>
      <c r="AT92" s="4"/>
      <c r="AU92" s="4">
        <f t="shared" si="17"/>
        <v>0</v>
      </c>
      <c r="AV92" s="4"/>
      <c r="AW92" s="199"/>
      <c r="AX92" s="199"/>
      <c r="AY92" s="4"/>
      <c r="AZ92" s="4">
        <f t="shared" si="31"/>
        <v>0</v>
      </c>
      <c r="BA92" s="4">
        <v>1500000</v>
      </c>
      <c r="BB92" s="4"/>
      <c r="BC92" s="4"/>
      <c r="BD92" s="4"/>
      <c r="BF92" s="205"/>
    </row>
    <row r="93" spans="1:58" s="346" customFormat="1" ht="19.95" customHeight="1">
      <c r="A93" s="204"/>
      <c r="B93" s="344"/>
      <c r="C93" s="204" t="s">
        <v>279</v>
      </c>
      <c r="D93" s="206">
        <f t="shared" ref="D93:AL93" si="34">SUM(D7:D92)</f>
        <v>1505306125</v>
      </c>
      <c r="E93" s="206">
        <f t="shared" si="34"/>
        <v>1403415725</v>
      </c>
      <c r="F93" s="206">
        <f t="shared" si="34"/>
        <v>101890400</v>
      </c>
      <c r="G93" s="206">
        <f t="shared" si="34"/>
        <v>741398988</v>
      </c>
      <c r="H93" s="206">
        <f t="shared" si="34"/>
        <v>601815576.36000013</v>
      </c>
      <c r="I93" s="206">
        <f t="shared" si="34"/>
        <v>970915.6100000001</v>
      </c>
      <c r="J93" s="206">
        <f t="shared" si="34"/>
        <v>80845169.61999999</v>
      </c>
      <c r="K93" s="206">
        <f t="shared" si="34"/>
        <v>81816085.229999989</v>
      </c>
      <c r="L93" s="206">
        <f t="shared" si="34"/>
        <v>683631661.59000015</v>
      </c>
      <c r="M93" s="206">
        <f t="shared" si="34"/>
        <v>174112258.40999994</v>
      </c>
      <c r="N93" s="206">
        <f t="shared" si="34"/>
        <v>212827410</v>
      </c>
      <c r="O93" s="206">
        <f t="shared" si="34"/>
        <v>434734795</v>
      </c>
      <c r="P93" s="206">
        <f t="shared" si="34"/>
        <v>57767326.410000011</v>
      </c>
      <c r="Q93" s="206">
        <f t="shared" si="34"/>
        <v>117479932</v>
      </c>
      <c r="R93" s="206">
        <f t="shared" si="34"/>
        <v>6800000</v>
      </c>
      <c r="S93" s="206">
        <f t="shared" si="34"/>
        <v>124279932</v>
      </c>
      <c r="T93" s="206">
        <f t="shared" si="34"/>
        <v>7935000</v>
      </c>
      <c r="U93" s="206">
        <f t="shared" si="34"/>
        <v>204892410</v>
      </c>
      <c r="V93" s="206">
        <f t="shared" si="34"/>
        <v>193844870</v>
      </c>
      <c r="W93" s="206">
        <f t="shared" si="34"/>
        <v>2500000</v>
      </c>
      <c r="X93" s="206">
        <f t="shared" si="34"/>
        <v>0</v>
      </c>
      <c r="Y93" s="206">
        <f t="shared" si="34"/>
        <v>0</v>
      </c>
      <c r="Z93" s="206">
        <f t="shared" si="34"/>
        <v>8547540</v>
      </c>
      <c r="AA93" s="206">
        <f t="shared" si="34"/>
        <v>0</v>
      </c>
      <c r="AB93" s="206">
        <f t="shared" si="34"/>
        <v>67620000</v>
      </c>
      <c r="AC93" s="206">
        <f>SUM(AC7:AC92)</f>
        <v>0</v>
      </c>
      <c r="AD93" s="206">
        <f t="shared" ref="AD93:AJ93" si="35">SUM(AD7:AD92)</f>
        <v>1100000</v>
      </c>
      <c r="AE93" s="206">
        <f t="shared" si="35"/>
        <v>-306330</v>
      </c>
      <c r="AF93" s="206">
        <f t="shared" si="35"/>
        <v>100000</v>
      </c>
      <c r="AG93" s="206">
        <f t="shared" si="35"/>
        <v>3800200</v>
      </c>
      <c r="AH93" s="206">
        <f t="shared" si="35"/>
        <v>2950000</v>
      </c>
      <c r="AI93" s="206">
        <f t="shared" si="35"/>
        <v>7100000</v>
      </c>
      <c r="AJ93" s="206">
        <f t="shared" si="35"/>
        <v>5420000</v>
      </c>
      <c r="AK93" s="206">
        <f>SUM(AK7:AK92)</f>
        <v>154091000</v>
      </c>
      <c r="AL93" s="206">
        <f t="shared" si="34"/>
        <v>174254870</v>
      </c>
      <c r="AM93" s="206">
        <f t="shared" ref="AM93:BD93" si="36">SUM(AM7:AM92)</f>
        <v>0</v>
      </c>
      <c r="AN93" s="206">
        <f t="shared" si="36"/>
        <v>174254870</v>
      </c>
      <c r="AO93" s="206">
        <f t="shared" si="36"/>
        <v>30637540</v>
      </c>
      <c r="AP93" s="206">
        <f t="shared" si="36"/>
        <v>169379870</v>
      </c>
      <c r="AQ93" s="206">
        <f t="shared" si="36"/>
        <v>1000000</v>
      </c>
      <c r="AR93" s="206">
        <f t="shared" si="36"/>
        <v>0</v>
      </c>
      <c r="AS93" s="206">
        <f t="shared" si="36"/>
        <v>0</v>
      </c>
      <c r="AT93" s="206">
        <f t="shared" si="36"/>
        <v>3875000</v>
      </c>
      <c r="AU93" s="206">
        <f t="shared" si="36"/>
        <v>0</v>
      </c>
      <c r="AV93" s="206">
        <f t="shared" si="36"/>
        <v>0</v>
      </c>
      <c r="AW93" s="206">
        <f t="shared" si="36"/>
        <v>0</v>
      </c>
      <c r="AX93" s="206">
        <f t="shared" si="36"/>
        <v>0</v>
      </c>
      <c r="AY93" s="206">
        <f t="shared" si="36"/>
        <v>0</v>
      </c>
      <c r="AZ93" s="206">
        <f t="shared" si="36"/>
        <v>23640000</v>
      </c>
      <c r="BA93" s="206">
        <f t="shared" si="36"/>
        <v>1500000</v>
      </c>
      <c r="BB93" s="206">
        <f t="shared" si="36"/>
        <v>0</v>
      </c>
      <c r="BC93" s="206">
        <f t="shared" si="36"/>
        <v>0</v>
      </c>
      <c r="BD93" s="206">
        <f t="shared" si="36"/>
        <v>5497540</v>
      </c>
      <c r="BF93" s="205"/>
    </row>
    <row r="94" spans="1:58" s="346" customFormat="1" ht="19.95" customHeight="1">
      <c r="A94" s="204"/>
      <c r="B94" s="344"/>
      <c r="C94" s="204"/>
      <c r="D94" s="206"/>
      <c r="E94" s="206"/>
      <c r="F94" s="206"/>
      <c r="G94" s="206"/>
      <c r="H94" s="20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S94" s="206"/>
      <c r="T94" s="206"/>
      <c r="U94" s="206"/>
      <c r="V94" s="206"/>
      <c r="W94" s="206"/>
      <c r="X94" s="206"/>
      <c r="Y94" s="206"/>
      <c r="Z94" s="206"/>
      <c r="AA94" s="470"/>
      <c r="AB94" s="206"/>
      <c r="AC94" s="469"/>
      <c r="AD94" s="469"/>
      <c r="AE94" s="469"/>
      <c r="AF94" s="469"/>
      <c r="AG94" s="469"/>
      <c r="AH94" s="469"/>
      <c r="AI94" s="469"/>
      <c r="AJ94" s="681"/>
      <c r="AK94" s="469"/>
      <c r="AL94" s="469"/>
      <c r="AM94" s="469"/>
      <c r="AN94" s="488"/>
      <c r="AO94" s="488"/>
      <c r="AP94" s="488"/>
      <c r="AQ94" s="485"/>
      <c r="AR94" s="485"/>
      <c r="AS94" s="469"/>
      <c r="AT94" s="488"/>
      <c r="AU94" s="485"/>
      <c r="AV94" s="485"/>
      <c r="AW94" s="469"/>
      <c r="AX94" s="488"/>
      <c r="AY94" s="488"/>
      <c r="AZ94" s="488"/>
      <c r="BA94" s="485"/>
      <c r="BB94" s="485"/>
      <c r="BC94" s="488"/>
      <c r="BD94" s="488"/>
      <c r="BF94" s="205"/>
    </row>
    <row r="95" spans="1:58" s="346" customFormat="1" ht="19.95" customHeight="1">
      <c r="A95" s="204"/>
      <c r="B95" s="344"/>
      <c r="C95" s="204" t="s">
        <v>211</v>
      </c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471"/>
      <c r="AB95" s="204"/>
      <c r="AC95" s="469"/>
      <c r="AD95" s="469"/>
      <c r="AE95" s="469"/>
      <c r="AF95" s="469"/>
      <c r="AG95" s="469"/>
      <c r="AH95" s="469"/>
      <c r="AI95" s="469"/>
      <c r="AJ95" s="469"/>
      <c r="AK95" s="469"/>
      <c r="AL95" s="469"/>
      <c r="AM95" s="198"/>
      <c r="AN95" s="488"/>
      <c r="AO95" s="488"/>
      <c r="AP95" s="488"/>
      <c r="AQ95" s="485"/>
      <c r="AR95" s="485"/>
      <c r="AS95" s="198"/>
      <c r="AT95" s="488"/>
      <c r="AU95" s="485"/>
      <c r="AV95" s="485"/>
      <c r="AW95" s="198"/>
      <c r="AX95" s="488"/>
      <c r="AY95" s="488"/>
      <c r="AZ95" s="488"/>
      <c r="BA95" s="485"/>
      <c r="BB95" s="485"/>
      <c r="BC95" s="488"/>
      <c r="BD95" s="488"/>
      <c r="BF95" s="205"/>
    </row>
    <row r="96" spans="1:58" s="202" customFormat="1" ht="27.6">
      <c r="A96" s="198">
        <f>A92+1</f>
        <v>87</v>
      </c>
      <c r="B96" s="198">
        <v>1547</v>
      </c>
      <c r="C96" s="198" t="s">
        <v>608</v>
      </c>
      <c r="D96" s="199">
        <v>144000000</v>
      </c>
      <c r="E96" s="199">
        <v>144000000</v>
      </c>
      <c r="F96" s="199">
        <f t="shared" ref="F96:F114" si="37">D96-E96</f>
        <v>0</v>
      </c>
      <c r="G96" s="199">
        <f>78300000+2700000</f>
        <v>81000000</v>
      </c>
      <c r="H96" s="199">
        <v>70046361</v>
      </c>
      <c r="I96" s="199">
        <v>1052805.8700000001</v>
      </c>
      <c r="J96" s="199">
        <v>3992160</v>
      </c>
      <c r="K96" s="199">
        <f>SUM(I96:J96)</f>
        <v>5044965.87</v>
      </c>
      <c r="L96" s="199">
        <f>K96+H96</f>
        <v>75091326.870000005</v>
      </c>
      <c r="M96" s="199">
        <f>P96+S96</f>
        <v>14908673.129999995</v>
      </c>
      <c r="N96" s="199">
        <f>21000000+35700000-2700000</f>
        <v>54000000</v>
      </c>
      <c r="O96" s="199">
        <f>D96-L96-M96-N96</f>
        <v>0</v>
      </c>
      <c r="P96" s="199">
        <f>G96-L96</f>
        <v>5908673.1299999952</v>
      </c>
      <c r="Q96" s="199">
        <f>7000000+2000000</f>
        <v>9000000</v>
      </c>
      <c r="R96" s="199"/>
      <c r="S96" s="199">
        <f>SUM(Q96:R96)</f>
        <v>9000000</v>
      </c>
      <c r="T96" s="199">
        <f>P96-M96+S96</f>
        <v>0</v>
      </c>
      <c r="U96" s="199">
        <f>N96-T96</f>
        <v>54000000</v>
      </c>
      <c r="V96" s="199"/>
      <c r="W96" s="199"/>
      <c r="X96" s="199"/>
      <c r="Y96" s="199">
        <f t="shared" ref="Y96:Y114" si="38">U96-Z96</f>
        <v>25000000</v>
      </c>
      <c r="Z96" s="199">
        <f>21000000+8000000</f>
        <v>29000000</v>
      </c>
      <c r="AA96" s="340" t="s">
        <v>756</v>
      </c>
      <c r="AB96" s="198">
        <v>742000</v>
      </c>
      <c r="AC96" s="469"/>
      <c r="AD96" s="199">
        <v>5000000</v>
      </c>
      <c r="AE96" s="199"/>
      <c r="AF96" s="199">
        <v>2500000</v>
      </c>
      <c r="AG96" s="199"/>
      <c r="AH96" s="199">
        <v>2500000</v>
      </c>
      <c r="AI96" s="199"/>
      <c r="AJ96" s="199">
        <v>2500000</v>
      </c>
      <c r="AK96" s="199">
        <v>29000000</v>
      </c>
      <c r="AL96" s="199">
        <f t="shared" ref="AL96:AL114" si="39">SUM(AC96:AK96)</f>
        <v>41500000</v>
      </c>
      <c r="AM96" s="199"/>
      <c r="AN96" s="199">
        <f>AL96+AM96</f>
        <v>41500000</v>
      </c>
      <c r="AO96" s="4">
        <f>U96-AN96</f>
        <v>12500000</v>
      </c>
      <c r="AP96" s="4">
        <f>AN96-AQ96-AS96-AT96</f>
        <v>0</v>
      </c>
      <c r="AQ96" s="4"/>
      <c r="AR96" s="4"/>
      <c r="AS96" s="199">
        <v>12500000</v>
      </c>
      <c r="AT96" s="4">
        <v>29000000</v>
      </c>
      <c r="AU96" s="4">
        <f>AM96-AV96-AW96-AX96-AY96</f>
        <v>0</v>
      </c>
      <c r="AV96" s="4"/>
      <c r="AW96" s="199"/>
      <c r="AX96" s="199"/>
      <c r="AY96" s="4"/>
      <c r="AZ96" s="4">
        <f>AO96-BA96-BB96-BC96-BD96</f>
        <v>0</v>
      </c>
      <c r="BA96" s="4"/>
      <c r="BB96" s="4"/>
      <c r="BC96" s="4">
        <v>12500000</v>
      </c>
      <c r="BD96" s="4"/>
      <c r="BF96" s="205"/>
    </row>
    <row r="97" spans="1:58" ht="19.95" customHeight="1">
      <c r="A97" s="198">
        <f t="shared" ref="A97:A114" si="40">1+A96</f>
        <v>88</v>
      </c>
      <c r="B97" s="340">
        <v>1827</v>
      </c>
      <c r="C97" s="198" t="s">
        <v>958</v>
      </c>
      <c r="D97" s="199">
        <v>100000000</v>
      </c>
      <c r="E97" s="199">
        <v>100000000</v>
      </c>
      <c r="F97" s="199">
        <f t="shared" si="37"/>
        <v>0</v>
      </c>
      <c r="G97" s="199">
        <v>51268638</v>
      </c>
      <c r="H97" s="199">
        <v>26567750</v>
      </c>
      <c r="I97" s="199"/>
      <c r="J97" s="199">
        <v>6688669</v>
      </c>
      <c r="K97" s="199">
        <f t="shared" ref="K97:K114" si="41">SUM(I97:J97)</f>
        <v>6688669</v>
      </c>
      <c r="L97" s="199">
        <f t="shared" ref="L97:L114" si="42">K97+H97</f>
        <v>33256419</v>
      </c>
      <c r="M97" s="199">
        <f t="shared" ref="M97:M114" si="43">P97+S97</f>
        <v>18012219</v>
      </c>
      <c r="N97" s="199">
        <f>48371362+360000</f>
        <v>48731362</v>
      </c>
      <c r="O97" s="199">
        <f t="shared" ref="O97:O114" si="44">D97-L97-M97-N97</f>
        <v>0</v>
      </c>
      <c r="P97" s="199">
        <f t="shared" ref="P97:P114" si="45">G97-L97</f>
        <v>18012219</v>
      </c>
      <c r="Q97" s="199"/>
      <c r="R97" s="199"/>
      <c r="S97" s="199">
        <f t="shared" ref="S97:S114" si="46">SUM(Q97:R97)</f>
        <v>0</v>
      </c>
      <c r="T97" s="199">
        <f t="shared" ref="T97:T114" si="47">P97-M97+S97</f>
        <v>0</v>
      </c>
      <c r="U97" s="199">
        <f t="shared" ref="U97:U114" si="48">N97-T97</f>
        <v>48731362</v>
      </c>
      <c r="V97" s="199"/>
      <c r="W97" s="199"/>
      <c r="X97" s="199"/>
      <c r="Y97" s="199">
        <f t="shared" si="38"/>
        <v>12000000</v>
      </c>
      <c r="Z97" s="199">
        <f>70000000-33268638</f>
        <v>36731362</v>
      </c>
      <c r="AA97" s="340" t="s">
        <v>756</v>
      </c>
      <c r="AB97" s="198">
        <v>746000</v>
      </c>
      <c r="AC97" s="469"/>
      <c r="AD97" s="199"/>
      <c r="AE97" s="199"/>
      <c r="AF97" s="199"/>
      <c r="AG97" s="199"/>
      <c r="AH97" s="199"/>
      <c r="AI97" s="199"/>
      <c r="AJ97" s="199">
        <v>4000000</v>
      </c>
      <c r="AK97" s="199">
        <v>8000000</v>
      </c>
      <c r="AL97" s="199">
        <f t="shared" si="39"/>
        <v>12000000</v>
      </c>
      <c r="AM97" s="199">
        <f>O97-AF97</f>
        <v>0</v>
      </c>
      <c r="AN97" s="199">
        <f t="shared" ref="AN97:AN114" si="49">AL97+AM97</f>
        <v>12000000</v>
      </c>
      <c r="AO97" s="4">
        <f t="shared" ref="AO97:AO114" si="50">U97-AN97</f>
        <v>36731362</v>
      </c>
      <c r="AP97" s="4">
        <f t="shared" ref="AP97:AP114" si="51">AN97-AQ97-AS97-AT97</f>
        <v>0</v>
      </c>
      <c r="AQ97" s="4"/>
      <c r="AR97" s="4"/>
      <c r="AS97" s="199">
        <v>12000000</v>
      </c>
      <c r="AT97" s="4"/>
      <c r="AU97" s="4">
        <f t="shared" ref="AU97:AU114" si="52">AM97-AV97-AW97-AX97-AY97</f>
        <v>0</v>
      </c>
      <c r="AV97" s="4"/>
      <c r="AW97" s="199"/>
      <c r="AX97" s="199"/>
      <c r="AY97" s="4"/>
      <c r="AZ97" s="4">
        <f t="shared" ref="AZ97:AZ114" si="53">AO97-BA97-BB97-BC97-BD97</f>
        <v>0</v>
      </c>
      <c r="BA97" s="4"/>
      <c r="BB97" s="4"/>
      <c r="BC97" s="4"/>
      <c r="BD97" s="4">
        <v>36731362</v>
      </c>
      <c r="BF97" s="205"/>
    </row>
    <row r="98" spans="1:58" s="202" customFormat="1" ht="19.95" customHeight="1">
      <c r="A98" s="198">
        <f t="shared" si="40"/>
        <v>89</v>
      </c>
      <c r="B98" s="198">
        <v>1905</v>
      </c>
      <c r="C98" s="198" t="s">
        <v>155</v>
      </c>
      <c r="D98" s="199">
        <v>3366000</v>
      </c>
      <c r="E98" s="199">
        <v>3366000</v>
      </c>
      <c r="F98" s="199">
        <f t="shared" si="37"/>
        <v>0</v>
      </c>
      <c r="G98" s="199">
        <v>3366000</v>
      </c>
      <c r="H98" s="199">
        <v>0</v>
      </c>
      <c r="I98" s="199"/>
      <c r="J98" s="199"/>
      <c r="K98" s="199">
        <f t="shared" si="41"/>
        <v>0</v>
      </c>
      <c r="L98" s="199">
        <f t="shared" si="42"/>
        <v>0</v>
      </c>
      <c r="M98" s="199">
        <f t="shared" si="43"/>
        <v>3366000</v>
      </c>
      <c r="N98" s="199"/>
      <c r="O98" s="199">
        <f t="shared" si="44"/>
        <v>0</v>
      </c>
      <c r="P98" s="199">
        <f t="shared" si="45"/>
        <v>3366000</v>
      </c>
      <c r="Q98" s="199"/>
      <c r="R98" s="199"/>
      <c r="S98" s="199">
        <f t="shared" si="46"/>
        <v>0</v>
      </c>
      <c r="T98" s="199">
        <f t="shared" si="47"/>
        <v>0</v>
      </c>
      <c r="U98" s="199">
        <f t="shared" si="48"/>
        <v>0</v>
      </c>
      <c r="V98" s="199"/>
      <c r="W98" s="199"/>
      <c r="X98" s="199"/>
      <c r="Y98" s="199">
        <f t="shared" si="38"/>
        <v>0</v>
      </c>
      <c r="Z98" s="199"/>
      <c r="AA98" s="340" t="s">
        <v>765</v>
      </c>
      <c r="AB98" s="198">
        <v>746000</v>
      </c>
      <c r="AC98" s="469"/>
      <c r="AD98" s="199"/>
      <c r="AE98" s="199"/>
      <c r="AF98" s="199"/>
      <c r="AG98" s="199"/>
      <c r="AH98" s="199"/>
      <c r="AI98" s="199"/>
      <c r="AJ98" s="199"/>
      <c r="AK98" s="199"/>
      <c r="AL98" s="199">
        <f t="shared" si="39"/>
        <v>0</v>
      </c>
      <c r="AM98" s="199">
        <f>O98-AF98</f>
        <v>0</v>
      </c>
      <c r="AN98" s="199">
        <f t="shared" si="49"/>
        <v>0</v>
      </c>
      <c r="AO98" s="4">
        <f t="shared" si="50"/>
        <v>0</v>
      </c>
      <c r="AP98" s="4">
        <f t="shared" si="51"/>
        <v>0</v>
      </c>
      <c r="AQ98" s="4"/>
      <c r="AR98" s="4"/>
      <c r="AS98" s="199"/>
      <c r="AT98" s="4"/>
      <c r="AU98" s="4">
        <f t="shared" si="52"/>
        <v>0</v>
      </c>
      <c r="AV98" s="4"/>
      <c r="AW98" s="199"/>
      <c r="AX98" s="199"/>
      <c r="AY98" s="4"/>
      <c r="AZ98" s="4">
        <f t="shared" si="53"/>
        <v>0</v>
      </c>
      <c r="BA98" s="4"/>
      <c r="BB98" s="4"/>
      <c r="BC98" s="4"/>
      <c r="BD98" s="4"/>
    </row>
    <row r="99" spans="1:58" s="202" customFormat="1" ht="19.95" customHeight="1">
      <c r="A99" s="198">
        <f t="shared" si="40"/>
        <v>90</v>
      </c>
      <c r="B99" s="198">
        <v>1906</v>
      </c>
      <c r="C99" s="198" t="s">
        <v>336</v>
      </c>
      <c r="D99" s="199">
        <v>10000000</v>
      </c>
      <c r="E99" s="199">
        <v>10000000</v>
      </c>
      <c r="F99" s="199">
        <f t="shared" si="37"/>
        <v>0</v>
      </c>
      <c r="G99" s="199">
        <f>7958844+1750000</f>
        <v>9708844</v>
      </c>
      <c r="H99" s="199">
        <v>6208337</v>
      </c>
      <c r="I99" s="199"/>
      <c r="J99" s="199">
        <v>1750480</v>
      </c>
      <c r="K99" s="199">
        <f t="shared" si="41"/>
        <v>1750480</v>
      </c>
      <c r="L99" s="199">
        <f t="shared" si="42"/>
        <v>7958817</v>
      </c>
      <c r="M99" s="199">
        <f t="shared" si="43"/>
        <v>1750027</v>
      </c>
      <c r="N99" s="199">
        <v>291156</v>
      </c>
      <c r="O99" s="199">
        <f t="shared" si="44"/>
        <v>0</v>
      </c>
      <c r="P99" s="199">
        <f t="shared" si="45"/>
        <v>1750027</v>
      </c>
      <c r="Q99" s="199"/>
      <c r="R99" s="199"/>
      <c r="S99" s="199">
        <f t="shared" si="46"/>
        <v>0</v>
      </c>
      <c r="T99" s="199">
        <f t="shared" si="47"/>
        <v>0</v>
      </c>
      <c r="U99" s="199">
        <f t="shared" si="48"/>
        <v>291156</v>
      </c>
      <c r="V99" s="199"/>
      <c r="W99" s="199"/>
      <c r="X99" s="199"/>
      <c r="Y99" s="199">
        <f t="shared" si="38"/>
        <v>291156</v>
      </c>
      <c r="Z99" s="198"/>
      <c r="AA99" s="340"/>
      <c r="AB99" s="198">
        <v>810000</v>
      </c>
      <c r="AC99" s="469"/>
      <c r="AD99" s="199"/>
      <c r="AE99" s="199"/>
      <c r="AF99" s="199"/>
      <c r="AG99" s="199"/>
      <c r="AH99" s="199"/>
      <c r="AI99" s="199"/>
      <c r="AJ99" s="199"/>
      <c r="AK99" s="199"/>
      <c r="AL99" s="199">
        <f t="shared" si="39"/>
        <v>0</v>
      </c>
      <c r="AM99" s="199">
        <f>O99-AF99</f>
        <v>0</v>
      </c>
      <c r="AN99" s="199">
        <f t="shared" si="49"/>
        <v>0</v>
      </c>
      <c r="AO99" s="4">
        <f t="shared" si="50"/>
        <v>291156</v>
      </c>
      <c r="AP99" s="4">
        <f t="shared" si="51"/>
        <v>0</v>
      </c>
      <c r="AQ99" s="4"/>
      <c r="AR99" s="4"/>
      <c r="AS99" s="199"/>
      <c r="AT99" s="4"/>
      <c r="AU99" s="4">
        <f t="shared" si="52"/>
        <v>0</v>
      </c>
      <c r="AV99" s="4"/>
      <c r="AW99" s="199"/>
      <c r="AX99" s="199"/>
      <c r="AY99" s="4"/>
      <c r="AZ99" s="4">
        <f t="shared" si="53"/>
        <v>0</v>
      </c>
      <c r="BA99" s="4"/>
      <c r="BB99" s="4"/>
      <c r="BC99" s="4">
        <v>291156</v>
      </c>
      <c r="BD99" s="4"/>
    </row>
    <row r="100" spans="1:58" s="202" customFormat="1" ht="19.95" customHeight="1">
      <c r="A100" s="198">
        <f t="shared" si="40"/>
        <v>91</v>
      </c>
      <c r="B100" s="198">
        <v>1907</v>
      </c>
      <c r="C100" s="198" t="s">
        <v>154</v>
      </c>
      <c r="D100" s="199">
        <v>10000000</v>
      </c>
      <c r="E100" s="199">
        <v>10000000</v>
      </c>
      <c r="F100" s="199">
        <f t="shared" si="37"/>
        <v>0</v>
      </c>
      <c r="G100" s="199">
        <v>7958844</v>
      </c>
      <c r="H100" s="199">
        <v>5917824</v>
      </c>
      <c r="I100" s="199"/>
      <c r="J100" s="199">
        <v>1253997</v>
      </c>
      <c r="K100" s="199">
        <f t="shared" si="41"/>
        <v>1253997</v>
      </c>
      <c r="L100" s="199">
        <f t="shared" si="42"/>
        <v>7171821</v>
      </c>
      <c r="M100" s="199">
        <f t="shared" si="43"/>
        <v>2537023</v>
      </c>
      <c r="N100" s="199">
        <v>291156</v>
      </c>
      <c r="O100" s="199">
        <f t="shared" si="44"/>
        <v>0</v>
      </c>
      <c r="P100" s="199">
        <f t="shared" si="45"/>
        <v>787023</v>
      </c>
      <c r="Q100" s="199">
        <v>1750000</v>
      </c>
      <c r="R100" s="199"/>
      <c r="S100" s="199">
        <f t="shared" si="46"/>
        <v>1750000</v>
      </c>
      <c r="T100" s="199">
        <f t="shared" si="47"/>
        <v>0</v>
      </c>
      <c r="U100" s="199">
        <f t="shared" si="48"/>
        <v>291156</v>
      </c>
      <c r="V100" s="199"/>
      <c r="W100" s="199"/>
      <c r="X100" s="199"/>
      <c r="Y100" s="199">
        <f t="shared" si="38"/>
        <v>291156</v>
      </c>
      <c r="Z100" s="198"/>
      <c r="AA100" s="340"/>
      <c r="AB100" s="198">
        <v>810000</v>
      </c>
      <c r="AC100" s="469"/>
      <c r="AD100" s="199"/>
      <c r="AE100" s="199"/>
      <c r="AF100" s="199"/>
      <c r="AG100" s="199"/>
      <c r="AH100" s="199"/>
      <c r="AI100" s="199"/>
      <c r="AJ100" s="199"/>
      <c r="AK100" s="199"/>
      <c r="AL100" s="199">
        <f t="shared" si="39"/>
        <v>0</v>
      </c>
      <c r="AM100" s="199">
        <f>O100-AF100</f>
        <v>0</v>
      </c>
      <c r="AN100" s="199">
        <f t="shared" si="49"/>
        <v>0</v>
      </c>
      <c r="AO100" s="4">
        <f t="shared" si="50"/>
        <v>291156</v>
      </c>
      <c r="AP100" s="4">
        <f t="shared" si="51"/>
        <v>0</v>
      </c>
      <c r="AQ100" s="4"/>
      <c r="AR100" s="4"/>
      <c r="AS100" s="199"/>
      <c r="AT100" s="4"/>
      <c r="AU100" s="4">
        <f t="shared" si="52"/>
        <v>0</v>
      </c>
      <c r="AV100" s="4"/>
      <c r="AW100" s="199"/>
      <c r="AX100" s="199"/>
      <c r="AY100" s="4"/>
      <c r="AZ100" s="4">
        <f t="shared" si="53"/>
        <v>0</v>
      </c>
      <c r="BA100" s="4"/>
      <c r="BB100" s="4"/>
      <c r="BC100" s="4">
        <v>291156</v>
      </c>
      <c r="BD100" s="4"/>
    </row>
    <row r="101" spans="1:58" s="202" customFormat="1" ht="19.95" customHeight="1">
      <c r="A101" s="198">
        <f t="shared" si="40"/>
        <v>92</v>
      </c>
      <c r="B101" s="198">
        <v>1908</v>
      </c>
      <c r="C101" s="198" t="s">
        <v>185</v>
      </c>
      <c r="D101" s="199">
        <v>16900000</v>
      </c>
      <c r="E101" s="199">
        <v>16900000</v>
      </c>
      <c r="F101" s="199">
        <f t="shared" si="37"/>
        <v>0</v>
      </c>
      <c r="G101" s="199">
        <v>10943329</v>
      </c>
      <c r="H101" s="199">
        <v>250632</v>
      </c>
      <c r="I101" s="199"/>
      <c r="J101" s="199">
        <v>48831.9</v>
      </c>
      <c r="K101" s="199">
        <f t="shared" si="41"/>
        <v>48831.9</v>
      </c>
      <c r="L101" s="199">
        <f t="shared" si="42"/>
        <v>299463.90000000002</v>
      </c>
      <c r="M101" s="199">
        <f t="shared" si="43"/>
        <v>10643865.1</v>
      </c>
      <c r="N101" s="199"/>
      <c r="O101" s="199">
        <f t="shared" si="44"/>
        <v>5956671</v>
      </c>
      <c r="P101" s="199">
        <f t="shared" si="45"/>
        <v>10643865.1</v>
      </c>
      <c r="Q101" s="199"/>
      <c r="R101" s="199"/>
      <c r="S101" s="199">
        <f t="shared" si="46"/>
        <v>0</v>
      </c>
      <c r="T101" s="199">
        <f t="shared" si="47"/>
        <v>0</v>
      </c>
      <c r="U101" s="199">
        <f t="shared" si="48"/>
        <v>0</v>
      </c>
      <c r="V101" s="199"/>
      <c r="W101" s="199"/>
      <c r="X101" s="199"/>
      <c r="Y101" s="199">
        <f t="shared" si="38"/>
        <v>0</v>
      </c>
      <c r="Z101" s="198"/>
      <c r="AA101" s="340"/>
      <c r="AB101" s="198">
        <v>810000</v>
      </c>
      <c r="AC101" s="469"/>
      <c r="AD101" s="199"/>
      <c r="AE101" s="199"/>
      <c r="AF101" s="199"/>
      <c r="AG101" s="199"/>
      <c r="AH101" s="199"/>
      <c r="AI101" s="199"/>
      <c r="AJ101" s="199"/>
      <c r="AK101" s="199"/>
      <c r="AL101" s="199">
        <f t="shared" si="39"/>
        <v>0</v>
      </c>
      <c r="AM101" s="199"/>
      <c r="AN101" s="199">
        <f t="shared" si="49"/>
        <v>0</v>
      </c>
      <c r="AO101" s="4">
        <f t="shared" si="50"/>
        <v>0</v>
      </c>
      <c r="AP101" s="4">
        <f t="shared" si="51"/>
        <v>0</v>
      </c>
      <c r="AQ101" s="4"/>
      <c r="AR101" s="4"/>
      <c r="AS101" s="199"/>
      <c r="AT101" s="4"/>
      <c r="AU101" s="4">
        <f t="shared" si="52"/>
        <v>0</v>
      </c>
      <c r="AV101" s="4"/>
      <c r="AW101" s="199"/>
      <c r="AX101" s="199"/>
      <c r="AY101" s="4"/>
      <c r="AZ101" s="4">
        <f t="shared" si="53"/>
        <v>0</v>
      </c>
      <c r="BA101" s="4"/>
      <c r="BB101" s="4"/>
      <c r="BC101" s="4"/>
      <c r="BD101" s="4"/>
    </row>
    <row r="102" spans="1:58" ht="19.95" customHeight="1">
      <c r="A102" s="198">
        <f t="shared" si="40"/>
        <v>93</v>
      </c>
      <c r="B102" s="340">
        <v>1909</v>
      </c>
      <c r="C102" s="198" t="s">
        <v>959</v>
      </c>
      <c r="D102" s="199">
        <v>147000000</v>
      </c>
      <c r="E102" s="199">
        <v>12500000</v>
      </c>
      <c r="F102" s="199">
        <f t="shared" si="37"/>
        <v>134500000</v>
      </c>
      <c r="G102" s="199">
        <v>1650000</v>
      </c>
      <c r="H102" s="199">
        <f>36475+186030</f>
        <v>222505</v>
      </c>
      <c r="I102" s="199"/>
      <c r="J102" s="199">
        <v>53298.879999999997</v>
      </c>
      <c r="K102" s="199">
        <f t="shared" si="41"/>
        <v>53298.879999999997</v>
      </c>
      <c r="L102" s="199">
        <f t="shared" si="42"/>
        <v>275803.88</v>
      </c>
      <c r="M102" s="199">
        <f t="shared" si="43"/>
        <v>1374196.12</v>
      </c>
      <c r="N102" s="199"/>
      <c r="O102" s="199">
        <f t="shared" si="44"/>
        <v>145350000</v>
      </c>
      <c r="P102" s="199">
        <f t="shared" si="45"/>
        <v>1374196.12</v>
      </c>
      <c r="Q102" s="199"/>
      <c r="R102" s="199"/>
      <c r="S102" s="199">
        <f t="shared" si="46"/>
        <v>0</v>
      </c>
      <c r="T102" s="199">
        <f t="shared" si="47"/>
        <v>0</v>
      </c>
      <c r="U102" s="199">
        <f t="shared" si="48"/>
        <v>0</v>
      </c>
      <c r="V102" s="199"/>
      <c r="W102" s="199"/>
      <c r="X102" s="199"/>
      <c r="Y102" s="199">
        <f t="shared" si="38"/>
        <v>0</v>
      </c>
      <c r="Z102" s="198"/>
      <c r="AA102" s="467"/>
      <c r="AB102" s="198">
        <v>810000</v>
      </c>
      <c r="AC102" s="469"/>
      <c r="AD102" s="199"/>
      <c r="AE102" s="199"/>
      <c r="AF102" s="199"/>
      <c r="AG102" s="199"/>
      <c r="AH102" s="199"/>
      <c r="AI102" s="199"/>
      <c r="AJ102" s="199"/>
      <c r="AK102" s="199"/>
      <c r="AL102" s="199">
        <f t="shared" si="39"/>
        <v>0</v>
      </c>
      <c r="AM102" s="199"/>
      <c r="AN102" s="199">
        <f t="shared" si="49"/>
        <v>0</v>
      </c>
      <c r="AO102" s="4">
        <f t="shared" si="50"/>
        <v>0</v>
      </c>
      <c r="AP102" s="4">
        <f t="shared" si="51"/>
        <v>0</v>
      </c>
      <c r="AQ102" s="4"/>
      <c r="AR102" s="4"/>
      <c r="AS102" s="199"/>
      <c r="AT102" s="4"/>
      <c r="AU102" s="4">
        <f t="shared" si="52"/>
        <v>0</v>
      </c>
      <c r="AV102" s="4"/>
      <c r="AW102" s="199"/>
      <c r="AX102" s="199"/>
      <c r="AY102" s="4"/>
      <c r="AZ102" s="4">
        <f t="shared" si="53"/>
        <v>0</v>
      </c>
      <c r="BA102" s="4"/>
      <c r="BB102" s="4"/>
      <c r="BC102" s="4"/>
      <c r="BD102" s="4"/>
    </row>
    <row r="103" spans="1:58" ht="41.4">
      <c r="A103" s="198">
        <f t="shared" si="40"/>
        <v>94</v>
      </c>
      <c r="B103" s="487">
        <v>1910</v>
      </c>
      <c r="C103" s="188" t="s">
        <v>481</v>
      </c>
      <c r="D103" s="199">
        <f>650000-650000</f>
        <v>0</v>
      </c>
      <c r="E103" s="199">
        <v>650000</v>
      </c>
      <c r="F103" s="199">
        <f t="shared" si="37"/>
        <v>-650000</v>
      </c>
      <c r="G103" s="199">
        <v>650000</v>
      </c>
      <c r="H103" s="199">
        <v>0</v>
      </c>
      <c r="I103" s="199"/>
      <c r="J103" s="199"/>
      <c r="K103" s="199">
        <f t="shared" si="41"/>
        <v>0</v>
      </c>
      <c r="L103" s="199">
        <f t="shared" si="42"/>
        <v>0</v>
      </c>
      <c r="M103" s="199">
        <f>P103+S103-650000</f>
        <v>0</v>
      </c>
      <c r="N103" s="199"/>
      <c r="O103" s="199">
        <f t="shared" si="44"/>
        <v>0</v>
      </c>
      <c r="P103" s="199">
        <f t="shared" si="45"/>
        <v>650000</v>
      </c>
      <c r="Q103" s="199"/>
      <c r="R103" s="199"/>
      <c r="S103" s="199">
        <f t="shared" si="46"/>
        <v>0</v>
      </c>
      <c r="T103" s="199">
        <f t="shared" si="47"/>
        <v>650000</v>
      </c>
      <c r="U103" s="199">
        <f t="shared" si="48"/>
        <v>-650000</v>
      </c>
      <c r="V103" s="199">
        <f t="shared" ref="V103:V114" si="54">U103-Y103-X103-Z103</f>
        <v>0</v>
      </c>
      <c r="W103" s="199"/>
      <c r="X103" s="199"/>
      <c r="Y103" s="199">
        <f t="shared" si="38"/>
        <v>-650000</v>
      </c>
      <c r="Z103" s="198"/>
      <c r="AA103" s="467"/>
      <c r="AB103" s="198">
        <v>823000</v>
      </c>
      <c r="AC103" s="469"/>
      <c r="AD103" s="199"/>
      <c r="AE103" s="199"/>
      <c r="AF103" s="199"/>
      <c r="AG103" s="199"/>
      <c r="AH103" s="199"/>
      <c r="AI103" s="199">
        <v>-650000</v>
      </c>
      <c r="AJ103" s="199"/>
      <c r="AK103" s="199"/>
      <c r="AL103" s="199">
        <f t="shared" si="39"/>
        <v>-650000</v>
      </c>
      <c r="AM103" s="199"/>
      <c r="AN103" s="199">
        <f t="shared" si="49"/>
        <v>-650000</v>
      </c>
      <c r="AO103" s="4">
        <f t="shared" si="50"/>
        <v>0</v>
      </c>
      <c r="AP103" s="4">
        <f t="shared" si="51"/>
        <v>0</v>
      </c>
      <c r="AQ103" s="4"/>
      <c r="AR103" s="4"/>
      <c r="AS103" s="199">
        <v>-650000</v>
      </c>
      <c r="AT103" s="4"/>
      <c r="AU103" s="4">
        <f t="shared" si="52"/>
        <v>0</v>
      </c>
      <c r="AV103" s="4"/>
      <c r="AW103" s="199"/>
      <c r="AX103" s="199"/>
      <c r="AY103" s="4"/>
      <c r="AZ103" s="4">
        <f t="shared" si="53"/>
        <v>0</v>
      </c>
      <c r="BA103" s="4"/>
      <c r="BB103" s="4"/>
      <c r="BC103" s="4"/>
      <c r="BD103" s="4"/>
    </row>
    <row r="104" spans="1:58" ht="27.6">
      <c r="A104" s="198">
        <f t="shared" si="40"/>
        <v>95</v>
      </c>
      <c r="B104" s="340">
        <v>1911</v>
      </c>
      <c r="C104" s="198" t="s">
        <v>482</v>
      </c>
      <c r="D104" s="199">
        <v>27500000</v>
      </c>
      <c r="E104" s="199">
        <v>27500000</v>
      </c>
      <c r="F104" s="199">
        <f t="shared" si="37"/>
        <v>0</v>
      </c>
      <c r="G104" s="199">
        <v>9182067</v>
      </c>
      <c r="H104" s="199">
        <v>207473</v>
      </c>
      <c r="I104" s="199"/>
      <c r="J104" s="199">
        <v>969131.9</v>
      </c>
      <c r="K104" s="199">
        <f t="shared" si="41"/>
        <v>969131.9</v>
      </c>
      <c r="L104" s="199">
        <f t="shared" si="42"/>
        <v>1176604.8999999999</v>
      </c>
      <c r="M104" s="199">
        <f t="shared" si="43"/>
        <v>8005462.0999999996</v>
      </c>
      <c r="N104" s="199"/>
      <c r="O104" s="199">
        <f t="shared" si="44"/>
        <v>18317933</v>
      </c>
      <c r="P104" s="199">
        <f t="shared" si="45"/>
        <v>8005462.0999999996</v>
      </c>
      <c r="Q104" s="199"/>
      <c r="R104" s="199"/>
      <c r="S104" s="199">
        <f t="shared" si="46"/>
        <v>0</v>
      </c>
      <c r="T104" s="199">
        <f t="shared" si="47"/>
        <v>0</v>
      </c>
      <c r="U104" s="199">
        <f t="shared" si="48"/>
        <v>0</v>
      </c>
      <c r="V104" s="199">
        <f t="shared" si="54"/>
        <v>0</v>
      </c>
      <c r="W104" s="199"/>
      <c r="X104" s="199"/>
      <c r="Y104" s="199">
        <f t="shared" si="38"/>
        <v>0</v>
      </c>
      <c r="Z104" s="198"/>
      <c r="AA104" s="467"/>
      <c r="AB104" s="198">
        <v>810000</v>
      </c>
      <c r="AC104" s="469"/>
      <c r="AD104" s="199"/>
      <c r="AE104" s="199"/>
      <c r="AF104" s="199"/>
      <c r="AG104" s="199"/>
      <c r="AH104" s="199"/>
      <c r="AI104" s="199"/>
      <c r="AJ104" s="199"/>
      <c r="AK104" s="199"/>
      <c r="AL104" s="199">
        <f t="shared" si="39"/>
        <v>0</v>
      </c>
      <c r="AM104" s="199"/>
      <c r="AN104" s="199">
        <f t="shared" si="49"/>
        <v>0</v>
      </c>
      <c r="AO104" s="4">
        <f t="shared" si="50"/>
        <v>0</v>
      </c>
      <c r="AP104" s="4">
        <f t="shared" si="51"/>
        <v>0</v>
      </c>
      <c r="AQ104" s="4"/>
      <c r="AR104" s="4"/>
      <c r="AS104" s="199"/>
      <c r="AT104" s="4"/>
      <c r="AU104" s="4">
        <f t="shared" si="52"/>
        <v>0</v>
      </c>
      <c r="AV104" s="4"/>
      <c r="AW104" s="199"/>
      <c r="AX104" s="199"/>
      <c r="AY104" s="4"/>
      <c r="AZ104" s="4">
        <f t="shared" si="53"/>
        <v>0</v>
      </c>
      <c r="BA104" s="4"/>
      <c r="BB104" s="4"/>
      <c r="BC104" s="4"/>
      <c r="BD104" s="4"/>
      <c r="BF104" s="205"/>
    </row>
    <row r="105" spans="1:58" ht="27.6">
      <c r="A105" s="198">
        <f t="shared" si="40"/>
        <v>96</v>
      </c>
      <c r="B105" s="340">
        <v>1912</v>
      </c>
      <c r="C105" s="198" t="s">
        <v>960</v>
      </c>
      <c r="D105" s="199">
        <v>310000000</v>
      </c>
      <c r="E105" s="199">
        <v>100000000</v>
      </c>
      <c r="F105" s="199">
        <f t="shared" si="37"/>
        <v>210000000</v>
      </c>
      <c r="G105" s="199">
        <v>2000000</v>
      </c>
      <c r="H105" s="199">
        <v>552753</v>
      </c>
      <c r="I105" s="199"/>
      <c r="J105" s="199">
        <v>442405.78</v>
      </c>
      <c r="K105" s="199">
        <f t="shared" si="41"/>
        <v>442405.78</v>
      </c>
      <c r="L105" s="199">
        <f t="shared" si="42"/>
        <v>995158.78</v>
      </c>
      <c r="M105" s="199">
        <f t="shared" si="43"/>
        <v>4004841.2199999997</v>
      </c>
      <c r="N105" s="199"/>
      <c r="O105" s="199">
        <f t="shared" si="44"/>
        <v>305000000</v>
      </c>
      <c r="P105" s="199">
        <f t="shared" si="45"/>
        <v>1004841.22</v>
      </c>
      <c r="Q105" s="199">
        <v>3000000</v>
      </c>
      <c r="R105" s="199"/>
      <c r="S105" s="199">
        <f t="shared" si="46"/>
        <v>3000000</v>
      </c>
      <c r="T105" s="199">
        <f t="shared" si="47"/>
        <v>0</v>
      </c>
      <c r="U105" s="199">
        <f t="shared" si="48"/>
        <v>0</v>
      </c>
      <c r="V105" s="199">
        <f t="shared" si="54"/>
        <v>0</v>
      </c>
      <c r="W105" s="199"/>
      <c r="X105" s="199"/>
      <c r="Y105" s="199">
        <f t="shared" si="38"/>
        <v>0</v>
      </c>
      <c r="Z105" s="198"/>
      <c r="AA105" s="467"/>
      <c r="AB105" s="198">
        <v>810000</v>
      </c>
      <c r="AC105" s="469"/>
      <c r="AD105" s="199"/>
      <c r="AE105" s="199"/>
      <c r="AF105" s="199"/>
      <c r="AG105" s="199"/>
      <c r="AH105" s="199"/>
      <c r="AI105" s="199"/>
      <c r="AJ105" s="199"/>
      <c r="AK105" s="199"/>
      <c r="AL105" s="199">
        <f t="shared" si="39"/>
        <v>0</v>
      </c>
      <c r="AM105" s="199"/>
      <c r="AN105" s="199">
        <f t="shared" si="49"/>
        <v>0</v>
      </c>
      <c r="AO105" s="4">
        <f t="shared" si="50"/>
        <v>0</v>
      </c>
      <c r="AP105" s="4">
        <f t="shared" si="51"/>
        <v>0</v>
      </c>
      <c r="AQ105" s="4"/>
      <c r="AR105" s="4"/>
      <c r="AS105" s="199"/>
      <c r="AT105" s="4"/>
      <c r="AU105" s="4">
        <f t="shared" si="52"/>
        <v>0</v>
      </c>
      <c r="AV105" s="4"/>
      <c r="AW105" s="199"/>
      <c r="AX105" s="199"/>
      <c r="AY105" s="4"/>
      <c r="AZ105" s="4">
        <f t="shared" si="53"/>
        <v>0</v>
      </c>
      <c r="BA105" s="4"/>
      <c r="BB105" s="4"/>
      <c r="BC105" s="4"/>
      <c r="BD105" s="4"/>
      <c r="BF105" s="205"/>
    </row>
    <row r="106" spans="1:58" ht="41.4">
      <c r="A106" s="198">
        <f t="shared" si="40"/>
        <v>97</v>
      </c>
      <c r="B106" s="487">
        <v>1913</v>
      </c>
      <c r="C106" s="188" t="s">
        <v>483</v>
      </c>
      <c r="D106" s="199">
        <f>400000-400000</f>
        <v>0</v>
      </c>
      <c r="E106" s="199">
        <v>400000</v>
      </c>
      <c r="F106" s="199">
        <f t="shared" si="37"/>
        <v>-400000</v>
      </c>
      <c r="G106" s="199">
        <v>400000</v>
      </c>
      <c r="H106" s="199">
        <v>0</v>
      </c>
      <c r="I106" s="199"/>
      <c r="J106" s="199"/>
      <c r="K106" s="199">
        <f t="shared" si="41"/>
        <v>0</v>
      </c>
      <c r="L106" s="199">
        <f t="shared" si="42"/>
        <v>0</v>
      </c>
      <c r="M106" s="199">
        <f>P106+S106-400000</f>
        <v>0</v>
      </c>
      <c r="N106" s="199"/>
      <c r="O106" s="199">
        <f t="shared" si="44"/>
        <v>0</v>
      </c>
      <c r="P106" s="199">
        <f t="shared" si="45"/>
        <v>400000</v>
      </c>
      <c r="Q106" s="199"/>
      <c r="R106" s="199"/>
      <c r="S106" s="199">
        <f t="shared" si="46"/>
        <v>0</v>
      </c>
      <c r="T106" s="199">
        <f t="shared" si="47"/>
        <v>400000</v>
      </c>
      <c r="U106" s="199">
        <f t="shared" si="48"/>
        <v>-400000</v>
      </c>
      <c r="V106" s="199">
        <f t="shared" si="54"/>
        <v>0</v>
      </c>
      <c r="W106" s="199"/>
      <c r="X106" s="199"/>
      <c r="Y106" s="199">
        <f t="shared" si="38"/>
        <v>-400000</v>
      </c>
      <c r="Z106" s="198"/>
      <c r="AA106" s="467"/>
      <c r="AB106" s="198">
        <v>823000</v>
      </c>
      <c r="AC106" s="469"/>
      <c r="AD106" s="199"/>
      <c r="AE106" s="199"/>
      <c r="AF106" s="199"/>
      <c r="AG106" s="199"/>
      <c r="AH106" s="199"/>
      <c r="AI106" s="199">
        <v>-400000</v>
      </c>
      <c r="AJ106" s="199"/>
      <c r="AK106" s="199"/>
      <c r="AL106" s="199">
        <f t="shared" si="39"/>
        <v>-400000</v>
      </c>
      <c r="AM106" s="199"/>
      <c r="AN106" s="199">
        <f t="shared" si="49"/>
        <v>-400000</v>
      </c>
      <c r="AO106" s="4">
        <f t="shared" si="50"/>
        <v>0</v>
      </c>
      <c r="AP106" s="4">
        <f t="shared" si="51"/>
        <v>0</v>
      </c>
      <c r="AQ106" s="4"/>
      <c r="AR106" s="4"/>
      <c r="AS106" s="199">
        <v>-400000</v>
      </c>
      <c r="AT106" s="4"/>
      <c r="AU106" s="4">
        <f t="shared" si="52"/>
        <v>0</v>
      </c>
      <c r="AV106" s="4"/>
      <c r="AW106" s="199"/>
      <c r="AX106" s="199"/>
      <c r="AY106" s="4"/>
      <c r="AZ106" s="4">
        <f t="shared" si="53"/>
        <v>0</v>
      </c>
      <c r="BA106" s="4"/>
      <c r="BB106" s="4"/>
      <c r="BC106" s="4"/>
      <c r="BD106" s="4"/>
      <c r="BF106" s="192"/>
    </row>
    <row r="107" spans="1:58" ht="19.95" customHeight="1">
      <c r="A107" s="198">
        <f t="shared" si="40"/>
        <v>98</v>
      </c>
      <c r="B107" s="340">
        <v>1914</v>
      </c>
      <c r="C107" s="198" t="s">
        <v>184</v>
      </c>
      <c r="D107" s="199">
        <v>7700000</v>
      </c>
      <c r="E107" s="199">
        <v>7700000</v>
      </c>
      <c r="F107" s="199">
        <f t="shared" si="37"/>
        <v>0</v>
      </c>
      <c r="G107" s="199">
        <v>1300000</v>
      </c>
      <c r="H107" s="199">
        <v>146399</v>
      </c>
      <c r="I107" s="199"/>
      <c r="J107" s="199">
        <v>53600.37</v>
      </c>
      <c r="K107" s="199">
        <f t="shared" si="41"/>
        <v>53600.37</v>
      </c>
      <c r="L107" s="199">
        <f t="shared" si="42"/>
        <v>199999.37</v>
      </c>
      <c r="M107" s="199">
        <f t="shared" si="43"/>
        <v>1100000.6299999999</v>
      </c>
      <c r="N107" s="199"/>
      <c r="O107" s="199">
        <f t="shared" si="44"/>
        <v>6400000</v>
      </c>
      <c r="P107" s="199">
        <f t="shared" si="45"/>
        <v>1100000.6299999999</v>
      </c>
      <c r="Q107" s="199"/>
      <c r="R107" s="199"/>
      <c r="S107" s="199">
        <f t="shared" si="46"/>
        <v>0</v>
      </c>
      <c r="T107" s="199">
        <f t="shared" si="47"/>
        <v>0</v>
      </c>
      <c r="U107" s="199">
        <f t="shared" si="48"/>
        <v>0</v>
      </c>
      <c r="V107" s="199">
        <f t="shared" si="54"/>
        <v>0</v>
      </c>
      <c r="W107" s="199"/>
      <c r="X107" s="199"/>
      <c r="Y107" s="199">
        <f t="shared" si="38"/>
        <v>0</v>
      </c>
      <c r="Z107" s="198"/>
      <c r="AA107" s="467"/>
      <c r="AB107" s="198">
        <v>810000</v>
      </c>
      <c r="AC107" s="469"/>
      <c r="AD107" s="199"/>
      <c r="AE107" s="199"/>
      <c r="AF107" s="199"/>
      <c r="AG107" s="199"/>
      <c r="AH107" s="199"/>
      <c r="AI107" s="199"/>
      <c r="AJ107" s="199"/>
      <c r="AK107" s="199"/>
      <c r="AL107" s="199">
        <f t="shared" si="39"/>
        <v>0</v>
      </c>
      <c r="AM107" s="199"/>
      <c r="AN107" s="199">
        <f t="shared" si="49"/>
        <v>0</v>
      </c>
      <c r="AO107" s="4">
        <f t="shared" si="50"/>
        <v>0</v>
      </c>
      <c r="AP107" s="4">
        <f t="shared" si="51"/>
        <v>0</v>
      </c>
      <c r="AQ107" s="4"/>
      <c r="AR107" s="4"/>
      <c r="AS107" s="199"/>
      <c r="AT107" s="4"/>
      <c r="AU107" s="4">
        <f t="shared" si="52"/>
        <v>0</v>
      </c>
      <c r="AV107" s="4"/>
      <c r="AW107" s="199"/>
      <c r="AX107" s="199"/>
      <c r="AY107" s="4"/>
      <c r="AZ107" s="4">
        <f t="shared" si="53"/>
        <v>0</v>
      </c>
      <c r="BA107" s="4"/>
      <c r="BB107" s="4"/>
      <c r="BC107" s="4"/>
      <c r="BD107" s="4"/>
    </row>
    <row r="108" spans="1:58" ht="19.95" customHeight="1">
      <c r="A108" s="198">
        <f t="shared" si="40"/>
        <v>99</v>
      </c>
      <c r="B108" s="340">
        <v>1919</v>
      </c>
      <c r="C108" s="198" t="s">
        <v>161</v>
      </c>
      <c r="D108" s="199">
        <v>135100000</v>
      </c>
      <c r="E108" s="199">
        <v>135100000</v>
      </c>
      <c r="F108" s="199">
        <f t="shared" si="37"/>
        <v>0</v>
      </c>
      <c r="G108" s="199">
        <v>33902858</v>
      </c>
      <c r="H108" s="199">
        <v>14793296</v>
      </c>
      <c r="I108" s="199"/>
      <c r="J108" s="199">
        <v>7517279</v>
      </c>
      <c r="K108" s="199">
        <f t="shared" si="41"/>
        <v>7517279</v>
      </c>
      <c r="L108" s="199">
        <f t="shared" si="42"/>
        <v>22310575</v>
      </c>
      <c r="M108" s="199">
        <f t="shared" si="43"/>
        <v>17787952</v>
      </c>
      <c r="N108" s="199">
        <f>6701920-6195669</f>
        <v>506251</v>
      </c>
      <c r="O108" s="199">
        <f t="shared" si="44"/>
        <v>94495222</v>
      </c>
      <c r="P108" s="199">
        <f t="shared" si="45"/>
        <v>11592283</v>
      </c>
      <c r="Q108" s="199">
        <v>6195669</v>
      </c>
      <c r="R108" s="199"/>
      <c r="S108" s="199">
        <f t="shared" si="46"/>
        <v>6195669</v>
      </c>
      <c r="T108" s="199">
        <f t="shared" si="47"/>
        <v>0</v>
      </c>
      <c r="U108" s="199">
        <f t="shared" si="48"/>
        <v>506251</v>
      </c>
      <c r="V108" s="199">
        <f t="shared" si="54"/>
        <v>0</v>
      </c>
      <c r="W108" s="199"/>
      <c r="X108" s="199"/>
      <c r="Y108" s="199">
        <f t="shared" si="38"/>
        <v>0</v>
      </c>
      <c r="Z108" s="199">
        <v>506251</v>
      </c>
      <c r="AA108" s="340" t="s">
        <v>756</v>
      </c>
      <c r="AB108" s="198">
        <v>742000</v>
      </c>
      <c r="AC108" s="469"/>
      <c r="AD108" s="199"/>
      <c r="AE108" s="199"/>
      <c r="AF108" s="199"/>
      <c r="AG108" s="199"/>
      <c r="AH108" s="199"/>
      <c r="AI108" s="199"/>
      <c r="AJ108" s="199"/>
      <c r="AK108" s="199">
        <v>506251</v>
      </c>
      <c r="AL108" s="199">
        <f t="shared" si="39"/>
        <v>506251</v>
      </c>
      <c r="AM108" s="199"/>
      <c r="AN108" s="199">
        <f t="shared" si="49"/>
        <v>506251</v>
      </c>
      <c r="AO108" s="4">
        <f t="shared" si="50"/>
        <v>0</v>
      </c>
      <c r="AP108" s="4">
        <f t="shared" si="51"/>
        <v>0</v>
      </c>
      <c r="AQ108" s="4"/>
      <c r="AR108" s="4"/>
      <c r="AS108" s="199"/>
      <c r="AT108" s="4">
        <v>506251</v>
      </c>
      <c r="AU108" s="4">
        <f t="shared" si="52"/>
        <v>0</v>
      </c>
      <c r="AV108" s="4"/>
      <c r="AW108" s="199"/>
      <c r="AX108" s="199"/>
      <c r="AY108" s="4"/>
      <c r="AZ108" s="4">
        <f t="shared" si="53"/>
        <v>0</v>
      </c>
      <c r="BA108" s="4"/>
      <c r="BB108" s="4"/>
      <c r="BC108" s="4"/>
      <c r="BD108" s="4"/>
      <c r="BF108" s="192"/>
    </row>
    <row r="109" spans="1:58" ht="41.4">
      <c r="A109" s="198">
        <f t="shared" si="40"/>
        <v>100</v>
      </c>
      <c r="B109" s="487">
        <v>1959</v>
      </c>
      <c r="C109" s="188" t="s">
        <v>484</v>
      </c>
      <c r="D109" s="199">
        <f>35000000-35000000</f>
        <v>0</v>
      </c>
      <c r="E109" s="199">
        <v>35000000</v>
      </c>
      <c r="F109" s="199">
        <f t="shared" si="37"/>
        <v>-35000000</v>
      </c>
      <c r="G109" s="199">
        <v>1500000</v>
      </c>
      <c r="H109" s="199">
        <f>186030-186030</f>
        <v>0</v>
      </c>
      <c r="I109" s="199"/>
      <c r="J109" s="199">
        <f>813945.6-813945.6</f>
        <v>0</v>
      </c>
      <c r="K109" s="199">
        <f t="shared" si="41"/>
        <v>0</v>
      </c>
      <c r="L109" s="199">
        <f t="shared" si="42"/>
        <v>0</v>
      </c>
      <c r="M109" s="199">
        <f>P109+S109-1500000</f>
        <v>0</v>
      </c>
      <c r="N109" s="199"/>
      <c r="O109" s="199">
        <f t="shared" si="44"/>
        <v>0</v>
      </c>
      <c r="P109" s="199">
        <f t="shared" si="45"/>
        <v>1500000</v>
      </c>
      <c r="Q109" s="199"/>
      <c r="R109" s="199"/>
      <c r="S109" s="199">
        <f t="shared" si="46"/>
        <v>0</v>
      </c>
      <c r="T109" s="199">
        <f t="shared" si="47"/>
        <v>1500000</v>
      </c>
      <c r="U109" s="199">
        <f t="shared" si="48"/>
        <v>-1500000</v>
      </c>
      <c r="V109" s="199">
        <f t="shared" si="54"/>
        <v>0</v>
      </c>
      <c r="W109" s="199"/>
      <c r="X109" s="199"/>
      <c r="Y109" s="199">
        <f t="shared" si="38"/>
        <v>-1500000</v>
      </c>
      <c r="Z109" s="198"/>
      <c r="AA109" s="467"/>
      <c r="AB109" s="198">
        <v>810000</v>
      </c>
      <c r="AC109" s="469"/>
      <c r="AD109" s="199"/>
      <c r="AE109" s="199"/>
      <c r="AF109" s="199"/>
      <c r="AG109" s="199"/>
      <c r="AH109" s="199"/>
      <c r="AI109" s="199">
        <v>-1500000</v>
      </c>
      <c r="AJ109" s="199"/>
      <c r="AK109" s="199"/>
      <c r="AL109" s="199">
        <f t="shared" si="39"/>
        <v>-1500000</v>
      </c>
      <c r="AM109" s="199"/>
      <c r="AN109" s="199">
        <f t="shared" si="49"/>
        <v>-1500000</v>
      </c>
      <c r="AO109" s="4">
        <f t="shared" si="50"/>
        <v>0</v>
      </c>
      <c r="AP109" s="4">
        <f t="shared" si="51"/>
        <v>0</v>
      </c>
      <c r="AQ109" s="4"/>
      <c r="AR109" s="4"/>
      <c r="AS109" s="199">
        <v>-1500000</v>
      </c>
      <c r="AT109" s="4"/>
      <c r="AU109" s="4">
        <f t="shared" si="52"/>
        <v>0</v>
      </c>
      <c r="AV109" s="4"/>
      <c r="AW109" s="199"/>
      <c r="AX109" s="199"/>
      <c r="AY109" s="4"/>
      <c r="AZ109" s="4">
        <f t="shared" si="53"/>
        <v>0</v>
      </c>
      <c r="BA109" s="4"/>
      <c r="BB109" s="4"/>
      <c r="BC109" s="4"/>
      <c r="BD109" s="4"/>
    </row>
    <row r="110" spans="1:58" ht="19.95" customHeight="1">
      <c r="A110" s="198">
        <f t="shared" si="40"/>
        <v>101</v>
      </c>
      <c r="B110" s="340">
        <v>1960</v>
      </c>
      <c r="C110" s="198" t="s">
        <v>485</v>
      </c>
      <c r="D110" s="199">
        <f>7700000+14600000</f>
        <v>22300000</v>
      </c>
      <c r="E110" s="199">
        <v>7700000</v>
      </c>
      <c r="F110" s="199">
        <f t="shared" si="37"/>
        <v>14600000</v>
      </c>
      <c r="G110" s="199">
        <v>750000</v>
      </c>
      <c r="H110" s="199">
        <v>115104</v>
      </c>
      <c r="I110" s="199"/>
      <c r="J110" s="199">
        <v>84895.88</v>
      </c>
      <c r="K110" s="199">
        <f t="shared" si="41"/>
        <v>84895.88</v>
      </c>
      <c r="L110" s="199">
        <f t="shared" si="42"/>
        <v>199999.88</v>
      </c>
      <c r="M110" s="199">
        <f t="shared" si="43"/>
        <v>550000.12</v>
      </c>
      <c r="N110" s="199">
        <v>3400000</v>
      </c>
      <c r="O110" s="199">
        <f t="shared" si="44"/>
        <v>18150000</v>
      </c>
      <c r="P110" s="199">
        <f t="shared" si="45"/>
        <v>550000.12</v>
      </c>
      <c r="Q110" s="199"/>
      <c r="R110" s="199"/>
      <c r="S110" s="199">
        <f t="shared" si="46"/>
        <v>0</v>
      </c>
      <c r="T110" s="199">
        <f t="shared" si="47"/>
        <v>0</v>
      </c>
      <c r="U110" s="199">
        <f t="shared" si="48"/>
        <v>3400000</v>
      </c>
      <c r="V110" s="199">
        <f t="shared" si="54"/>
        <v>0</v>
      </c>
      <c r="W110" s="199"/>
      <c r="X110" s="199"/>
      <c r="Y110" s="199">
        <f t="shared" si="38"/>
        <v>0</v>
      </c>
      <c r="Z110" s="199">
        <v>3400000</v>
      </c>
      <c r="AA110" s="467" t="s">
        <v>757</v>
      </c>
      <c r="AB110" s="198">
        <v>810000</v>
      </c>
      <c r="AC110" s="469"/>
      <c r="AD110" s="199"/>
      <c r="AE110" s="199"/>
      <c r="AF110" s="199"/>
      <c r="AG110" s="199"/>
      <c r="AH110" s="199"/>
      <c r="AI110" s="199"/>
      <c r="AJ110" s="199"/>
      <c r="AK110" s="199"/>
      <c r="AL110" s="199">
        <f t="shared" si="39"/>
        <v>0</v>
      </c>
      <c r="AM110" s="199"/>
      <c r="AN110" s="199">
        <f t="shared" si="49"/>
        <v>0</v>
      </c>
      <c r="AO110" s="4">
        <f t="shared" si="50"/>
        <v>3400000</v>
      </c>
      <c r="AP110" s="4">
        <f t="shared" si="51"/>
        <v>0</v>
      </c>
      <c r="AQ110" s="4"/>
      <c r="AR110" s="4"/>
      <c r="AS110" s="199"/>
      <c r="AT110" s="4"/>
      <c r="AU110" s="4">
        <f t="shared" si="52"/>
        <v>0</v>
      </c>
      <c r="AV110" s="4"/>
      <c r="AW110" s="199"/>
      <c r="AX110" s="199"/>
      <c r="AY110" s="4"/>
      <c r="AZ110" s="4">
        <f t="shared" si="53"/>
        <v>0</v>
      </c>
      <c r="BA110" s="4"/>
      <c r="BB110" s="4"/>
      <c r="BC110" s="4"/>
      <c r="BD110" s="4">
        <v>3400000</v>
      </c>
      <c r="BF110" s="205"/>
    </row>
    <row r="111" spans="1:58" ht="19.95" customHeight="1">
      <c r="A111" s="198">
        <f t="shared" si="40"/>
        <v>102</v>
      </c>
      <c r="B111" s="340">
        <v>1961</v>
      </c>
      <c r="C111" s="198" t="s">
        <v>206</v>
      </c>
      <c r="D111" s="199">
        <v>3000000</v>
      </c>
      <c r="E111" s="199">
        <v>3000000</v>
      </c>
      <c r="F111" s="199">
        <f t="shared" si="37"/>
        <v>0</v>
      </c>
      <c r="G111" s="199">
        <v>1500000</v>
      </c>
      <c r="H111" s="199">
        <v>0</v>
      </c>
      <c r="I111" s="199"/>
      <c r="J111" s="199"/>
      <c r="K111" s="199">
        <f t="shared" si="41"/>
        <v>0</v>
      </c>
      <c r="L111" s="199">
        <f t="shared" si="42"/>
        <v>0</v>
      </c>
      <c r="M111" s="199">
        <f t="shared" si="43"/>
        <v>1500000</v>
      </c>
      <c r="N111" s="199"/>
      <c r="O111" s="199">
        <f t="shared" si="44"/>
        <v>1500000</v>
      </c>
      <c r="P111" s="199">
        <f t="shared" si="45"/>
        <v>1500000</v>
      </c>
      <c r="Q111" s="199"/>
      <c r="R111" s="199"/>
      <c r="S111" s="199">
        <f t="shared" si="46"/>
        <v>0</v>
      </c>
      <c r="T111" s="199">
        <f t="shared" si="47"/>
        <v>0</v>
      </c>
      <c r="U111" s="199">
        <f t="shared" si="48"/>
        <v>0</v>
      </c>
      <c r="V111" s="199">
        <f t="shared" si="54"/>
        <v>0</v>
      </c>
      <c r="W111" s="199"/>
      <c r="X111" s="199"/>
      <c r="Y111" s="199">
        <f t="shared" si="38"/>
        <v>0</v>
      </c>
      <c r="Z111" s="198"/>
      <c r="AA111" s="467"/>
      <c r="AB111" s="198">
        <v>742000</v>
      </c>
      <c r="AC111" s="469"/>
      <c r="AD111" s="199"/>
      <c r="AE111" s="199"/>
      <c r="AF111" s="199"/>
      <c r="AG111" s="199"/>
      <c r="AH111" s="199"/>
      <c r="AI111" s="199"/>
      <c r="AJ111" s="199"/>
      <c r="AK111" s="199"/>
      <c r="AL111" s="199">
        <f t="shared" si="39"/>
        <v>0</v>
      </c>
      <c r="AM111" s="199"/>
      <c r="AN111" s="199">
        <f t="shared" si="49"/>
        <v>0</v>
      </c>
      <c r="AO111" s="4">
        <f t="shared" si="50"/>
        <v>0</v>
      </c>
      <c r="AP111" s="4">
        <f t="shared" si="51"/>
        <v>0</v>
      </c>
      <c r="AQ111" s="4"/>
      <c r="AR111" s="4"/>
      <c r="AS111" s="199"/>
      <c r="AT111" s="4"/>
      <c r="AU111" s="4">
        <f t="shared" si="52"/>
        <v>0</v>
      </c>
      <c r="AV111" s="4"/>
      <c r="AW111" s="199"/>
      <c r="AX111" s="199"/>
      <c r="AY111" s="4"/>
      <c r="AZ111" s="4">
        <f t="shared" si="53"/>
        <v>0</v>
      </c>
      <c r="BA111" s="4"/>
      <c r="BB111" s="4"/>
      <c r="BC111" s="4"/>
      <c r="BD111" s="4"/>
      <c r="BF111" s="205"/>
    </row>
    <row r="112" spans="1:58" ht="19.95" customHeight="1">
      <c r="A112" s="198">
        <f t="shared" si="40"/>
        <v>103</v>
      </c>
      <c r="B112" s="340">
        <v>1962</v>
      </c>
      <c r="C112" s="198" t="s">
        <v>207</v>
      </c>
      <c r="D112" s="199">
        <v>20000000</v>
      </c>
      <c r="E112" s="199">
        <v>20000000</v>
      </c>
      <c r="F112" s="199">
        <f t="shared" si="37"/>
        <v>0</v>
      </c>
      <c r="G112" s="199">
        <v>1000000</v>
      </c>
      <c r="H112" s="199">
        <v>0</v>
      </c>
      <c r="I112" s="199"/>
      <c r="J112" s="199"/>
      <c r="K112" s="199">
        <f t="shared" si="41"/>
        <v>0</v>
      </c>
      <c r="L112" s="199">
        <f t="shared" si="42"/>
        <v>0</v>
      </c>
      <c r="M112" s="199">
        <f t="shared" si="43"/>
        <v>1000000</v>
      </c>
      <c r="N112" s="199"/>
      <c r="O112" s="199">
        <f t="shared" si="44"/>
        <v>19000000</v>
      </c>
      <c r="P112" s="199">
        <f t="shared" si="45"/>
        <v>1000000</v>
      </c>
      <c r="Q112" s="199"/>
      <c r="R112" s="199"/>
      <c r="S112" s="199">
        <f t="shared" si="46"/>
        <v>0</v>
      </c>
      <c r="T112" s="199">
        <f t="shared" si="47"/>
        <v>0</v>
      </c>
      <c r="U112" s="199">
        <f t="shared" si="48"/>
        <v>0</v>
      </c>
      <c r="V112" s="199">
        <f t="shared" si="54"/>
        <v>0</v>
      </c>
      <c r="W112" s="199"/>
      <c r="X112" s="199"/>
      <c r="Y112" s="199">
        <f t="shared" si="38"/>
        <v>0</v>
      </c>
      <c r="Z112" s="198"/>
      <c r="AA112" s="467"/>
      <c r="AB112" s="198">
        <v>742000</v>
      </c>
      <c r="AC112" s="469"/>
      <c r="AD112" s="199"/>
      <c r="AE112" s="199"/>
      <c r="AF112" s="199"/>
      <c r="AG112" s="199"/>
      <c r="AH112" s="199"/>
      <c r="AI112" s="199"/>
      <c r="AJ112" s="199"/>
      <c r="AK112" s="199"/>
      <c r="AL112" s="199">
        <f t="shared" si="39"/>
        <v>0</v>
      </c>
      <c r="AM112" s="199"/>
      <c r="AN112" s="199">
        <f t="shared" si="49"/>
        <v>0</v>
      </c>
      <c r="AO112" s="4">
        <f t="shared" si="50"/>
        <v>0</v>
      </c>
      <c r="AP112" s="4">
        <f t="shared" si="51"/>
        <v>0</v>
      </c>
      <c r="AQ112" s="4"/>
      <c r="AR112" s="4"/>
      <c r="AS112" s="199"/>
      <c r="AT112" s="4"/>
      <c r="AU112" s="4">
        <f t="shared" si="52"/>
        <v>0</v>
      </c>
      <c r="AV112" s="4"/>
      <c r="AW112" s="199"/>
      <c r="AX112" s="199"/>
      <c r="AY112" s="4"/>
      <c r="AZ112" s="4">
        <f t="shared" si="53"/>
        <v>0</v>
      </c>
      <c r="BA112" s="4"/>
      <c r="BB112" s="4"/>
      <c r="BC112" s="4"/>
      <c r="BD112" s="4"/>
      <c r="BF112" s="192"/>
    </row>
    <row r="113" spans="1:58" ht="41.4">
      <c r="A113" s="198">
        <f t="shared" si="40"/>
        <v>104</v>
      </c>
      <c r="B113" s="487">
        <v>1963</v>
      </c>
      <c r="C113" s="188" t="s">
        <v>609</v>
      </c>
      <c r="D113" s="199">
        <v>2800000</v>
      </c>
      <c r="E113" s="199">
        <v>2800000</v>
      </c>
      <c r="F113" s="199">
        <f t="shared" si="37"/>
        <v>0</v>
      </c>
      <c r="G113" s="199">
        <v>309655</v>
      </c>
      <c r="H113" s="199">
        <v>0</v>
      </c>
      <c r="I113" s="199"/>
      <c r="J113" s="199"/>
      <c r="K113" s="199">
        <f t="shared" si="41"/>
        <v>0</v>
      </c>
      <c r="L113" s="199">
        <f t="shared" si="42"/>
        <v>0</v>
      </c>
      <c r="M113" s="199">
        <f>P113+S113-309655</f>
        <v>0</v>
      </c>
      <c r="N113" s="199"/>
      <c r="O113" s="199">
        <f t="shared" si="44"/>
        <v>2800000</v>
      </c>
      <c r="P113" s="199">
        <f t="shared" si="45"/>
        <v>309655</v>
      </c>
      <c r="Q113" s="337">
        <f>2490345-2490345</f>
        <v>0</v>
      </c>
      <c r="R113" s="199"/>
      <c r="S113" s="199">
        <f t="shared" si="46"/>
        <v>0</v>
      </c>
      <c r="T113" s="199">
        <f t="shared" si="47"/>
        <v>309655</v>
      </c>
      <c r="U113" s="199">
        <f t="shared" si="48"/>
        <v>-309655</v>
      </c>
      <c r="V113" s="199">
        <f t="shared" si="54"/>
        <v>0</v>
      </c>
      <c r="W113" s="199"/>
      <c r="X113" s="199"/>
      <c r="Y113" s="199">
        <f t="shared" si="38"/>
        <v>-309655</v>
      </c>
      <c r="Z113" s="198"/>
      <c r="AA113" s="340"/>
      <c r="AB113" s="198">
        <v>742000</v>
      </c>
      <c r="AC113" s="469"/>
      <c r="AD113" s="199"/>
      <c r="AE113" s="199"/>
      <c r="AF113" s="199"/>
      <c r="AG113" s="199"/>
      <c r="AH113" s="199"/>
      <c r="AI113" s="199">
        <v>-309655</v>
      </c>
      <c r="AJ113" s="199"/>
      <c r="AK113" s="199"/>
      <c r="AL113" s="199">
        <f t="shared" si="39"/>
        <v>-309655</v>
      </c>
      <c r="AM113" s="199"/>
      <c r="AN113" s="199">
        <f t="shared" si="49"/>
        <v>-309655</v>
      </c>
      <c r="AO113" s="4">
        <f t="shared" si="50"/>
        <v>0</v>
      </c>
      <c r="AP113" s="4">
        <f t="shared" si="51"/>
        <v>0</v>
      </c>
      <c r="AQ113" s="4"/>
      <c r="AR113" s="4"/>
      <c r="AS113" s="199">
        <v>-309655</v>
      </c>
      <c r="AT113" s="4"/>
      <c r="AU113" s="4">
        <f t="shared" si="52"/>
        <v>0</v>
      </c>
      <c r="AV113" s="4"/>
      <c r="AW113" s="199"/>
      <c r="AX113" s="199"/>
      <c r="AY113" s="4"/>
      <c r="AZ113" s="4">
        <f t="shared" si="53"/>
        <v>0</v>
      </c>
      <c r="BA113" s="4"/>
      <c r="BB113" s="4"/>
      <c r="BC113" s="4"/>
      <c r="BD113" s="4"/>
    </row>
    <row r="114" spans="1:58" ht="27.6">
      <c r="A114" s="198">
        <f t="shared" si="40"/>
        <v>105</v>
      </c>
      <c r="B114" s="198">
        <v>1965</v>
      </c>
      <c r="C114" s="198" t="s">
        <v>486</v>
      </c>
      <c r="D114" s="199">
        <v>35000000</v>
      </c>
      <c r="E114" s="199">
        <v>35000000</v>
      </c>
      <c r="F114" s="199">
        <f t="shared" si="37"/>
        <v>0</v>
      </c>
      <c r="G114" s="199">
        <v>100000</v>
      </c>
      <c r="H114" s="199">
        <v>0</v>
      </c>
      <c r="I114" s="199"/>
      <c r="J114" s="199"/>
      <c r="K114" s="199">
        <f t="shared" si="41"/>
        <v>0</v>
      </c>
      <c r="L114" s="199">
        <f t="shared" si="42"/>
        <v>0</v>
      </c>
      <c r="M114" s="199">
        <f t="shared" si="43"/>
        <v>100000</v>
      </c>
      <c r="N114" s="199"/>
      <c r="O114" s="199">
        <f t="shared" si="44"/>
        <v>34900000</v>
      </c>
      <c r="P114" s="199">
        <f t="shared" si="45"/>
        <v>100000</v>
      </c>
      <c r="Q114" s="199"/>
      <c r="R114" s="199"/>
      <c r="S114" s="199">
        <f t="shared" si="46"/>
        <v>0</v>
      </c>
      <c r="T114" s="199">
        <f t="shared" si="47"/>
        <v>0</v>
      </c>
      <c r="U114" s="199">
        <f t="shared" si="48"/>
        <v>0</v>
      </c>
      <c r="V114" s="199">
        <f t="shared" si="54"/>
        <v>0</v>
      </c>
      <c r="W114" s="199"/>
      <c r="X114" s="199"/>
      <c r="Y114" s="199">
        <f t="shared" si="38"/>
        <v>0</v>
      </c>
      <c r="Z114" s="198"/>
      <c r="AA114" s="467"/>
      <c r="AB114" s="198">
        <v>810000</v>
      </c>
      <c r="AC114" s="469"/>
      <c r="AD114" s="199"/>
      <c r="AE114" s="199"/>
      <c r="AF114" s="199"/>
      <c r="AG114" s="199"/>
      <c r="AH114" s="199"/>
      <c r="AI114" s="199"/>
      <c r="AJ114" s="199"/>
      <c r="AK114" s="199"/>
      <c r="AL114" s="199">
        <f t="shared" si="39"/>
        <v>0</v>
      </c>
      <c r="AM114" s="199"/>
      <c r="AN114" s="199">
        <f t="shared" si="49"/>
        <v>0</v>
      </c>
      <c r="AO114" s="4">
        <f t="shared" si="50"/>
        <v>0</v>
      </c>
      <c r="AP114" s="4">
        <f t="shared" si="51"/>
        <v>0</v>
      </c>
      <c r="AQ114" s="4"/>
      <c r="AR114" s="4"/>
      <c r="AS114" s="199"/>
      <c r="AT114" s="4"/>
      <c r="AU114" s="4">
        <f t="shared" si="52"/>
        <v>0</v>
      </c>
      <c r="AV114" s="4"/>
      <c r="AW114" s="199"/>
      <c r="AX114" s="199"/>
      <c r="AY114" s="4"/>
      <c r="AZ114" s="4">
        <f t="shared" si="53"/>
        <v>0</v>
      </c>
      <c r="BA114" s="4"/>
      <c r="BB114" s="4"/>
      <c r="BC114" s="4"/>
      <c r="BD114" s="4"/>
      <c r="BF114" s="192"/>
    </row>
    <row r="115" spans="1:58" s="346" customFormat="1" ht="19.95" customHeight="1">
      <c r="A115" s="204"/>
      <c r="B115" s="344"/>
      <c r="C115" s="204" t="s">
        <v>487</v>
      </c>
      <c r="D115" s="206">
        <f t="shared" ref="D115:BD115" si="55">SUM(D96:D114)</f>
        <v>994666000</v>
      </c>
      <c r="E115" s="206">
        <f t="shared" si="55"/>
        <v>671616000</v>
      </c>
      <c r="F115" s="206">
        <f t="shared" si="55"/>
        <v>323050000</v>
      </c>
      <c r="G115" s="206">
        <f t="shared" si="55"/>
        <v>218490235</v>
      </c>
      <c r="H115" s="206">
        <f t="shared" si="55"/>
        <v>125028434</v>
      </c>
      <c r="I115" s="206">
        <f t="shared" si="55"/>
        <v>1052805.8700000001</v>
      </c>
      <c r="J115" s="206">
        <f t="shared" si="55"/>
        <v>22854749.709999997</v>
      </c>
      <c r="K115" s="206">
        <f t="shared" si="55"/>
        <v>23907555.580000002</v>
      </c>
      <c r="L115" s="206">
        <f t="shared" si="55"/>
        <v>148935989.58000001</v>
      </c>
      <c r="M115" s="206">
        <f t="shared" si="55"/>
        <v>86640259.420000002</v>
      </c>
      <c r="N115" s="206">
        <f t="shared" si="55"/>
        <v>107219925</v>
      </c>
      <c r="O115" s="206">
        <f t="shared" si="55"/>
        <v>651869826</v>
      </c>
      <c r="P115" s="206">
        <f t="shared" si="55"/>
        <v>69554245.419999987</v>
      </c>
      <c r="Q115" s="206">
        <f t="shared" si="55"/>
        <v>19945669</v>
      </c>
      <c r="R115" s="206">
        <f t="shared" si="55"/>
        <v>0</v>
      </c>
      <c r="S115" s="206">
        <f t="shared" si="55"/>
        <v>19945669</v>
      </c>
      <c r="T115" s="206">
        <f t="shared" si="55"/>
        <v>2859655</v>
      </c>
      <c r="U115" s="206">
        <f t="shared" si="55"/>
        <v>104360270</v>
      </c>
      <c r="V115" s="206">
        <f t="shared" si="55"/>
        <v>0</v>
      </c>
      <c r="W115" s="206">
        <f>SUM(W96:W114)</f>
        <v>0</v>
      </c>
      <c r="X115" s="206">
        <f>SUM(X96:X114)</f>
        <v>0</v>
      </c>
      <c r="Y115" s="206">
        <f t="shared" si="55"/>
        <v>34722657</v>
      </c>
      <c r="Z115" s="206">
        <f t="shared" si="55"/>
        <v>69637613</v>
      </c>
      <c r="AA115" s="206">
        <f t="shared" si="55"/>
        <v>0</v>
      </c>
      <c r="AB115" s="206">
        <f t="shared" si="55"/>
        <v>14948000</v>
      </c>
      <c r="AC115" s="206">
        <f>SUM(AC96:AC114)</f>
        <v>0</v>
      </c>
      <c r="AD115" s="206">
        <f t="shared" ref="AD115:AJ115" si="56">SUM(AD96:AD114)</f>
        <v>5000000</v>
      </c>
      <c r="AE115" s="206">
        <f t="shared" si="56"/>
        <v>0</v>
      </c>
      <c r="AF115" s="206">
        <f t="shared" si="56"/>
        <v>2500000</v>
      </c>
      <c r="AG115" s="206">
        <f t="shared" si="56"/>
        <v>0</v>
      </c>
      <c r="AH115" s="206">
        <f t="shared" si="56"/>
        <v>2500000</v>
      </c>
      <c r="AI115" s="206">
        <f t="shared" si="56"/>
        <v>-2859655</v>
      </c>
      <c r="AJ115" s="206">
        <f t="shared" si="56"/>
        <v>6500000</v>
      </c>
      <c r="AK115" s="206">
        <f>SUM(AK96:AK114)</f>
        <v>37506251</v>
      </c>
      <c r="AL115" s="206">
        <f t="shared" si="55"/>
        <v>51146596</v>
      </c>
      <c r="AM115" s="206">
        <f t="shared" ref="AM115:AV115" si="57">SUM(AM96:AM114)</f>
        <v>0</v>
      </c>
      <c r="AN115" s="206">
        <f t="shared" si="57"/>
        <v>51146596</v>
      </c>
      <c r="AO115" s="206">
        <f t="shared" si="57"/>
        <v>53213674</v>
      </c>
      <c r="AP115" s="206">
        <f>SUM(AP96:AP114)</f>
        <v>0</v>
      </c>
      <c r="AQ115" s="206">
        <f>SUM(AQ96:AQ114)</f>
        <v>0</v>
      </c>
      <c r="AR115" s="206">
        <f>SUM(AR96:AR114)</f>
        <v>0</v>
      </c>
      <c r="AS115" s="206">
        <f>SUM(AS96:AS114)</f>
        <v>21640345</v>
      </c>
      <c r="AT115" s="206">
        <f t="shared" si="57"/>
        <v>29506251</v>
      </c>
      <c r="AU115" s="206">
        <f t="shared" si="57"/>
        <v>0</v>
      </c>
      <c r="AV115" s="206">
        <f t="shared" si="57"/>
        <v>0</v>
      </c>
      <c r="AW115" s="206">
        <f t="shared" si="55"/>
        <v>0</v>
      </c>
      <c r="AX115" s="206">
        <f t="shared" si="55"/>
        <v>0</v>
      </c>
      <c r="AY115" s="206">
        <f>SUM(AY96:AY114)</f>
        <v>0</v>
      </c>
      <c r="AZ115" s="206">
        <f>SUM(AZ96:AZ114)</f>
        <v>0</v>
      </c>
      <c r="BA115" s="206">
        <f>SUM(BA96:BA114)</f>
        <v>0</v>
      </c>
      <c r="BB115" s="206">
        <f>SUM(BB96:BB114)</f>
        <v>0</v>
      </c>
      <c r="BC115" s="206">
        <f t="shared" si="55"/>
        <v>13082312</v>
      </c>
      <c r="BD115" s="206">
        <f t="shared" si="55"/>
        <v>40131362</v>
      </c>
    </row>
    <row r="116" spans="1:58" s="346" customFormat="1" ht="19.95" customHeight="1">
      <c r="A116" s="204"/>
      <c r="B116" s="344"/>
      <c r="C116" s="204"/>
      <c r="D116" s="206"/>
      <c r="E116" s="206"/>
      <c r="F116" s="206"/>
      <c r="G116" s="206"/>
      <c r="H116" s="20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471"/>
      <c r="AB116" s="204"/>
      <c r="AC116" s="469"/>
      <c r="AD116" s="469"/>
      <c r="AE116" s="469"/>
      <c r="AF116" s="469"/>
      <c r="AG116" s="469"/>
      <c r="AH116" s="469"/>
      <c r="AI116" s="469"/>
      <c r="AJ116" s="469"/>
      <c r="AK116" s="469"/>
      <c r="AL116" s="469"/>
      <c r="AM116" s="198"/>
      <c r="AN116" s="488"/>
      <c r="AO116" s="488"/>
      <c r="AP116" s="488"/>
      <c r="AQ116" s="485"/>
      <c r="AR116" s="485"/>
      <c r="AS116" s="198"/>
      <c r="AT116" s="488"/>
      <c r="AU116" s="485"/>
      <c r="AV116" s="485"/>
      <c r="AW116" s="198"/>
      <c r="AX116" s="488"/>
      <c r="AY116" s="488"/>
      <c r="AZ116" s="488"/>
      <c r="BA116" s="485"/>
      <c r="BB116" s="485"/>
      <c r="BC116" s="488"/>
      <c r="BD116" s="488"/>
    </row>
    <row r="117" spans="1:58" s="346" customFormat="1" ht="19.95" customHeight="1">
      <c r="A117" s="206">
        <f>A114</f>
        <v>105</v>
      </c>
      <c r="B117" s="344"/>
      <c r="C117" s="212" t="s">
        <v>102</v>
      </c>
      <c r="D117" s="206">
        <f t="shared" ref="D117:BD117" si="58">D115+D93</f>
        <v>2499972125</v>
      </c>
      <c r="E117" s="206">
        <f t="shared" si="58"/>
        <v>2075031725</v>
      </c>
      <c r="F117" s="206">
        <f t="shared" si="58"/>
        <v>424940400</v>
      </c>
      <c r="G117" s="206">
        <f t="shared" si="58"/>
        <v>959889223</v>
      </c>
      <c r="H117" s="206">
        <f t="shared" si="58"/>
        <v>726844010.36000013</v>
      </c>
      <c r="I117" s="206">
        <f t="shared" si="58"/>
        <v>2023721.4800000002</v>
      </c>
      <c r="J117" s="206">
        <f t="shared" si="58"/>
        <v>103699919.32999998</v>
      </c>
      <c r="K117" s="206">
        <f t="shared" si="58"/>
        <v>105723640.80999999</v>
      </c>
      <c r="L117" s="206">
        <f t="shared" si="58"/>
        <v>832567651.1700002</v>
      </c>
      <c r="M117" s="206">
        <f t="shared" si="58"/>
        <v>260752517.82999992</v>
      </c>
      <c r="N117" s="206">
        <f t="shared" si="58"/>
        <v>320047335</v>
      </c>
      <c r="O117" s="206">
        <f t="shared" si="58"/>
        <v>1086604621</v>
      </c>
      <c r="P117" s="206">
        <f t="shared" si="58"/>
        <v>127321571.83</v>
      </c>
      <c r="Q117" s="206">
        <f t="shared" si="58"/>
        <v>137425601</v>
      </c>
      <c r="R117" s="206">
        <f t="shared" si="58"/>
        <v>6800000</v>
      </c>
      <c r="S117" s="206">
        <f t="shared" si="58"/>
        <v>144225601</v>
      </c>
      <c r="T117" s="206">
        <f t="shared" si="58"/>
        <v>10794655</v>
      </c>
      <c r="U117" s="206">
        <f t="shared" si="58"/>
        <v>309252680</v>
      </c>
      <c r="V117" s="206">
        <f t="shared" si="58"/>
        <v>193844870</v>
      </c>
      <c r="W117" s="206">
        <f t="shared" si="58"/>
        <v>2500000</v>
      </c>
      <c r="X117" s="206">
        <f t="shared" si="58"/>
        <v>0</v>
      </c>
      <c r="Y117" s="206">
        <f t="shared" si="58"/>
        <v>34722657</v>
      </c>
      <c r="Z117" s="206">
        <f t="shared" si="58"/>
        <v>78185153</v>
      </c>
      <c r="AA117" s="206">
        <f t="shared" si="58"/>
        <v>0</v>
      </c>
      <c r="AB117" s="206">
        <f t="shared" si="58"/>
        <v>82568000</v>
      </c>
      <c r="AC117" s="206">
        <f>AC115+AC93</f>
        <v>0</v>
      </c>
      <c r="AD117" s="206">
        <f t="shared" ref="AD117:AJ117" si="59">AD115+AD93</f>
        <v>6100000</v>
      </c>
      <c r="AE117" s="206">
        <f t="shared" si="59"/>
        <v>-306330</v>
      </c>
      <c r="AF117" s="206">
        <f t="shared" si="59"/>
        <v>2600000</v>
      </c>
      <c r="AG117" s="206">
        <f t="shared" si="59"/>
        <v>3800200</v>
      </c>
      <c r="AH117" s="206">
        <f t="shared" si="59"/>
        <v>5450000</v>
      </c>
      <c r="AI117" s="206">
        <f t="shared" si="59"/>
        <v>4240345</v>
      </c>
      <c r="AJ117" s="206">
        <f t="shared" si="59"/>
        <v>11920000</v>
      </c>
      <c r="AK117" s="206">
        <f>AK115+AK93</f>
        <v>191597251</v>
      </c>
      <c r="AL117" s="206">
        <f t="shared" si="58"/>
        <v>225401466</v>
      </c>
      <c r="AM117" s="206">
        <f t="shared" ref="AM117:AV117" si="60">AM115+AM93</f>
        <v>0</v>
      </c>
      <c r="AN117" s="206">
        <f t="shared" si="60"/>
        <v>225401466</v>
      </c>
      <c r="AO117" s="206">
        <f t="shared" si="60"/>
        <v>83851214</v>
      </c>
      <c r="AP117" s="206">
        <f>AP115+AP93</f>
        <v>169379870</v>
      </c>
      <c r="AQ117" s="206">
        <f>AQ115+AQ93</f>
        <v>1000000</v>
      </c>
      <c r="AR117" s="206">
        <f>AR115+AR93</f>
        <v>0</v>
      </c>
      <c r="AS117" s="206">
        <f>AS115+AS93</f>
        <v>21640345</v>
      </c>
      <c r="AT117" s="206">
        <f t="shared" si="60"/>
        <v>33381251</v>
      </c>
      <c r="AU117" s="206">
        <f t="shared" si="60"/>
        <v>0</v>
      </c>
      <c r="AV117" s="206">
        <f t="shared" si="60"/>
        <v>0</v>
      </c>
      <c r="AW117" s="206">
        <f t="shared" si="58"/>
        <v>0</v>
      </c>
      <c r="AX117" s="206">
        <f t="shared" si="58"/>
        <v>0</v>
      </c>
      <c r="AY117" s="206">
        <f>AY115+AY93</f>
        <v>0</v>
      </c>
      <c r="AZ117" s="206">
        <f>AZ115+AZ93</f>
        <v>23640000</v>
      </c>
      <c r="BA117" s="206">
        <f>BA115+BA93</f>
        <v>1500000</v>
      </c>
      <c r="BB117" s="206">
        <f>BB115+BB93</f>
        <v>0</v>
      </c>
      <c r="BC117" s="206">
        <f t="shared" si="58"/>
        <v>13082312</v>
      </c>
      <c r="BD117" s="206">
        <f t="shared" si="58"/>
        <v>45628902</v>
      </c>
    </row>
    <row r="118" spans="1:58" hidden="1">
      <c r="B118" s="202"/>
      <c r="D118" s="213"/>
      <c r="E118" s="213"/>
      <c r="F118" s="213"/>
      <c r="G118" s="213"/>
      <c r="H118" s="213"/>
      <c r="I118" s="213"/>
      <c r="J118" s="213"/>
      <c r="K118" s="213"/>
      <c r="L118" s="22">
        <f>H117+K117</f>
        <v>832567651.17000008</v>
      </c>
      <c r="M118" s="22">
        <f>P117+S117-T117</f>
        <v>260752517.82999998</v>
      </c>
      <c r="N118" s="213"/>
      <c r="O118" s="213"/>
      <c r="P118" s="22">
        <f>G117-L117</f>
        <v>127321571.8299998</v>
      </c>
      <c r="Q118" s="213"/>
      <c r="R118" s="213"/>
      <c r="S118" s="213"/>
      <c r="U118" s="22">
        <f>N117-T117</f>
        <v>309252680</v>
      </c>
      <c r="V118" s="216"/>
      <c r="W118" s="216"/>
      <c r="X118" s="216"/>
      <c r="AA118" s="472"/>
      <c r="AB118" s="210"/>
      <c r="AM118" s="202"/>
      <c r="AS118" s="202"/>
      <c r="AW118" s="202"/>
    </row>
    <row r="119" spans="1:58">
      <c r="B119" s="202"/>
      <c r="C119" s="401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Q119" s="213"/>
      <c r="R119" s="213"/>
      <c r="S119" s="213"/>
      <c r="U119" s="210"/>
      <c r="V119" s="210"/>
      <c r="W119" s="210"/>
      <c r="X119" s="210"/>
      <c r="Y119" s="210"/>
      <c r="AB119" s="210"/>
      <c r="AM119" s="202"/>
      <c r="AS119" s="202"/>
      <c r="AW119" s="202"/>
    </row>
    <row r="120" spans="1:58">
      <c r="C120" s="401"/>
      <c r="D120" s="349"/>
      <c r="E120" s="349"/>
      <c r="F120" s="349"/>
      <c r="G120" s="349"/>
      <c r="H120" s="349"/>
      <c r="I120" s="349"/>
      <c r="J120" s="349"/>
      <c r="K120" s="349"/>
      <c r="L120" s="349"/>
      <c r="M120" s="349"/>
      <c r="N120" s="348"/>
      <c r="O120" s="348"/>
      <c r="P120" s="349"/>
      <c r="Q120" s="349"/>
      <c r="R120" s="349"/>
      <c r="S120" s="349"/>
      <c r="W120" s="192"/>
      <c r="X120" s="192"/>
      <c r="AF120" s="469" t="s">
        <v>961</v>
      </c>
      <c r="AJ120" s="335" t="s">
        <v>961</v>
      </c>
      <c r="AK120" s="206" t="e">
        <f>'תקציב החברה לפיתוח 2020'!#REF!</f>
        <v>#REF!</v>
      </c>
      <c r="AM120" s="202"/>
      <c r="AS120" s="202"/>
      <c r="AW120" s="202"/>
    </row>
    <row r="121" spans="1:58">
      <c r="C121" s="401"/>
      <c r="D121" s="349"/>
      <c r="E121" s="349"/>
      <c r="F121" s="349"/>
      <c r="G121" s="349"/>
      <c r="H121" s="349"/>
      <c r="I121" s="349"/>
      <c r="J121" s="349"/>
      <c r="K121" s="349"/>
      <c r="L121" s="349"/>
      <c r="M121" s="349"/>
      <c r="N121" s="348"/>
      <c r="O121" s="348"/>
      <c r="P121" s="349"/>
      <c r="Q121" s="349"/>
      <c r="R121" s="349"/>
      <c r="S121" s="349"/>
      <c r="U121" s="192"/>
      <c r="AF121" s="469" t="s">
        <v>962</v>
      </c>
      <c r="AK121" s="206" t="e">
        <f>AK120-AK117</f>
        <v>#REF!</v>
      </c>
      <c r="AM121" s="202"/>
      <c r="AS121" s="202"/>
      <c r="AW121" s="202"/>
    </row>
    <row r="122" spans="1:58">
      <c r="C122" s="401"/>
      <c r="D122" s="349"/>
      <c r="E122" s="349"/>
      <c r="F122" s="349"/>
      <c r="G122" s="349"/>
      <c r="H122" s="349"/>
      <c r="I122" s="349"/>
      <c r="J122" s="349"/>
      <c r="K122" s="349"/>
      <c r="L122" s="349"/>
      <c r="M122" s="349"/>
      <c r="N122" s="348"/>
      <c r="O122" s="348"/>
      <c r="P122" s="349"/>
      <c r="Q122" s="349"/>
      <c r="R122" s="349"/>
      <c r="S122" s="349"/>
      <c r="U122" s="192"/>
      <c r="AF122" s="469"/>
      <c r="AK122" s="206"/>
      <c r="AM122" s="202"/>
      <c r="AS122" s="202"/>
      <c r="AW122" s="202"/>
    </row>
    <row r="123" spans="1:58">
      <c r="C123" s="401"/>
      <c r="D123" s="349"/>
      <c r="E123" s="349"/>
      <c r="F123" s="349"/>
      <c r="G123" s="349"/>
      <c r="H123" s="349"/>
      <c r="I123" s="349"/>
      <c r="J123" s="349"/>
      <c r="K123" s="349"/>
      <c r="L123" s="349"/>
      <c r="M123" s="349"/>
      <c r="N123" s="348"/>
      <c r="O123" s="348"/>
      <c r="P123" s="349"/>
      <c r="Q123" s="349"/>
      <c r="R123" s="349"/>
      <c r="S123" s="349"/>
      <c r="AF123" s="469" t="s">
        <v>963</v>
      </c>
      <c r="AJ123" s="335" t="s">
        <v>1226</v>
      </c>
      <c r="AK123" s="206">
        <v>-1200000</v>
      </c>
      <c r="AM123" s="202"/>
      <c r="AS123" s="202"/>
      <c r="AW123" s="202"/>
    </row>
    <row r="124" spans="1:58">
      <c r="C124" s="401"/>
      <c r="D124" s="349"/>
      <c r="E124" s="349"/>
      <c r="F124" s="349"/>
      <c r="G124" s="349"/>
      <c r="H124" s="349"/>
      <c r="I124" s="349"/>
      <c r="J124" s="349"/>
      <c r="K124" s="349"/>
      <c r="L124" s="349"/>
      <c r="M124" s="349"/>
      <c r="N124" s="349"/>
      <c r="O124" s="349"/>
      <c r="P124" s="349"/>
      <c r="Q124" s="349"/>
      <c r="R124" s="349"/>
      <c r="S124" s="349"/>
      <c r="AF124" s="469" t="s">
        <v>964</v>
      </c>
      <c r="AJ124" s="335" t="s">
        <v>1225</v>
      </c>
      <c r="AK124" s="206">
        <v>14500000</v>
      </c>
      <c r="AM124" s="202"/>
      <c r="AS124" s="202"/>
      <c r="AW124" s="202"/>
    </row>
    <row r="125" spans="1:58">
      <c r="C125" s="401"/>
      <c r="D125" s="349"/>
      <c r="E125" s="349"/>
      <c r="F125" s="349"/>
      <c r="G125" s="349"/>
      <c r="H125" s="349"/>
      <c r="I125" s="349"/>
      <c r="J125" s="349"/>
      <c r="K125" s="349"/>
      <c r="L125" s="349"/>
      <c r="M125" s="349"/>
      <c r="N125" s="349"/>
      <c r="O125" s="349"/>
      <c r="P125" s="349"/>
      <c r="Q125" s="349"/>
      <c r="R125" s="349"/>
      <c r="S125" s="349"/>
      <c r="AF125" s="469" t="s">
        <v>965</v>
      </c>
      <c r="AJ125" s="335" t="s">
        <v>965</v>
      </c>
      <c r="AK125" s="206">
        <v>1500000</v>
      </c>
      <c r="AM125" s="202"/>
      <c r="AS125" s="202"/>
      <c r="AW125" s="202"/>
    </row>
    <row r="126" spans="1:58">
      <c r="C126" s="401"/>
      <c r="D126" s="349"/>
      <c r="E126" s="349"/>
      <c r="F126" s="349"/>
      <c r="G126" s="349"/>
      <c r="H126" s="349"/>
      <c r="I126" s="349"/>
      <c r="J126" s="349"/>
      <c r="K126" s="349"/>
      <c r="L126" s="349"/>
      <c r="M126" s="349"/>
      <c r="N126" s="349"/>
      <c r="O126" s="349"/>
      <c r="P126" s="349"/>
      <c r="Q126" s="349"/>
      <c r="R126" s="349"/>
      <c r="S126" s="349"/>
      <c r="AF126" s="469" t="s">
        <v>120</v>
      </c>
      <c r="AK126" s="206">
        <f>SUM(AK123:AK125)</f>
        <v>14800000</v>
      </c>
      <c r="AM126" s="202"/>
      <c r="AS126" s="202"/>
      <c r="AW126" s="202"/>
    </row>
    <row r="127" spans="1:58">
      <c r="C127" s="401"/>
      <c r="D127" s="349"/>
      <c r="E127" s="349"/>
      <c r="F127" s="349"/>
      <c r="G127" s="349"/>
      <c r="H127" s="349"/>
      <c r="I127" s="349"/>
      <c r="J127" s="349"/>
      <c r="K127" s="349"/>
      <c r="L127" s="349"/>
      <c r="M127" s="349"/>
      <c r="N127" s="349"/>
      <c r="O127" s="349"/>
      <c r="P127" s="349"/>
      <c r="Q127" s="349"/>
      <c r="R127" s="349"/>
      <c r="S127" s="349"/>
    </row>
    <row r="128" spans="1:58">
      <c r="C128" s="401"/>
      <c r="D128" s="349"/>
      <c r="E128" s="349"/>
      <c r="F128" s="349"/>
      <c r="G128" s="349"/>
      <c r="H128" s="349"/>
      <c r="I128" s="349"/>
      <c r="J128" s="349"/>
      <c r="K128" s="349"/>
      <c r="L128" s="349"/>
      <c r="M128" s="349"/>
      <c r="N128" s="349"/>
      <c r="O128" s="349"/>
      <c r="P128" s="349"/>
      <c r="Q128" s="349"/>
      <c r="R128" s="349"/>
      <c r="S128" s="349"/>
      <c r="AN128" s="192"/>
      <c r="AX128" s="192"/>
    </row>
    <row r="129" spans="3:20">
      <c r="C129" s="401"/>
      <c r="D129" s="349"/>
      <c r="E129" s="349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9"/>
      <c r="S129" s="349"/>
    </row>
    <row r="130" spans="3:20">
      <c r="C130" s="401"/>
      <c r="D130" s="349"/>
      <c r="E130" s="349"/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9"/>
      <c r="S130" s="349"/>
    </row>
    <row r="131" spans="3:20">
      <c r="C131" s="401"/>
      <c r="D131" s="349"/>
      <c r="E131" s="349"/>
      <c r="F131" s="349"/>
      <c r="G131" s="349"/>
      <c r="H131" s="349"/>
      <c r="I131" s="349"/>
      <c r="J131" s="349"/>
      <c r="K131" s="349"/>
      <c r="L131" s="349"/>
      <c r="M131" s="349"/>
      <c r="N131" s="349"/>
      <c r="O131" s="349"/>
      <c r="P131" s="349"/>
      <c r="Q131" s="350"/>
      <c r="R131" s="349"/>
      <c r="S131" s="349"/>
    </row>
    <row r="132" spans="3:20">
      <c r="C132" s="401"/>
      <c r="D132" s="349"/>
      <c r="E132" s="349"/>
      <c r="F132" s="349"/>
      <c r="G132" s="349"/>
      <c r="H132" s="349"/>
      <c r="I132" s="349"/>
      <c r="J132" s="349"/>
      <c r="K132" s="349"/>
      <c r="L132" s="349"/>
      <c r="M132" s="349"/>
      <c r="N132" s="348"/>
      <c r="O132" s="348"/>
      <c r="P132" s="349"/>
      <c r="Q132" s="349"/>
      <c r="R132" s="349"/>
      <c r="S132" s="349"/>
    </row>
    <row r="133" spans="3:20">
      <c r="C133" s="401"/>
      <c r="D133" s="349"/>
      <c r="E133" s="349"/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48"/>
      <c r="Q133" s="348"/>
      <c r="R133" s="349"/>
      <c r="S133" s="349"/>
    </row>
    <row r="134" spans="3:20">
      <c r="F134" s="349"/>
      <c r="G134" s="349"/>
      <c r="H134" s="349"/>
      <c r="I134" s="349"/>
      <c r="J134" s="349"/>
      <c r="K134" s="349"/>
      <c r="L134" s="349"/>
      <c r="M134" s="349"/>
      <c r="N134" s="349"/>
      <c r="O134" s="349"/>
      <c r="P134" s="348"/>
      <c r="Q134" s="348"/>
      <c r="R134" s="349"/>
      <c r="S134" s="349"/>
      <c r="T134" s="349"/>
    </row>
    <row r="135" spans="3:20">
      <c r="F135" s="349"/>
      <c r="G135" s="349"/>
      <c r="H135" s="349"/>
      <c r="I135" s="349"/>
      <c r="J135" s="349"/>
      <c r="K135" s="349"/>
      <c r="L135" s="349"/>
      <c r="M135" s="349"/>
      <c r="N135" s="349"/>
      <c r="O135" s="349"/>
      <c r="P135" s="349"/>
      <c r="Q135" s="349"/>
      <c r="R135" s="348"/>
      <c r="S135" s="349"/>
      <c r="T135" s="349"/>
    </row>
    <row r="136" spans="3:20">
      <c r="F136" s="349"/>
      <c r="G136" s="349"/>
      <c r="H136" s="349"/>
      <c r="I136" s="349"/>
      <c r="J136" s="349"/>
      <c r="K136" s="349"/>
      <c r="L136" s="349"/>
      <c r="M136" s="349"/>
      <c r="N136" s="349"/>
      <c r="O136" s="349"/>
      <c r="P136" s="349"/>
      <c r="Q136" s="349"/>
      <c r="R136" s="348"/>
      <c r="S136" s="349"/>
      <c r="T136" s="349"/>
    </row>
    <row r="137" spans="3:20">
      <c r="F137" s="349"/>
      <c r="G137" s="349"/>
      <c r="H137" s="349"/>
      <c r="I137" s="349"/>
      <c r="J137" s="349"/>
      <c r="K137" s="349"/>
      <c r="L137" s="349"/>
      <c r="M137" s="349"/>
      <c r="N137" s="349"/>
      <c r="O137" s="349"/>
      <c r="P137" s="349"/>
      <c r="Q137" s="349"/>
      <c r="R137" s="348"/>
      <c r="S137" s="349"/>
      <c r="T137" s="349"/>
    </row>
    <row r="138" spans="3:20">
      <c r="F138" s="349"/>
      <c r="G138" s="349"/>
      <c r="H138" s="349"/>
      <c r="I138" s="349"/>
      <c r="J138" s="349"/>
      <c r="K138" s="349"/>
      <c r="L138" s="349"/>
      <c r="M138" s="349"/>
      <c r="N138" s="349"/>
      <c r="O138" s="349"/>
      <c r="P138" s="349"/>
      <c r="Q138" s="349"/>
      <c r="R138" s="348"/>
      <c r="S138" s="349"/>
      <c r="T138" s="349"/>
    </row>
    <row r="139" spans="3:20">
      <c r="F139" s="349"/>
      <c r="G139" s="349"/>
      <c r="H139" s="349"/>
      <c r="I139" s="349"/>
      <c r="J139" s="349"/>
      <c r="K139" s="349"/>
      <c r="L139" s="349"/>
      <c r="M139" s="349"/>
      <c r="N139" s="349"/>
      <c r="O139" s="349"/>
      <c r="P139" s="349"/>
      <c r="Q139" s="349"/>
      <c r="R139" s="349"/>
      <c r="S139" s="349"/>
      <c r="T139" s="349"/>
    </row>
    <row r="140" spans="3:20">
      <c r="F140" s="349"/>
      <c r="G140" s="349"/>
      <c r="H140" s="349"/>
      <c r="I140" s="349"/>
      <c r="J140" s="349"/>
      <c r="K140" s="349"/>
      <c r="L140" s="349"/>
      <c r="M140" s="349"/>
      <c r="N140" s="349"/>
      <c r="O140" s="349"/>
      <c r="P140" s="349"/>
      <c r="Q140" s="349"/>
      <c r="R140" s="350"/>
      <c r="S140" s="349"/>
      <c r="T140" s="349"/>
    </row>
    <row r="141" spans="3:20">
      <c r="F141" s="349"/>
      <c r="G141" s="349"/>
      <c r="H141" s="349"/>
      <c r="I141" s="349"/>
      <c r="J141" s="349"/>
      <c r="K141" s="349"/>
      <c r="L141" s="349"/>
      <c r="M141" s="349"/>
      <c r="N141" s="349"/>
      <c r="O141" s="349"/>
      <c r="P141" s="349"/>
      <c r="Q141" s="349"/>
      <c r="R141" s="349"/>
      <c r="S141" s="349"/>
      <c r="T141" s="349"/>
    </row>
    <row r="142" spans="3:20">
      <c r="F142" s="349"/>
      <c r="G142" s="349"/>
      <c r="H142" s="349"/>
      <c r="I142" s="349"/>
      <c r="J142" s="349"/>
      <c r="K142" s="349"/>
      <c r="L142" s="349"/>
      <c r="M142" s="349"/>
      <c r="N142" s="349"/>
      <c r="O142" s="349"/>
      <c r="P142" s="349"/>
      <c r="Q142" s="349"/>
      <c r="R142" s="349"/>
      <c r="S142" s="349"/>
      <c r="T142" s="349"/>
    </row>
    <row r="143" spans="3:20">
      <c r="F143" s="349"/>
      <c r="G143" s="349"/>
      <c r="H143" s="349"/>
      <c r="I143" s="349"/>
      <c r="J143" s="349"/>
      <c r="K143" s="349"/>
      <c r="L143" s="349"/>
      <c r="M143" s="349"/>
      <c r="N143" s="349"/>
      <c r="O143" s="349"/>
      <c r="P143" s="349"/>
      <c r="Q143" s="349"/>
      <c r="R143" s="349"/>
      <c r="S143" s="349"/>
      <c r="T143" s="349"/>
    </row>
    <row r="144" spans="3:20">
      <c r="F144" s="349"/>
      <c r="G144" s="349"/>
      <c r="H144" s="349"/>
      <c r="I144" s="349"/>
      <c r="J144" s="349"/>
      <c r="K144" s="349"/>
      <c r="L144" s="349"/>
      <c r="M144" s="349"/>
      <c r="N144" s="349"/>
      <c r="O144" s="349"/>
      <c r="P144" s="349"/>
      <c r="Q144" s="205"/>
      <c r="R144" s="349"/>
      <c r="S144" s="349"/>
      <c r="T144" s="349"/>
    </row>
    <row r="145" spans="6:20">
      <c r="F145" s="349"/>
      <c r="G145" s="349"/>
      <c r="H145" s="349"/>
      <c r="I145" s="349"/>
      <c r="J145" s="349"/>
      <c r="K145" s="349"/>
      <c r="L145" s="349"/>
      <c r="M145" s="349"/>
      <c r="N145" s="349"/>
      <c r="O145" s="349"/>
      <c r="P145" s="349"/>
      <c r="Q145" s="349"/>
      <c r="R145" s="349"/>
      <c r="S145" s="349"/>
      <c r="T145" s="349"/>
    </row>
    <row r="146" spans="6:20">
      <c r="F146" s="349"/>
      <c r="G146" s="349"/>
      <c r="H146" s="349"/>
      <c r="I146" s="349"/>
      <c r="J146" s="349"/>
      <c r="K146" s="349"/>
      <c r="L146" s="349"/>
      <c r="M146" s="349"/>
      <c r="N146" s="349"/>
      <c r="O146" s="349"/>
      <c r="P146" s="349"/>
      <c r="Q146" s="349"/>
      <c r="R146" s="349"/>
      <c r="S146" s="349"/>
      <c r="T146" s="349"/>
    </row>
    <row r="147" spans="6:20">
      <c r="F147" s="349"/>
      <c r="G147" s="349"/>
      <c r="H147" s="349"/>
      <c r="I147" s="349"/>
      <c r="J147" s="349"/>
      <c r="K147" s="349"/>
      <c r="L147" s="349"/>
      <c r="M147" s="349"/>
      <c r="N147" s="349"/>
      <c r="O147" s="349"/>
      <c r="P147" s="349"/>
      <c r="Q147" s="349"/>
      <c r="R147" s="349"/>
      <c r="S147" s="349"/>
      <c r="T147" s="349"/>
    </row>
    <row r="148" spans="6:20">
      <c r="F148" s="349"/>
      <c r="G148" s="349"/>
      <c r="H148" s="349"/>
      <c r="I148" s="349"/>
      <c r="J148" s="349"/>
      <c r="K148" s="349"/>
      <c r="L148" s="349"/>
      <c r="M148" s="349"/>
      <c r="N148" s="349"/>
      <c r="O148" s="349"/>
      <c r="P148" s="349"/>
      <c r="Q148" s="349"/>
      <c r="R148" s="205"/>
      <c r="S148" s="349"/>
      <c r="T148" s="349"/>
    </row>
    <row r="149" spans="6:20">
      <c r="F149" s="349"/>
      <c r="G149" s="349"/>
      <c r="H149" s="349"/>
      <c r="I149" s="349"/>
      <c r="J149" s="349"/>
      <c r="K149" s="349"/>
      <c r="L149" s="349"/>
      <c r="M149" s="349"/>
      <c r="N149" s="349"/>
      <c r="O149" s="349"/>
      <c r="P149" s="349"/>
      <c r="Q149" s="349"/>
      <c r="R149" s="349"/>
      <c r="S149" s="349"/>
      <c r="T149" s="349"/>
    </row>
    <row r="150" spans="6:20">
      <c r="F150" s="349"/>
      <c r="G150" s="349"/>
      <c r="H150" s="349"/>
      <c r="I150" s="349"/>
      <c r="J150" s="349"/>
      <c r="K150" s="349"/>
      <c r="L150" s="349"/>
      <c r="M150" s="349"/>
      <c r="N150" s="349"/>
      <c r="O150" s="349"/>
      <c r="P150" s="349"/>
      <c r="Q150" s="349"/>
      <c r="R150" s="349"/>
      <c r="S150" s="349"/>
      <c r="T150" s="349"/>
    </row>
    <row r="151" spans="6:20">
      <c r="F151" s="349"/>
      <c r="G151" s="349"/>
      <c r="H151" s="349"/>
      <c r="I151" s="349"/>
      <c r="J151" s="349"/>
      <c r="K151" s="349"/>
      <c r="L151" s="349"/>
      <c r="M151" s="349"/>
      <c r="N151" s="349"/>
      <c r="O151" s="349"/>
      <c r="P151" s="349"/>
      <c r="Q151" s="349"/>
      <c r="R151" s="349"/>
      <c r="S151" s="349"/>
      <c r="T151" s="349"/>
    </row>
    <row r="152" spans="6:20">
      <c r="F152" s="349"/>
      <c r="G152" s="349"/>
      <c r="H152" s="349"/>
      <c r="I152" s="349"/>
      <c r="J152" s="349"/>
      <c r="K152" s="349"/>
      <c r="L152" s="349"/>
      <c r="M152" s="349"/>
      <c r="N152" s="349"/>
      <c r="O152" s="349"/>
      <c r="P152" s="349"/>
      <c r="Q152" s="349"/>
      <c r="R152" s="349"/>
      <c r="S152" s="349"/>
      <c r="T152" s="349"/>
    </row>
  </sheetData>
  <sheetProtection formatCells="0" formatColumns="0" formatRows="0" insertColumns="0" insertRows="0" insertHyperlinks="0" deleteColumns="0" deleteRows="0" sort="0" autoFilter="0" pivotTables="0"/>
  <mergeCells count="6">
    <mergeCell ref="AL4:AN4"/>
    <mergeCell ref="AP4:AT4"/>
    <mergeCell ref="AU4:AY4"/>
    <mergeCell ref="AZ4:BD4"/>
    <mergeCell ref="A4:C4"/>
    <mergeCell ref="T4:Z4"/>
  </mergeCells>
  <conditionalFormatting sqref="AA5">
    <cfRule type="cellIs" dxfId="22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98"/>
  <sheetViews>
    <sheetView showZeros="0" rightToLeft="1" tabSelected="1" zoomScaleNormal="100" workbookViewId="0">
      <pane xSplit="5" ySplit="6" topLeftCell="F49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5.33203125" style="37" customWidth="1"/>
    <col min="2" max="2" width="6.6640625" style="14" customWidth="1"/>
    <col min="3" max="3" width="29.44140625" style="14" customWidth="1"/>
    <col min="4" max="4" width="11.33203125" style="16" hidden="1" customWidth="1"/>
    <col min="5" max="5" width="11" style="16" hidden="1" customWidth="1"/>
    <col min="6" max="6" width="11.33203125" style="16" hidden="1" customWidth="1"/>
    <col min="7" max="10" width="12.6640625" style="16" hidden="1" customWidth="1"/>
    <col min="11" max="11" width="11.33203125" style="16" hidden="1" customWidth="1"/>
    <col min="12" max="12" width="10.88671875" style="16" hidden="1" customWidth="1"/>
    <col min="13" max="13" width="10.109375" style="16" hidden="1" customWidth="1"/>
    <col min="14" max="14" width="10.33203125" style="16" hidden="1" customWidth="1"/>
    <col min="15" max="17" width="11.109375" style="16" hidden="1" customWidth="1"/>
    <col min="18" max="19" width="12" style="16" hidden="1" customWidth="1"/>
    <col min="20" max="20" width="7.33203125" style="16" customWidth="1"/>
    <col min="21" max="21" width="9" style="14" customWidth="1"/>
    <col min="22" max="22" width="9.109375" style="14" customWidth="1"/>
    <col min="23" max="23" width="9.5546875" style="14" customWidth="1"/>
    <col min="24" max="24" width="4.6640625" style="14" hidden="1" customWidth="1"/>
    <col min="25" max="25" width="4.6640625" style="14" customWidth="1"/>
    <col min="26" max="26" width="9.109375" style="14" customWidth="1"/>
    <col min="27" max="27" width="24.88671875" style="37" hidden="1" customWidth="1"/>
    <col min="28" max="28" width="7.88671875" style="14" hidden="1" customWidth="1"/>
    <col min="29" max="29" width="10.6640625" style="210" hidden="1" customWidth="1"/>
    <col min="30" max="36" width="10.6640625" style="191" hidden="1" customWidth="1"/>
    <col min="37" max="38" width="9.109375" style="191" hidden="1" customWidth="1"/>
    <col min="39" max="39" width="10.6640625" style="191" hidden="1" customWidth="1"/>
    <col min="40" max="40" width="10.6640625" style="31" customWidth="1"/>
    <col min="41" max="41" width="9.109375" style="351" customWidth="1"/>
    <col min="42" max="42" width="10.21875" style="351" customWidth="1"/>
    <col min="43" max="43" width="10.6640625" style="352" customWidth="1"/>
    <col min="44" max="44" width="10.6640625" style="365" hidden="1" customWidth="1"/>
    <col min="45" max="45" width="10.6640625" style="31" customWidth="1"/>
    <col min="46" max="46" width="12.44140625" style="351" customWidth="1"/>
    <col min="47" max="47" width="10.6640625" style="351" hidden="1" customWidth="1"/>
    <col min="48" max="48" width="10.6640625" style="352" hidden="1" customWidth="1"/>
    <col min="49" max="49" width="10.6640625" style="365" hidden="1" customWidth="1"/>
    <col min="50" max="50" width="10.6640625" style="31" hidden="1" customWidth="1"/>
    <col min="51" max="51" width="10.6640625" style="351" hidden="1" customWidth="1"/>
    <col min="52" max="52" width="7.5546875" style="351" hidden="1" customWidth="1"/>
    <col min="53" max="53" width="8.44140625" style="352" hidden="1" customWidth="1"/>
    <col min="54" max="54" width="10.6640625" style="351" hidden="1" customWidth="1"/>
    <col min="55" max="55" width="10.6640625" style="352" hidden="1" customWidth="1"/>
    <col min="56" max="56" width="8.44140625" style="365" hidden="1" customWidth="1"/>
    <col min="57" max="58" width="9.109375" style="19" customWidth="1"/>
    <col min="59" max="59" width="2.109375" style="19" customWidth="1"/>
    <col min="60" max="60" width="9.109375" style="19" customWidth="1"/>
    <col min="61" max="61" width="10.109375" style="19" customWidth="1"/>
    <col min="62" max="62" width="10.109375" style="14" customWidth="1"/>
    <col min="63" max="16384" width="9.109375" style="14"/>
  </cols>
  <sheetData>
    <row r="1" spans="1:61" s="331" customFormat="1" ht="18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0"/>
      <c r="AC1" s="210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31"/>
      <c r="AO1" s="353"/>
      <c r="AP1" s="354"/>
      <c r="AQ1" s="355"/>
      <c r="AR1" s="355"/>
      <c r="AS1" s="31"/>
      <c r="AT1" s="353"/>
      <c r="AU1" s="354"/>
      <c r="AV1" s="355"/>
      <c r="AW1" s="355"/>
      <c r="AX1" s="31"/>
      <c r="AY1" s="353"/>
      <c r="AZ1" s="354"/>
      <c r="BA1" s="355"/>
      <c r="BB1" s="354"/>
      <c r="BC1" s="355"/>
      <c r="BD1" s="355"/>
    </row>
    <row r="2" spans="1:61" s="191" customFormat="1" ht="18">
      <c r="A2" s="86" t="s">
        <v>1003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3"/>
      <c r="AC2" s="210"/>
      <c r="AN2" s="31"/>
      <c r="AO2" s="353"/>
      <c r="AP2" s="354"/>
      <c r="AQ2" s="355"/>
      <c r="AR2" s="355"/>
      <c r="AS2" s="31"/>
      <c r="AT2" s="353"/>
      <c r="AU2" s="354"/>
      <c r="AV2" s="355"/>
      <c r="AW2" s="355"/>
      <c r="AX2" s="31"/>
      <c r="AY2" s="353"/>
      <c r="AZ2" s="354"/>
      <c r="BA2" s="355"/>
      <c r="BB2" s="354"/>
      <c r="BC2" s="355"/>
      <c r="BD2" s="355"/>
    </row>
    <row r="3" spans="1:61" s="191" customFormat="1" ht="18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33"/>
      <c r="AC3" s="210"/>
      <c r="AN3" s="31"/>
      <c r="AO3" s="353"/>
      <c r="AP3" s="354"/>
      <c r="AQ3" s="355"/>
      <c r="AR3" s="355"/>
      <c r="AS3" s="31"/>
      <c r="AT3" s="353"/>
      <c r="AU3" s="354"/>
      <c r="AV3" s="355"/>
      <c r="AW3" s="355"/>
      <c r="AX3" s="31"/>
      <c r="AY3" s="353"/>
      <c r="AZ3" s="354"/>
      <c r="BA3" s="355"/>
      <c r="BB3" s="354"/>
      <c r="BC3" s="355"/>
      <c r="BD3" s="355"/>
    </row>
    <row r="4" spans="1:61">
      <c r="A4" s="837"/>
      <c r="B4" s="837"/>
      <c r="C4" s="837"/>
      <c r="T4" s="832" t="s">
        <v>111</v>
      </c>
      <c r="U4" s="833"/>
      <c r="V4" s="833"/>
      <c r="W4" s="833"/>
      <c r="X4" s="833"/>
      <c r="Y4" s="833"/>
      <c r="Z4" s="834"/>
      <c r="AC4" s="490" t="s">
        <v>327</v>
      </c>
      <c r="AD4" s="491"/>
      <c r="AE4" s="491"/>
      <c r="AF4" s="491"/>
      <c r="AG4" s="491"/>
      <c r="AH4" s="491"/>
      <c r="AI4" s="491"/>
      <c r="AJ4" s="491"/>
      <c r="AK4" s="491"/>
      <c r="AL4" s="831" t="s">
        <v>327</v>
      </c>
      <c r="AM4" s="831"/>
      <c r="AN4" s="831"/>
      <c r="AO4" s="541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61" s="31" customFormat="1" ht="69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402</v>
      </c>
      <c r="N5" s="18" t="s">
        <v>403</v>
      </c>
      <c r="O5" s="18" t="s">
        <v>404</v>
      </c>
      <c r="P5" s="18" t="s">
        <v>12</v>
      </c>
      <c r="Q5" s="18" t="s">
        <v>488</v>
      </c>
      <c r="R5" s="18" t="s">
        <v>489</v>
      </c>
      <c r="S5" s="18" t="s">
        <v>407</v>
      </c>
      <c r="T5" s="18" t="s">
        <v>408</v>
      </c>
      <c r="U5" s="18" t="s">
        <v>409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496" t="s">
        <v>410</v>
      </c>
      <c r="AB5" s="18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61" s="5" customFormat="1" ht="18" customHeight="1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23"/>
      <c r="AB6" s="3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18"/>
      <c r="AO6" s="497"/>
      <c r="AP6" s="497"/>
      <c r="AQ6" s="497"/>
      <c r="AR6" s="39"/>
      <c r="AS6" s="18"/>
      <c r="AT6" s="497"/>
      <c r="AU6" s="497"/>
      <c r="AV6" s="497"/>
      <c r="AW6" s="39"/>
      <c r="AX6" s="18"/>
      <c r="AY6" s="497"/>
      <c r="AZ6" s="497"/>
      <c r="BA6" s="498">
        <f>AO7-AZ6-BB6-BC6-BD6</f>
        <v>0</v>
      </c>
      <c r="BB6" s="497"/>
      <c r="BC6" s="497"/>
      <c r="BD6" s="39"/>
      <c r="BE6" s="29"/>
      <c r="BF6" s="29"/>
      <c r="BG6" s="29"/>
      <c r="BH6" s="29"/>
      <c r="BI6" s="29"/>
    </row>
    <row r="7" spans="1:61" s="5" customFormat="1" ht="19.95" customHeight="1">
      <c r="A7" s="3">
        <v>1</v>
      </c>
      <c r="B7" s="3">
        <v>1247</v>
      </c>
      <c r="C7" s="3" t="s">
        <v>60</v>
      </c>
      <c r="D7" s="4">
        <v>9500000</v>
      </c>
      <c r="E7" s="4">
        <v>9500000</v>
      </c>
      <c r="F7" s="4">
        <f t="shared" ref="F7:F39" si="0">D7-E7</f>
        <v>0</v>
      </c>
      <c r="G7" s="4">
        <v>8650000</v>
      </c>
      <c r="H7" s="4">
        <v>8115411.5999999996</v>
      </c>
      <c r="I7" s="4">
        <v>0.68</v>
      </c>
      <c r="J7" s="4">
        <v>269816.13</v>
      </c>
      <c r="K7" s="4">
        <f>SUM(I7:J7)</f>
        <v>269816.81</v>
      </c>
      <c r="L7" s="4">
        <f>K7+H7</f>
        <v>8385228.4099999992</v>
      </c>
      <c r="M7" s="4">
        <f>P7+S7</f>
        <v>264771.59000000078</v>
      </c>
      <c r="N7" s="4">
        <f>500000-300000</f>
        <v>200000</v>
      </c>
      <c r="O7" s="4">
        <f>D7-L7-M7-N7</f>
        <v>650000</v>
      </c>
      <c r="P7" s="4">
        <f>G7-L7</f>
        <v>264771.59000000078</v>
      </c>
      <c r="Q7" s="4"/>
      <c r="R7" s="4"/>
      <c r="S7" s="4">
        <f>SUM(Q7:R7)</f>
        <v>0</v>
      </c>
      <c r="T7" s="4">
        <f>P7-M7+S7</f>
        <v>0</v>
      </c>
      <c r="U7" s="4">
        <f t="shared" ref="U7:U67" si="1">N7-T7</f>
        <v>200000</v>
      </c>
      <c r="V7" s="4">
        <f>U7-W7-X7-Y7-Z7</f>
        <v>200000</v>
      </c>
      <c r="W7" s="4"/>
      <c r="X7" s="4"/>
      <c r="Y7" s="4"/>
      <c r="Z7" s="3"/>
      <c r="AA7" s="323" t="s">
        <v>490</v>
      </c>
      <c r="AB7" s="3">
        <v>732000</v>
      </c>
      <c r="AC7" s="4"/>
      <c r="AD7" s="4"/>
      <c r="AE7" s="4"/>
      <c r="AF7" s="4"/>
      <c r="AG7" s="4"/>
      <c r="AH7" s="4"/>
      <c r="AI7" s="4"/>
      <c r="AJ7" s="4">
        <v>200000</v>
      </c>
      <c r="AK7" s="4"/>
      <c r="AL7" s="4">
        <f>SUM(AC7:AK7)</f>
        <v>200000</v>
      </c>
      <c r="AM7" s="4"/>
      <c r="AN7" s="4">
        <f>AM7+AL7</f>
        <v>200000</v>
      </c>
      <c r="AO7" s="4">
        <f>U7-AN7</f>
        <v>0</v>
      </c>
      <c r="AP7" s="499">
        <v>200000</v>
      </c>
      <c r="AQ7" s="499">
        <f>AL7-AP7-AR7-AS7-AT7</f>
        <v>0</v>
      </c>
      <c r="AR7" s="499"/>
      <c r="AS7" s="4"/>
      <c r="AT7" s="4"/>
      <c r="AU7" s="499"/>
      <c r="AV7" s="499">
        <f>AM7-AU7-AW7-AX7-AY7</f>
        <v>0</v>
      </c>
      <c r="AW7" s="499"/>
      <c r="AX7" s="4"/>
      <c r="AY7" s="4"/>
      <c r="AZ7" s="499"/>
      <c r="BA7" s="499">
        <f>AO7-AZ7-BB7-BC7-BD7</f>
        <v>0</v>
      </c>
      <c r="BB7" s="499"/>
      <c r="BC7" s="499"/>
      <c r="BD7" s="499"/>
      <c r="BE7" s="29"/>
      <c r="BF7" s="29"/>
      <c r="BG7" s="29"/>
      <c r="BH7" s="29"/>
      <c r="BI7" s="28"/>
    </row>
    <row r="8" spans="1:61" s="5" customFormat="1" ht="19.95" customHeight="1">
      <c r="A8" s="3">
        <f>A7+1</f>
        <v>2</v>
      </c>
      <c r="B8" s="3">
        <v>1250</v>
      </c>
      <c r="C8" s="3" t="s">
        <v>61</v>
      </c>
      <c r="D8" s="4">
        <f>1950000-500000</f>
        <v>1450000</v>
      </c>
      <c r="E8" s="4">
        <v>1450000</v>
      </c>
      <c r="F8" s="4">
        <f t="shared" si="0"/>
        <v>0</v>
      </c>
      <c r="G8" s="4">
        <v>1000000</v>
      </c>
      <c r="H8" s="4">
        <v>813458.48</v>
      </c>
      <c r="I8" s="4"/>
      <c r="J8" s="4">
        <v>25937.46</v>
      </c>
      <c r="K8" s="4">
        <f t="shared" ref="K8:K63" si="2">SUM(I8:J8)</f>
        <v>25937.46</v>
      </c>
      <c r="L8" s="4">
        <f t="shared" ref="L8:L67" si="3">K8+H8</f>
        <v>839395.94</v>
      </c>
      <c r="M8" s="4">
        <f t="shared" ref="M8:M67" si="4">P8+S8</f>
        <v>160604.06000000006</v>
      </c>
      <c r="N8" s="4">
        <f>950000-550000</f>
        <v>400000</v>
      </c>
      <c r="O8" s="4">
        <f t="shared" ref="O8:O67" si="5">D8-L8-M8-N8</f>
        <v>50000</v>
      </c>
      <c r="P8" s="4">
        <f t="shared" ref="P8:P67" si="6">G8-L8</f>
        <v>160604.06000000006</v>
      </c>
      <c r="Q8" s="4"/>
      <c r="R8" s="4"/>
      <c r="S8" s="4">
        <f t="shared" ref="S8:S67" si="7">SUM(Q8:R8)</f>
        <v>0</v>
      </c>
      <c r="T8" s="4">
        <f t="shared" ref="T8:T67" si="8">P8-M8+S8</f>
        <v>0</v>
      </c>
      <c r="U8" s="4">
        <f t="shared" si="1"/>
        <v>400000</v>
      </c>
      <c r="V8" s="4"/>
      <c r="W8" s="4">
        <f t="shared" ref="W8:W67" si="9">U8-V8-Y8-Z8</f>
        <v>400000</v>
      </c>
      <c r="X8" s="4"/>
      <c r="Y8" s="4"/>
      <c r="Z8" s="3"/>
      <c r="AA8" s="323" t="s">
        <v>491</v>
      </c>
      <c r="AB8" s="3">
        <v>749000</v>
      </c>
      <c r="AC8" s="4"/>
      <c r="AD8" s="4">
        <v>400000</v>
      </c>
      <c r="AE8" s="4"/>
      <c r="AF8" s="4"/>
      <c r="AG8" s="4"/>
      <c r="AH8" s="4"/>
      <c r="AI8" s="4"/>
      <c r="AJ8" s="4"/>
      <c r="AK8" s="4"/>
      <c r="AL8" s="4">
        <f t="shared" ref="AL8:AL13" si="10">SUM(AC8:AK8)</f>
        <v>400000</v>
      </c>
      <c r="AM8" s="4"/>
      <c r="AN8" s="4">
        <f t="shared" ref="AN8:AN70" si="11">AM8+AL8</f>
        <v>400000</v>
      </c>
      <c r="AO8" s="4">
        <f t="shared" ref="AO8:AO70" si="12">U8-AN8</f>
        <v>0</v>
      </c>
      <c r="AP8" s="499"/>
      <c r="AQ8" s="499">
        <f t="shared" ref="AQ8:AQ70" si="13">AL8-AP8-AR8-AS8-AT8</f>
        <v>400000</v>
      </c>
      <c r="AR8" s="499"/>
      <c r="AS8" s="4"/>
      <c r="AT8" s="4"/>
      <c r="AU8" s="499"/>
      <c r="AV8" s="499">
        <f t="shared" ref="AV8:AV70" si="14">AM8-AU8-AW8-AX8-AY8</f>
        <v>0</v>
      </c>
      <c r="AW8" s="499"/>
      <c r="AX8" s="4"/>
      <c r="AY8" s="4"/>
      <c r="AZ8" s="499"/>
      <c r="BA8" s="499">
        <f t="shared" ref="BA8:BA70" si="15">AO8-AZ8-BB8-BC8-BD8</f>
        <v>0</v>
      </c>
      <c r="BB8" s="499"/>
      <c r="BC8" s="499"/>
      <c r="BD8" s="499"/>
      <c r="BE8" s="29"/>
      <c r="BF8" s="29"/>
      <c r="BG8" s="29"/>
      <c r="BH8" s="29"/>
      <c r="BI8" s="28"/>
    </row>
    <row r="9" spans="1:61" s="5" customFormat="1" ht="19.95" customHeight="1">
      <c r="A9" s="3">
        <f t="shared" ref="A9:A70" si="16">A8+1</f>
        <v>3</v>
      </c>
      <c r="B9" s="3">
        <v>1253</v>
      </c>
      <c r="C9" s="3" t="s">
        <v>62</v>
      </c>
      <c r="D9" s="4">
        <v>4700000</v>
      </c>
      <c r="E9" s="4">
        <v>4200000</v>
      </c>
      <c r="F9" s="4">
        <f t="shared" si="0"/>
        <v>500000</v>
      </c>
      <c r="G9" s="4">
        <v>4200000</v>
      </c>
      <c r="H9" s="4">
        <v>3608560.68</v>
      </c>
      <c r="I9" s="4"/>
      <c r="J9" s="4">
        <v>566005.72</v>
      </c>
      <c r="K9" s="4">
        <f t="shared" si="2"/>
        <v>566005.72</v>
      </c>
      <c r="L9" s="4">
        <f t="shared" si="3"/>
        <v>4174566.4000000004</v>
      </c>
      <c r="M9" s="4">
        <f t="shared" si="4"/>
        <v>25433.599999999627</v>
      </c>
      <c r="N9" s="4">
        <v>500000</v>
      </c>
      <c r="O9" s="4">
        <f t="shared" si="5"/>
        <v>0</v>
      </c>
      <c r="P9" s="4">
        <f t="shared" si="6"/>
        <v>25433.599999999627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500000</v>
      </c>
      <c r="V9" s="4"/>
      <c r="W9" s="4">
        <f t="shared" si="9"/>
        <v>500000</v>
      </c>
      <c r="X9" s="4"/>
      <c r="Y9" s="4"/>
      <c r="Z9" s="3"/>
      <c r="AA9" s="323" t="s">
        <v>492</v>
      </c>
      <c r="AB9" s="3">
        <v>850000</v>
      </c>
      <c r="AC9" s="4"/>
      <c r="AD9" s="4"/>
      <c r="AE9" s="4">
        <v>250000</v>
      </c>
      <c r="AF9" s="4"/>
      <c r="AG9" s="4"/>
      <c r="AH9" s="4">
        <v>250000</v>
      </c>
      <c r="AI9" s="4"/>
      <c r="AJ9" s="4"/>
      <c r="AK9" s="4"/>
      <c r="AL9" s="4">
        <f t="shared" si="10"/>
        <v>500000</v>
      </c>
      <c r="AM9" s="4"/>
      <c r="AN9" s="4">
        <f t="shared" si="11"/>
        <v>500000</v>
      </c>
      <c r="AO9" s="4">
        <f t="shared" si="12"/>
        <v>0</v>
      </c>
      <c r="AP9" s="499"/>
      <c r="AQ9" s="499">
        <f t="shared" si="13"/>
        <v>500000</v>
      </c>
      <c r="AR9" s="499"/>
      <c r="AS9" s="4"/>
      <c r="AT9" s="4"/>
      <c r="AU9" s="499"/>
      <c r="AV9" s="499">
        <f t="shared" si="14"/>
        <v>0</v>
      </c>
      <c r="AW9" s="499"/>
      <c r="AX9" s="4"/>
      <c r="AY9" s="4"/>
      <c r="AZ9" s="499"/>
      <c r="BA9" s="499">
        <f t="shared" si="15"/>
        <v>0</v>
      </c>
      <c r="BB9" s="499"/>
      <c r="BC9" s="499"/>
      <c r="BD9" s="499"/>
      <c r="BE9" s="29"/>
      <c r="BF9" s="29"/>
      <c r="BG9" s="29"/>
      <c r="BH9" s="29"/>
      <c r="BI9" s="28"/>
    </row>
    <row r="10" spans="1:61" s="5" customFormat="1" ht="27.6">
      <c r="A10" s="3">
        <f t="shared" si="16"/>
        <v>4</v>
      </c>
      <c r="B10" s="188">
        <v>1281</v>
      </c>
      <c r="C10" s="188" t="s">
        <v>1242</v>
      </c>
      <c r="D10" s="4">
        <v>213755840</v>
      </c>
      <c r="E10" s="4">
        <v>213755840</v>
      </c>
      <c r="F10" s="4">
        <f t="shared" si="0"/>
        <v>0</v>
      </c>
      <c r="G10" s="4">
        <v>213755840</v>
      </c>
      <c r="H10" s="4">
        <v>212539376.11000001</v>
      </c>
      <c r="I10" s="4">
        <v>508824.28</v>
      </c>
      <c r="J10" s="4">
        <v>666378.97</v>
      </c>
      <c r="K10" s="4">
        <f t="shared" si="2"/>
        <v>1175203.25</v>
      </c>
      <c r="L10" s="4">
        <f t="shared" si="3"/>
        <v>213714579.36000001</v>
      </c>
      <c r="M10" s="4">
        <f t="shared" si="4"/>
        <v>41260.639999985695</v>
      </c>
      <c r="N10" s="4"/>
      <c r="O10" s="4">
        <f t="shared" si="5"/>
        <v>0</v>
      </c>
      <c r="P10" s="4">
        <f t="shared" si="6"/>
        <v>41260.639999985695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0</v>
      </c>
      <c r="V10" s="4"/>
      <c r="W10" s="4">
        <f t="shared" si="9"/>
        <v>0</v>
      </c>
      <c r="X10" s="4"/>
      <c r="Y10" s="4"/>
      <c r="Z10" s="3"/>
      <c r="AA10" s="323"/>
      <c r="AB10" s="3">
        <v>810000</v>
      </c>
      <c r="AC10" s="4"/>
      <c r="AD10" s="4"/>
      <c r="AE10" s="4"/>
      <c r="AF10" s="4"/>
      <c r="AG10" s="4"/>
      <c r="AH10" s="4"/>
      <c r="AI10" s="4"/>
      <c r="AJ10" s="4"/>
      <c r="AK10" s="4"/>
      <c r="AL10" s="4">
        <f t="shared" si="10"/>
        <v>0</v>
      </c>
      <c r="AM10" s="4"/>
      <c r="AN10" s="4">
        <f t="shared" si="11"/>
        <v>0</v>
      </c>
      <c r="AO10" s="4">
        <f t="shared" si="12"/>
        <v>0</v>
      </c>
      <c r="AP10" s="499"/>
      <c r="AQ10" s="499">
        <f t="shared" si="13"/>
        <v>0</v>
      </c>
      <c r="AR10" s="499"/>
      <c r="AS10" s="4"/>
      <c r="AT10" s="4"/>
      <c r="AU10" s="499"/>
      <c r="AV10" s="499">
        <f t="shared" si="14"/>
        <v>0</v>
      </c>
      <c r="AW10" s="499"/>
      <c r="AX10" s="4"/>
      <c r="AY10" s="4"/>
      <c r="AZ10" s="499"/>
      <c r="BA10" s="499">
        <f t="shared" si="15"/>
        <v>0</v>
      </c>
      <c r="BB10" s="499"/>
      <c r="BC10" s="499"/>
      <c r="BD10" s="499"/>
      <c r="BE10" s="29"/>
      <c r="BF10" s="29"/>
      <c r="BG10" s="29"/>
      <c r="BH10" s="29"/>
      <c r="BI10" s="28"/>
    </row>
    <row r="11" spans="1:61" s="5" customFormat="1" ht="19.95" customHeight="1">
      <c r="A11" s="3">
        <f t="shared" si="16"/>
        <v>5</v>
      </c>
      <c r="B11" s="188">
        <v>1372</v>
      </c>
      <c r="C11" s="188" t="s">
        <v>966</v>
      </c>
      <c r="D11" s="4">
        <f>2900000-1400000</f>
        <v>1500000</v>
      </c>
      <c r="E11" s="4">
        <v>2900000</v>
      </c>
      <c r="F11" s="4">
        <f t="shared" si="0"/>
        <v>-1400000</v>
      </c>
      <c r="G11" s="4">
        <v>1500000</v>
      </c>
      <c r="H11" s="4">
        <v>1488243.38</v>
      </c>
      <c r="I11" s="4"/>
      <c r="J11" s="4">
        <v>11535</v>
      </c>
      <c r="K11" s="4">
        <f t="shared" si="2"/>
        <v>11535</v>
      </c>
      <c r="L11" s="4">
        <f t="shared" si="3"/>
        <v>1499778.38</v>
      </c>
      <c r="M11" s="4">
        <f t="shared" si="4"/>
        <v>221.62000000011176</v>
      </c>
      <c r="N11" s="4"/>
      <c r="O11" s="4">
        <f t="shared" si="5"/>
        <v>0</v>
      </c>
      <c r="P11" s="4">
        <f t="shared" si="6"/>
        <v>221.62000000011176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0</v>
      </c>
      <c r="V11" s="4"/>
      <c r="W11" s="4">
        <f t="shared" si="9"/>
        <v>0</v>
      </c>
      <c r="X11" s="4"/>
      <c r="Y11" s="4"/>
      <c r="Z11" s="3"/>
      <c r="AA11" s="323"/>
      <c r="AB11" s="3">
        <v>810000</v>
      </c>
      <c r="AC11" s="4"/>
      <c r="AD11" s="4"/>
      <c r="AE11" s="4"/>
      <c r="AF11" s="4"/>
      <c r="AG11" s="4"/>
      <c r="AH11" s="4"/>
      <c r="AI11" s="4"/>
      <c r="AJ11" s="4"/>
      <c r="AK11" s="4"/>
      <c r="AL11" s="4">
        <f t="shared" si="10"/>
        <v>0</v>
      </c>
      <c r="AM11" s="4"/>
      <c r="AN11" s="4">
        <f t="shared" si="11"/>
        <v>0</v>
      </c>
      <c r="AO11" s="4">
        <f t="shared" si="12"/>
        <v>0</v>
      </c>
      <c r="AP11" s="499"/>
      <c r="AQ11" s="499">
        <f t="shared" si="13"/>
        <v>0</v>
      </c>
      <c r="AR11" s="499"/>
      <c r="AS11" s="4"/>
      <c r="AT11" s="4"/>
      <c r="AU11" s="499"/>
      <c r="AV11" s="499">
        <f t="shared" si="14"/>
        <v>0</v>
      </c>
      <c r="AW11" s="499"/>
      <c r="AX11" s="4"/>
      <c r="AY11" s="4"/>
      <c r="AZ11" s="499"/>
      <c r="BA11" s="499">
        <f t="shared" si="15"/>
        <v>0</v>
      </c>
      <c r="BB11" s="499"/>
      <c r="BC11" s="499"/>
      <c r="BD11" s="499"/>
      <c r="BE11" s="29"/>
      <c r="BF11" s="29"/>
      <c r="BG11" s="29"/>
      <c r="BH11" s="29"/>
      <c r="BI11" s="28"/>
    </row>
    <row r="12" spans="1:61" s="5" customFormat="1" ht="19.95" customHeight="1">
      <c r="A12" s="3">
        <f t="shared" si="16"/>
        <v>6</v>
      </c>
      <c r="B12" s="3">
        <v>1415</v>
      </c>
      <c r="C12" s="3" t="s">
        <v>893</v>
      </c>
      <c r="D12" s="4">
        <f>1600000-450000</f>
        <v>1150000</v>
      </c>
      <c r="E12" s="4">
        <v>1150000</v>
      </c>
      <c r="F12" s="4">
        <f t="shared" si="0"/>
        <v>0</v>
      </c>
      <c r="G12" s="4">
        <v>1000000</v>
      </c>
      <c r="H12" s="4">
        <v>957150.93</v>
      </c>
      <c r="I12" s="4"/>
      <c r="J12" s="4">
        <v>19423</v>
      </c>
      <c r="K12" s="4">
        <f t="shared" si="2"/>
        <v>19423</v>
      </c>
      <c r="L12" s="4">
        <f t="shared" si="3"/>
        <v>976573.93</v>
      </c>
      <c r="M12" s="4">
        <f t="shared" si="4"/>
        <v>23426.069999999949</v>
      </c>
      <c r="N12" s="4">
        <f>200000-100000</f>
        <v>100000</v>
      </c>
      <c r="O12" s="4">
        <f t="shared" si="5"/>
        <v>50000</v>
      </c>
      <c r="P12" s="4">
        <f t="shared" si="6"/>
        <v>23426.069999999949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100000</v>
      </c>
      <c r="V12" s="4"/>
      <c r="W12" s="4">
        <f t="shared" si="9"/>
        <v>100000</v>
      </c>
      <c r="X12" s="4"/>
      <c r="Y12" s="4"/>
      <c r="Z12" s="3"/>
      <c r="AA12" s="323" t="s">
        <v>493</v>
      </c>
      <c r="AB12" s="3">
        <v>930000</v>
      </c>
      <c r="AC12" s="4"/>
      <c r="AD12" s="4">
        <v>30000</v>
      </c>
      <c r="AE12" s="4">
        <v>30000</v>
      </c>
      <c r="AF12" s="4"/>
      <c r="AG12" s="4"/>
      <c r="AH12" s="4">
        <v>40000</v>
      </c>
      <c r="AI12" s="4"/>
      <c r="AJ12" s="4"/>
      <c r="AK12" s="4"/>
      <c r="AL12" s="4">
        <f t="shared" si="10"/>
        <v>100000</v>
      </c>
      <c r="AM12" s="4"/>
      <c r="AN12" s="4">
        <f t="shared" si="11"/>
        <v>100000</v>
      </c>
      <c r="AO12" s="4">
        <f t="shared" si="12"/>
        <v>0</v>
      </c>
      <c r="AP12" s="499"/>
      <c r="AQ12" s="499">
        <f t="shared" si="13"/>
        <v>100000</v>
      </c>
      <c r="AR12" s="499"/>
      <c r="AS12" s="4"/>
      <c r="AT12" s="4"/>
      <c r="AU12" s="499"/>
      <c r="AV12" s="499">
        <f t="shared" si="14"/>
        <v>0</v>
      </c>
      <c r="AW12" s="499"/>
      <c r="AX12" s="4"/>
      <c r="AY12" s="4"/>
      <c r="AZ12" s="499"/>
      <c r="BA12" s="499">
        <f t="shared" si="15"/>
        <v>0</v>
      </c>
      <c r="BB12" s="499"/>
      <c r="BC12" s="499"/>
      <c r="BD12" s="499"/>
      <c r="BE12" s="29"/>
      <c r="BF12" s="29"/>
      <c r="BG12" s="29"/>
      <c r="BH12" s="29"/>
      <c r="BI12" s="28"/>
    </row>
    <row r="13" spans="1:61" s="5" customFormat="1" ht="27.6">
      <c r="A13" s="3">
        <f t="shared" si="16"/>
        <v>7</v>
      </c>
      <c r="B13" s="3">
        <v>1416</v>
      </c>
      <c r="C13" s="3" t="s">
        <v>136</v>
      </c>
      <c r="D13" s="4">
        <f>2000000-300000</f>
        <v>1700000</v>
      </c>
      <c r="E13" s="4">
        <v>1700000</v>
      </c>
      <c r="F13" s="4">
        <f t="shared" si="0"/>
        <v>0</v>
      </c>
      <c r="G13" s="4">
        <v>1350000</v>
      </c>
      <c r="H13" s="4">
        <v>1284229</v>
      </c>
      <c r="I13" s="4"/>
      <c r="J13" s="4">
        <v>64188</v>
      </c>
      <c r="K13" s="4">
        <f t="shared" si="2"/>
        <v>64188</v>
      </c>
      <c r="L13" s="4">
        <f t="shared" si="3"/>
        <v>1348417</v>
      </c>
      <c r="M13" s="4">
        <f t="shared" si="4"/>
        <v>1583</v>
      </c>
      <c r="N13" s="4">
        <f>300000-150000</f>
        <v>150000</v>
      </c>
      <c r="O13" s="4">
        <f t="shared" si="5"/>
        <v>200000</v>
      </c>
      <c r="P13" s="4">
        <f t="shared" si="6"/>
        <v>1583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150000</v>
      </c>
      <c r="V13" s="4"/>
      <c r="W13" s="4">
        <f t="shared" si="9"/>
        <v>150000</v>
      </c>
      <c r="X13" s="4"/>
      <c r="Y13" s="4"/>
      <c r="Z13" s="3"/>
      <c r="AA13" s="323" t="s">
        <v>494</v>
      </c>
      <c r="AB13" s="3">
        <v>930000</v>
      </c>
      <c r="AC13" s="4"/>
      <c r="AD13" s="4">
        <v>50000</v>
      </c>
      <c r="AE13" s="4">
        <v>50000</v>
      </c>
      <c r="AF13" s="4"/>
      <c r="AG13" s="4"/>
      <c r="AH13" s="4">
        <v>50000</v>
      </c>
      <c r="AI13" s="4"/>
      <c r="AJ13" s="4"/>
      <c r="AK13" s="4"/>
      <c r="AL13" s="4">
        <f t="shared" si="10"/>
        <v>150000</v>
      </c>
      <c r="AM13" s="4"/>
      <c r="AN13" s="4">
        <f t="shared" si="11"/>
        <v>150000</v>
      </c>
      <c r="AO13" s="4">
        <f t="shared" si="12"/>
        <v>0</v>
      </c>
      <c r="AP13" s="499"/>
      <c r="AQ13" s="499">
        <f t="shared" si="13"/>
        <v>150000</v>
      </c>
      <c r="AR13" s="499"/>
      <c r="AS13" s="4"/>
      <c r="AT13" s="4"/>
      <c r="AU13" s="499"/>
      <c r="AV13" s="499">
        <f t="shared" si="14"/>
        <v>0</v>
      </c>
      <c r="AW13" s="499"/>
      <c r="AX13" s="4"/>
      <c r="AY13" s="4"/>
      <c r="AZ13" s="499"/>
      <c r="BA13" s="499">
        <f t="shared" si="15"/>
        <v>0</v>
      </c>
      <c r="BB13" s="499"/>
      <c r="BC13" s="499"/>
      <c r="BD13" s="499"/>
      <c r="BE13" s="29"/>
      <c r="BF13" s="29"/>
      <c r="BG13" s="29"/>
      <c r="BH13" s="29"/>
      <c r="BI13" s="28"/>
    </row>
    <row r="14" spans="1:61" s="5" customFormat="1" ht="19.95" customHeight="1">
      <c r="A14" s="3">
        <f t="shared" si="16"/>
        <v>8</v>
      </c>
      <c r="B14" s="3">
        <v>1472</v>
      </c>
      <c r="C14" s="3" t="s">
        <v>63</v>
      </c>
      <c r="D14" s="4">
        <f>12000000-650000</f>
        <v>11350000</v>
      </c>
      <c r="E14" s="4">
        <v>11350000</v>
      </c>
      <c r="F14" s="4">
        <f t="shared" si="0"/>
        <v>0</v>
      </c>
      <c r="G14" s="4">
        <v>11106096</v>
      </c>
      <c r="H14" s="4">
        <v>11063444.289999999</v>
      </c>
      <c r="I14" s="4"/>
      <c r="J14" s="4"/>
      <c r="K14" s="4">
        <f t="shared" si="2"/>
        <v>0</v>
      </c>
      <c r="L14" s="4">
        <f t="shared" si="3"/>
        <v>11063444.289999999</v>
      </c>
      <c r="M14" s="4">
        <f t="shared" si="4"/>
        <v>42651.710000000894</v>
      </c>
      <c r="N14" s="4">
        <f>500000-200000-200000</f>
        <v>100000</v>
      </c>
      <c r="O14" s="4">
        <f t="shared" si="5"/>
        <v>143904</v>
      </c>
      <c r="P14" s="4">
        <f t="shared" si="6"/>
        <v>42651.710000000894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1"/>
        <v>100000</v>
      </c>
      <c r="V14" s="4"/>
      <c r="W14" s="4">
        <f t="shared" si="9"/>
        <v>100000</v>
      </c>
      <c r="X14" s="4"/>
      <c r="Y14" s="4"/>
      <c r="Z14" s="3"/>
      <c r="AA14" s="323" t="s">
        <v>493</v>
      </c>
      <c r="AB14" s="3">
        <v>810000</v>
      </c>
      <c r="AC14" s="4"/>
      <c r="AD14" s="4">
        <v>50000</v>
      </c>
      <c r="AE14" s="4">
        <v>20000</v>
      </c>
      <c r="AF14" s="4"/>
      <c r="AG14" s="4"/>
      <c r="AH14" s="4">
        <v>30000</v>
      </c>
      <c r="AI14" s="4"/>
      <c r="AJ14" s="4"/>
      <c r="AK14" s="4"/>
      <c r="AL14" s="4">
        <f t="shared" ref="AL14:AL45" si="17">SUM(AC14:AK14)</f>
        <v>100000</v>
      </c>
      <c r="AM14" s="4"/>
      <c r="AN14" s="4">
        <f t="shared" si="11"/>
        <v>100000</v>
      </c>
      <c r="AO14" s="4">
        <f t="shared" si="12"/>
        <v>0</v>
      </c>
      <c r="AP14" s="499"/>
      <c r="AQ14" s="499">
        <f t="shared" si="13"/>
        <v>100000</v>
      </c>
      <c r="AR14" s="499"/>
      <c r="AS14" s="4"/>
      <c r="AT14" s="4"/>
      <c r="AU14" s="499"/>
      <c r="AV14" s="499">
        <f t="shared" si="14"/>
        <v>0</v>
      </c>
      <c r="AW14" s="499"/>
      <c r="AX14" s="4"/>
      <c r="AY14" s="4"/>
      <c r="AZ14" s="499"/>
      <c r="BA14" s="499">
        <f t="shared" si="15"/>
        <v>0</v>
      </c>
      <c r="BB14" s="499"/>
      <c r="BC14" s="499"/>
      <c r="BD14" s="499"/>
      <c r="BE14" s="29"/>
      <c r="BF14" s="29"/>
      <c r="BG14" s="29"/>
      <c r="BH14" s="29"/>
      <c r="BI14" s="28"/>
    </row>
    <row r="15" spans="1:61" s="5" customFormat="1" ht="19.95" customHeight="1">
      <c r="A15" s="3">
        <f t="shared" si="16"/>
        <v>9</v>
      </c>
      <c r="B15" s="188">
        <v>1476</v>
      </c>
      <c r="C15" s="188" t="s">
        <v>1246</v>
      </c>
      <c r="D15" s="4">
        <v>900000</v>
      </c>
      <c r="E15" s="4">
        <v>900000</v>
      </c>
      <c r="F15" s="4">
        <f t="shared" si="0"/>
        <v>0</v>
      </c>
      <c r="G15" s="4">
        <v>900000</v>
      </c>
      <c r="H15" s="4">
        <v>842544.93</v>
      </c>
      <c r="I15" s="4"/>
      <c r="J15" s="4">
        <v>47985.91</v>
      </c>
      <c r="K15" s="4">
        <f t="shared" si="2"/>
        <v>47985.91</v>
      </c>
      <c r="L15" s="4">
        <f t="shared" si="3"/>
        <v>890530.84000000008</v>
      </c>
      <c r="M15" s="4">
        <f t="shared" si="4"/>
        <v>9469.1599999999162</v>
      </c>
      <c r="N15" s="4"/>
      <c r="O15" s="4">
        <f t="shared" si="5"/>
        <v>0</v>
      </c>
      <c r="P15" s="4">
        <f t="shared" si="6"/>
        <v>9469.1599999999162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1"/>
        <v>0</v>
      </c>
      <c r="V15" s="4"/>
      <c r="W15" s="4">
        <f t="shared" si="9"/>
        <v>0</v>
      </c>
      <c r="X15" s="4"/>
      <c r="Y15" s="4"/>
      <c r="Z15" s="3"/>
      <c r="AA15" s="323"/>
      <c r="AB15" s="3">
        <v>810000</v>
      </c>
      <c r="AC15" s="4"/>
      <c r="AD15" s="4"/>
      <c r="AE15" s="4"/>
      <c r="AF15" s="4"/>
      <c r="AG15" s="4"/>
      <c r="AH15" s="4"/>
      <c r="AI15" s="4"/>
      <c r="AJ15" s="4"/>
      <c r="AK15" s="4"/>
      <c r="AL15" s="4">
        <f t="shared" si="17"/>
        <v>0</v>
      </c>
      <c r="AM15" s="4"/>
      <c r="AN15" s="4">
        <f t="shared" si="11"/>
        <v>0</v>
      </c>
      <c r="AO15" s="4">
        <f t="shared" si="12"/>
        <v>0</v>
      </c>
      <c r="AP15" s="499"/>
      <c r="AQ15" s="499">
        <f t="shared" si="13"/>
        <v>0</v>
      </c>
      <c r="AR15" s="499"/>
      <c r="AS15" s="4"/>
      <c r="AT15" s="4"/>
      <c r="AU15" s="499"/>
      <c r="AV15" s="499">
        <f t="shared" si="14"/>
        <v>0</v>
      </c>
      <c r="AW15" s="499"/>
      <c r="AX15" s="4"/>
      <c r="AY15" s="4"/>
      <c r="AZ15" s="499"/>
      <c r="BA15" s="499">
        <f t="shared" si="15"/>
        <v>0</v>
      </c>
      <c r="BB15" s="499"/>
      <c r="BC15" s="499"/>
      <c r="BD15" s="499"/>
      <c r="BE15" s="29"/>
      <c r="BF15" s="29"/>
      <c r="BG15" s="29"/>
      <c r="BH15" s="29"/>
      <c r="BI15" s="28"/>
    </row>
    <row r="16" spans="1:61" s="5" customFormat="1" ht="19.95" customHeight="1">
      <c r="A16" s="3">
        <f t="shared" si="16"/>
        <v>10</v>
      </c>
      <c r="B16" s="3">
        <v>1477</v>
      </c>
      <c r="C16" s="3" t="s">
        <v>967</v>
      </c>
      <c r="D16" s="4">
        <f>2200000+3600000+3550000</f>
        <v>9350000</v>
      </c>
      <c r="E16" s="4">
        <v>2200000</v>
      </c>
      <c r="F16" s="4">
        <f t="shared" si="0"/>
        <v>7150000</v>
      </c>
      <c r="G16" s="4">
        <v>2200000</v>
      </c>
      <c r="H16" s="4">
        <v>2134839.7000000002</v>
      </c>
      <c r="I16" s="4"/>
      <c r="J16" s="4">
        <v>45936.03</v>
      </c>
      <c r="K16" s="4">
        <f t="shared" si="2"/>
        <v>45936.03</v>
      </c>
      <c r="L16" s="4">
        <f t="shared" si="3"/>
        <v>2180775.73</v>
      </c>
      <c r="M16" s="4">
        <f t="shared" si="4"/>
        <v>19224.270000000019</v>
      </c>
      <c r="N16" s="4">
        <v>1650000</v>
      </c>
      <c r="O16" s="4">
        <f t="shared" si="5"/>
        <v>5500000</v>
      </c>
      <c r="P16" s="4">
        <f t="shared" si="6"/>
        <v>19224.270000000019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1"/>
        <v>1650000</v>
      </c>
      <c r="V16" s="4">
        <f>U16-W16-X16-Y16-Z16</f>
        <v>1650000</v>
      </c>
      <c r="W16" s="4"/>
      <c r="X16" s="4"/>
      <c r="Y16" s="4"/>
      <c r="Z16" s="3"/>
      <c r="AA16" s="323" t="s">
        <v>634</v>
      </c>
      <c r="AB16" s="3">
        <v>810000</v>
      </c>
      <c r="AC16" s="4"/>
      <c r="AD16" s="4"/>
      <c r="AE16" s="4">
        <v>1650000</v>
      </c>
      <c r="AF16" s="4"/>
      <c r="AG16" s="4"/>
      <c r="AH16" s="4"/>
      <c r="AI16" s="4"/>
      <c r="AJ16" s="4"/>
      <c r="AK16" s="4"/>
      <c r="AL16" s="4">
        <f t="shared" si="17"/>
        <v>1650000</v>
      </c>
      <c r="AM16" s="4"/>
      <c r="AN16" s="4">
        <f t="shared" si="11"/>
        <v>1650000</v>
      </c>
      <c r="AO16" s="4">
        <f t="shared" si="12"/>
        <v>0</v>
      </c>
      <c r="AP16" s="499">
        <v>1650000</v>
      </c>
      <c r="AQ16" s="499">
        <f t="shared" si="13"/>
        <v>0</v>
      </c>
      <c r="AR16" s="499"/>
      <c r="AS16" s="4"/>
      <c r="AT16" s="4"/>
      <c r="AU16" s="499"/>
      <c r="AV16" s="499">
        <f t="shared" si="14"/>
        <v>0</v>
      </c>
      <c r="AW16" s="499"/>
      <c r="AX16" s="4"/>
      <c r="AY16" s="4"/>
      <c r="AZ16" s="499"/>
      <c r="BA16" s="499">
        <f t="shared" si="15"/>
        <v>0</v>
      </c>
      <c r="BB16" s="499"/>
      <c r="BC16" s="499"/>
      <c r="BD16" s="499"/>
      <c r="BE16" s="29"/>
      <c r="BF16" s="29"/>
      <c r="BG16" s="29"/>
      <c r="BH16" s="29"/>
      <c r="BI16" s="28"/>
    </row>
    <row r="17" spans="1:61" s="5" customFormat="1" ht="27.6">
      <c r="A17" s="3">
        <f t="shared" si="16"/>
        <v>11</v>
      </c>
      <c r="B17" s="188">
        <v>1478</v>
      </c>
      <c r="C17" s="188" t="s">
        <v>1247</v>
      </c>
      <c r="D17" s="4">
        <v>1800000</v>
      </c>
      <c r="E17" s="4">
        <v>1800000</v>
      </c>
      <c r="F17" s="4">
        <f t="shared" si="0"/>
        <v>0</v>
      </c>
      <c r="G17" s="4">
        <v>1800000</v>
      </c>
      <c r="H17" s="4">
        <v>1771495.78</v>
      </c>
      <c r="I17" s="4"/>
      <c r="J17" s="4">
        <v>27334</v>
      </c>
      <c r="K17" s="4">
        <f t="shared" si="2"/>
        <v>27334</v>
      </c>
      <c r="L17" s="4">
        <f t="shared" si="3"/>
        <v>1798829.78</v>
      </c>
      <c r="M17" s="4">
        <f t="shared" si="4"/>
        <v>1170.2199999999721</v>
      </c>
      <c r="N17" s="4"/>
      <c r="O17" s="4">
        <f t="shared" si="5"/>
        <v>0</v>
      </c>
      <c r="P17" s="4">
        <f t="shared" si="6"/>
        <v>1170.2199999999721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1"/>
        <v>0</v>
      </c>
      <c r="V17" s="4"/>
      <c r="W17" s="4">
        <f t="shared" si="9"/>
        <v>0</v>
      </c>
      <c r="X17" s="4"/>
      <c r="Y17" s="4"/>
      <c r="Z17" s="3"/>
      <c r="AA17" s="323" t="s">
        <v>495</v>
      </c>
      <c r="AB17" s="3">
        <v>930000</v>
      </c>
      <c r="AC17" s="4"/>
      <c r="AD17" s="4"/>
      <c r="AE17" s="4"/>
      <c r="AF17" s="4"/>
      <c r="AG17" s="4"/>
      <c r="AH17" s="4"/>
      <c r="AI17" s="4"/>
      <c r="AJ17" s="4"/>
      <c r="AK17" s="4"/>
      <c r="AL17" s="4">
        <f t="shared" si="17"/>
        <v>0</v>
      </c>
      <c r="AM17" s="4"/>
      <c r="AN17" s="4">
        <f t="shared" si="11"/>
        <v>0</v>
      </c>
      <c r="AO17" s="4">
        <f t="shared" si="12"/>
        <v>0</v>
      </c>
      <c r="AP17" s="499"/>
      <c r="AQ17" s="499">
        <f t="shared" si="13"/>
        <v>0</v>
      </c>
      <c r="AR17" s="499"/>
      <c r="AS17" s="4"/>
      <c r="AT17" s="4"/>
      <c r="AU17" s="499"/>
      <c r="AV17" s="499">
        <f t="shared" si="14"/>
        <v>0</v>
      </c>
      <c r="AW17" s="499"/>
      <c r="AX17" s="4"/>
      <c r="AY17" s="4"/>
      <c r="AZ17" s="499"/>
      <c r="BA17" s="499">
        <f t="shared" si="15"/>
        <v>0</v>
      </c>
      <c r="BB17" s="499"/>
      <c r="BC17" s="499"/>
      <c r="BD17" s="499"/>
      <c r="BE17" s="29"/>
      <c r="BF17" s="29"/>
      <c r="BG17" s="29"/>
      <c r="BH17" s="29"/>
      <c r="BI17" s="28"/>
    </row>
    <row r="18" spans="1:61" s="5" customFormat="1" ht="19.95" customHeight="1">
      <c r="A18" s="3">
        <f t="shared" si="16"/>
        <v>12</v>
      </c>
      <c r="B18" s="188">
        <v>1479</v>
      </c>
      <c r="C18" s="188" t="s">
        <v>1248</v>
      </c>
      <c r="D18" s="4">
        <v>1400000</v>
      </c>
      <c r="E18" s="4">
        <v>1400000</v>
      </c>
      <c r="F18" s="4">
        <f t="shared" si="0"/>
        <v>0</v>
      </c>
      <c r="G18" s="4">
        <v>1400000</v>
      </c>
      <c r="H18" s="4">
        <v>1372325.72</v>
      </c>
      <c r="I18" s="4"/>
      <c r="J18" s="4">
        <v>12373.96</v>
      </c>
      <c r="K18" s="4">
        <f t="shared" si="2"/>
        <v>12373.96</v>
      </c>
      <c r="L18" s="4">
        <f t="shared" si="3"/>
        <v>1384699.68</v>
      </c>
      <c r="M18" s="4">
        <f t="shared" si="4"/>
        <v>15300.320000000065</v>
      </c>
      <c r="N18" s="4"/>
      <c r="O18" s="4">
        <f t="shared" si="5"/>
        <v>0</v>
      </c>
      <c r="P18" s="4">
        <f t="shared" si="6"/>
        <v>15300.320000000065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1"/>
        <v>0</v>
      </c>
      <c r="V18" s="4"/>
      <c r="W18" s="4">
        <f t="shared" si="9"/>
        <v>0</v>
      </c>
      <c r="X18" s="4"/>
      <c r="Y18" s="4"/>
      <c r="Z18" s="3"/>
      <c r="AA18" s="323"/>
      <c r="AB18" s="3">
        <v>810000</v>
      </c>
      <c r="AC18" s="4"/>
      <c r="AD18" s="4"/>
      <c r="AE18" s="4"/>
      <c r="AF18" s="4"/>
      <c r="AG18" s="4"/>
      <c r="AH18" s="4"/>
      <c r="AI18" s="4"/>
      <c r="AJ18" s="4"/>
      <c r="AK18" s="4"/>
      <c r="AL18" s="4">
        <f t="shared" si="17"/>
        <v>0</v>
      </c>
      <c r="AM18" s="4"/>
      <c r="AN18" s="4">
        <f t="shared" si="11"/>
        <v>0</v>
      </c>
      <c r="AO18" s="4">
        <f t="shared" si="12"/>
        <v>0</v>
      </c>
      <c r="AP18" s="499"/>
      <c r="AQ18" s="499">
        <f t="shared" si="13"/>
        <v>0</v>
      </c>
      <c r="AR18" s="499"/>
      <c r="AS18" s="4"/>
      <c r="AT18" s="4"/>
      <c r="AU18" s="499"/>
      <c r="AV18" s="499">
        <f t="shared" si="14"/>
        <v>0</v>
      </c>
      <c r="AW18" s="499"/>
      <c r="AX18" s="4"/>
      <c r="AY18" s="4"/>
      <c r="AZ18" s="499"/>
      <c r="BA18" s="499">
        <f t="shared" si="15"/>
        <v>0</v>
      </c>
      <c r="BB18" s="499"/>
      <c r="BC18" s="499"/>
      <c r="BD18" s="499"/>
      <c r="BE18" s="29"/>
      <c r="BF18" s="29"/>
      <c r="BG18" s="29"/>
      <c r="BH18" s="29"/>
      <c r="BI18" s="28"/>
    </row>
    <row r="19" spans="1:61" s="5" customFormat="1" ht="19.95" customHeight="1">
      <c r="A19" s="3">
        <f t="shared" si="16"/>
        <v>13</v>
      </c>
      <c r="B19" s="188">
        <v>1480</v>
      </c>
      <c r="C19" s="188" t="s">
        <v>1249</v>
      </c>
      <c r="D19" s="4">
        <f>4500000-1000000</f>
        <v>3500000</v>
      </c>
      <c r="E19" s="4">
        <v>4500000</v>
      </c>
      <c r="F19" s="4">
        <f t="shared" si="0"/>
        <v>-1000000</v>
      </c>
      <c r="G19" s="4">
        <v>3500000</v>
      </c>
      <c r="H19" s="4">
        <v>3168200.37</v>
      </c>
      <c r="I19" s="4"/>
      <c r="J19" s="4">
        <v>313331</v>
      </c>
      <c r="K19" s="4">
        <f t="shared" si="2"/>
        <v>313331</v>
      </c>
      <c r="L19" s="4">
        <f t="shared" si="3"/>
        <v>3481531.37</v>
      </c>
      <c r="M19" s="4">
        <f t="shared" si="4"/>
        <v>18468.629999999888</v>
      </c>
      <c r="N19" s="4">
        <f>500000-500000</f>
        <v>0</v>
      </c>
      <c r="O19" s="4">
        <f t="shared" si="5"/>
        <v>0</v>
      </c>
      <c r="P19" s="4">
        <f t="shared" si="6"/>
        <v>18468.629999999888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1"/>
        <v>0</v>
      </c>
      <c r="V19" s="4"/>
      <c r="W19" s="4">
        <f t="shared" si="9"/>
        <v>0</v>
      </c>
      <c r="X19" s="4"/>
      <c r="Y19" s="4"/>
      <c r="Z19" s="3"/>
      <c r="AA19" s="323" t="s">
        <v>496</v>
      </c>
      <c r="AB19" s="3">
        <v>810000</v>
      </c>
      <c r="AC19" s="4"/>
      <c r="AD19" s="4"/>
      <c r="AE19" s="4"/>
      <c r="AF19" s="4"/>
      <c r="AG19" s="4"/>
      <c r="AH19" s="4"/>
      <c r="AI19" s="4"/>
      <c r="AJ19" s="4"/>
      <c r="AK19" s="4"/>
      <c r="AL19" s="4">
        <f t="shared" si="17"/>
        <v>0</v>
      </c>
      <c r="AM19" s="4"/>
      <c r="AN19" s="4">
        <f t="shared" si="11"/>
        <v>0</v>
      </c>
      <c r="AO19" s="4">
        <f t="shared" si="12"/>
        <v>0</v>
      </c>
      <c r="AP19" s="499"/>
      <c r="AQ19" s="499">
        <f t="shared" si="13"/>
        <v>0</v>
      </c>
      <c r="AR19" s="499"/>
      <c r="AS19" s="4"/>
      <c r="AT19" s="4"/>
      <c r="AU19" s="499"/>
      <c r="AV19" s="499">
        <f t="shared" si="14"/>
        <v>0</v>
      </c>
      <c r="AW19" s="499"/>
      <c r="AX19" s="4"/>
      <c r="AY19" s="4"/>
      <c r="AZ19" s="499"/>
      <c r="BA19" s="499">
        <f t="shared" si="15"/>
        <v>0</v>
      </c>
      <c r="BB19" s="499"/>
      <c r="BC19" s="499"/>
      <c r="BD19" s="499"/>
      <c r="BE19" s="29"/>
      <c r="BF19" s="29"/>
      <c r="BG19" s="29"/>
      <c r="BH19" s="29"/>
      <c r="BI19" s="28"/>
    </row>
    <row r="20" spans="1:61" s="5" customFormat="1" ht="19.95" customHeight="1">
      <c r="A20" s="3">
        <f t="shared" si="16"/>
        <v>14</v>
      </c>
      <c r="B20" s="188">
        <v>1481</v>
      </c>
      <c r="C20" s="188" t="s">
        <v>1250</v>
      </c>
      <c r="D20" s="4">
        <v>6980000</v>
      </c>
      <c r="E20" s="4">
        <v>6980000</v>
      </c>
      <c r="F20" s="4">
        <f t="shared" si="0"/>
        <v>0</v>
      </c>
      <c r="G20" s="4">
        <v>6980000</v>
      </c>
      <c r="H20" s="4">
        <v>6730488.3799999999</v>
      </c>
      <c r="I20" s="4"/>
      <c r="J20" s="4">
        <v>24359</v>
      </c>
      <c r="K20" s="4">
        <f t="shared" si="2"/>
        <v>24359</v>
      </c>
      <c r="L20" s="4">
        <f t="shared" si="3"/>
        <v>6754847.3799999999</v>
      </c>
      <c r="M20" s="4">
        <f t="shared" si="4"/>
        <v>225152.62000000011</v>
      </c>
      <c r="N20" s="4"/>
      <c r="O20" s="4">
        <f t="shared" si="5"/>
        <v>0</v>
      </c>
      <c r="P20" s="4">
        <f t="shared" si="6"/>
        <v>225152.62000000011</v>
      </c>
      <c r="Q20" s="4"/>
      <c r="R20" s="4"/>
      <c r="S20" s="4">
        <f t="shared" si="7"/>
        <v>0</v>
      </c>
      <c r="T20" s="4">
        <f t="shared" si="8"/>
        <v>0</v>
      </c>
      <c r="U20" s="4">
        <f t="shared" si="1"/>
        <v>0</v>
      </c>
      <c r="V20" s="4"/>
      <c r="W20" s="4">
        <f t="shared" si="9"/>
        <v>0</v>
      </c>
      <c r="X20" s="4"/>
      <c r="Y20" s="4"/>
      <c r="Z20" s="3"/>
      <c r="AA20" s="323"/>
      <c r="AB20" s="3">
        <v>743000</v>
      </c>
      <c r="AC20" s="4"/>
      <c r="AD20" s="4"/>
      <c r="AE20" s="4"/>
      <c r="AF20" s="4"/>
      <c r="AG20" s="4"/>
      <c r="AH20" s="4"/>
      <c r="AI20" s="4"/>
      <c r="AJ20" s="4"/>
      <c r="AK20" s="4"/>
      <c r="AL20" s="4">
        <f t="shared" si="17"/>
        <v>0</v>
      </c>
      <c r="AM20" s="4"/>
      <c r="AN20" s="4">
        <f t="shared" si="11"/>
        <v>0</v>
      </c>
      <c r="AO20" s="4">
        <f t="shared" si="12"/>
        <v>0</v>
      </c>
      <c r="AP20" s="499"/>
      <c r="AQ20" s="499">
        <f t="shared" si="13"/>
        <v>0</v>
      </c>
      <c r="AR20" s="499"/>
      <c r="AS20" s="4"/>
      <c r="AT20" s="4"/>
      <c r="AU20" s="499"/>
      <c r="AV20" s="499">
        <f t="shared" si="14"/>
        <v>0</v>
      </c>
      <c r="AW20" s="499"/>
      <c r="AX20" s="4"/>
      <c r="AY20" s="4"/>
      <c r="AZ20" s="499"/>
      <c r="BA20" s="499">
        <f t="shared" si="15"/>
        <v>0</v>
      </c>
      <c r="BB20" s="499"/>
      <c r="BC20" s="499"/>
      <c r="BD20" s="499"/>
      <c r="BE20" s="29"/>
      <c r="BF20" s="29"/>
      <c r="BG20" s="29"/>
      <c r="BH20" s="29"/>
      <c r="BI20" s="28"/>
    </row>
    <row r="21" spans="1:61" s="5" customFormat="1" ht="19.95" customHeight="1">
      <c r="A21" s="3">
        <f t="shared" si="16"/>
        <v>15</v>
      </c>
      <c r="B21" s="188">
        <v>1482</v>
      </c>
      <c r="C21" s="188" t="s">
        <v>1251</v>
      </c>
      <c r="D21" s="4">
        <v>1450000</v>
      </c>
      <c r="E21" s="4">
        <v>1450000</v>
      </c>
      <c r="F21" s="4">
        <f t="shared" si="0"/>
        <v>0</v>
      </c>
      <c r="G21" s="4">
        <v>1450000</v>
      </c>
      <c r="H21" s="4">
        <v>1391606.01</v>
      </c>
      <c r="I21" s="4"/>
      <c r="J21" s="4">
        <v>17207.22</v>
      </c>
      <c r="K21" s="4">
        <f t="shared" si="2"/>
        <v>17207.22</v>
      </c>
      <c r="L21" s="4">
        <f t="shared" si="3"/>
        <v>1408813.23</v>
      </c>
      <c r="M21" s="4">
        <f t="shared" si="4"/>
        <v>41186.770000000019</v>
      </c>
      <c r="N21" s="4"/>
      <c r="O21" s="4">
        <f t="shared" si="5"/>
        <v>0</v>
      </c>
      <c r="P21" s="4">
        <f t="shared" si="6"/>
        <v>41186.770000000019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1"/>
        <v>0</v>
      </c>
      <c r="V21" s="4"/>
      <c r="W21" s="4">
        <f t="shared" si="9"/>
        <v>0</v>
      </c>
      <c r="X21" s="4"/>
      <c r="Y21" s="4"/>
      <c r="Z21" s="3"/>
      <c r="AA21" s="323"/>
      <c r="AB21" s="3">
        <v>810000</v>
      </c>
      <c r="AC21" s="4"/>
      <c r="AD21" s="4"/>
      <c r="AE21" s="4"/>
      <c r="AF21" s="4"/>
      <c r="AG21" s="4"/>
      <c r="AH21" s="4"/>
      <c r="AI21" s="4"/>
      <c r="AJ21" s="4"/>
      <c r="AK21" s="4"/>
      <c r="AL21" s="4">
        <f t="shared" si="17"/>
        <v>0</v>
      </c>
      <c r="AM21" s="4"/>
      <c r="AN21" s="4">
        <f t="shared" si="11"/>
        <v>0</v>
      </c>
      <c r="AO21" s="4">
        <f t="shared" si="12"/>
        <v>0</v>
      </c>
      <c r="AP21" s="499"/>
      <c r="AQ21" s="499">
        <f t="shared" si="13"/>
        <v>0</v>
      </c>
      <c r="AR21" s="499"/>
      <c r="AS21" s="4"/>
      <c r="AT21" s="4"/>
      <c r="AU21" s="499"/>
      <c r="AV21" s="499">
        <f t="shared" si="14"/>
        <v>0</v>
      </c>
      <c r="AW21" s="499"/>
      <c r="AX21" s="4"/>
      <c r="AY21" s="4"/>
      <c r="AZ21" s="499"/>
      <c r="BA21" s="499">
        <f t="shared" si="15"/>
        <v>0</v>
      </c>
      <c r="BB21" s="499"/>
      <c r="BC21" s="499"/>
      <c r="BD21" s="499"/>
      <c r="BE21" s="29"/>
      <c r="BF21" s="29"/>
      <c r="BG21" s="29"/>
      <c r="BH21" s="29"/>
      <c r="BI21" s="28"/>
    </row>
    <row r="22" spans="1:61" s="5" customFormat="1" ht="19.95" customHeight="1">
      <c r="A22" s="3">
        <f t="shared" si="16"/>
        <v>16</v>
      </c>
      <c r="B22" s="3">
        <v>1483</v>
      </c>
      <c r="C22" s="3" t="s">
        <v>64</v>
      </c>
      <c r="D22" s="4">
        <v>2700000</v>
      </c>
      <c r="E22" s="4">
        <v>2700000</v>
      </c>
      <c r="F22" s="4">
        <f t="shared" si="0"/>
        <v>0</v>
      </c>
      <c r="G22" s="4">
        <v>1800000</v>
      </c>
      <c r="H22" s="4">
        <v>1506475.21</v>
      </c>
      <c r="I22" s="4"/>
      <c r="J22" s="4">
        <v>293000</v>
      </c>
      <c r="K22" s="4">
        <f t="shared" si="2"/>
        <v>293000</v>
      </c>
      <c r="L22" s="4">
        <f t="shared" si="3"/>
        <v>1799475.21</v>
      </c>
      <c r="M22" s="4">
        <f t="shared" si="4"/>
        <v>524.79000000003725</v>
      </c>
      <c r="N22" s="4">
        <v>300000</v>
      </c>
      <c r="O22" s="4">
        <f t="shared" si="5"/>
        <v>600000</v>
      </c>
      <c r="P22" s="4">
        <f t="shared" si="6"/>
        <v>524.79000000003725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1"/>
        <v>300000</v>
      </c>
      <c r="V22" s="4"/>
      <c r="W22" s="4">
        <f t="shared" si="9"/>
        <v>300000</v>
      </c>
      <c r="X22" s="4"/>
      <c r="Y22" s="4"/>
      <c r="Z22" s="3"/>
      <c r="AA22" s="323" t="s">
        <v>497</v>
      </c>
      <c r="AB22" s="3">
        <v>812000</v>
      </c>
      <c r="AC22" s="4"/>
      <c r="AD22" s="4">
        <v>300000</v>
      </c>
      <c r="AE22" s="4"/>
      <c r="AF22" s="4"/>
      <c r="AG22" s="4"/>
      <c r="AH22" s="4"/>
      <c r="AI22" s="4"/>
      <c r="AJ22" s="4"/>
      <c r="AK22" s="4"/>
      <c r="AL22" s="4">
        <f t="shared" si="17"/>
        <v>300000</v>
      </c>
      <c r="AM22" s="4"/>
      <c r="AN22" s="4">
        <f t="shared" si="11"/>
        <v>300000</v>
      </c>
      <c r="AO22" s="4">
        <f t="shared" si="12"/>
        <v>0</v>
      </c>
      <c r="AP22" s="499"/>
      <c r="AQ22" s="499">
        <f t="shared" si="13"/>
        <v>300000</v>
      </c>
      <c r="AR22" s="499"/>
      <c r="AS22" s="4"/>
      <c r="AT22" s="4"/>
      <c r="AU22" s="499"/>
      <c r="AV22" s="499">
        <f t="shared" si="14"/>
        <v>0</v>
      </c>
      <c r="AW22" s="499"/>
      <c r="AX22" s="4"/>
      <c r="AY22" s="4"/>
      <c r="AZ22" s="499"/>
      <c r="BA22" s="499">
        <f t="shared" si="15"/>
        <v>0</v>
      </c>
      <c r="BB22" s="499"/>
      <c r="BC22" s="499"/>
      <c r="BD22" s="499"/>
      <c r="BE22" s="29"/>
      <c r="BF22" s="29"/>
      <c r="BG22" s="29"/>
      <c r="BH22" s="29"/>
      <c r="BI22" s="28"/>
    </row>
    <row r="23" spans="1:61" s="5" customFormat="1" ht="19.95" customHeight="1">
      <c r="A23" s="3">
        <f t="shared" si="16"/>
        <v>17</v>
      </c>
      <c r="B23" s="3">
        <v>1489</v>
      </c>
      <c r="C23" s="3" t="s">
        <v>498</v>
      </c>
      <c r="D23" s="4">
        <f>46200000+3800000-3800000</f>
        <v>46200000</v>
      </c>
      <c r="E23" s="4">
        <v>46200000</v>
      </c>
      <c r="F23" s="4">
        <f t="shared" si="0"/>
        <v>0</v>
      </c>
      <c r="G23" s="4">
        <v>40000000</v>
      </c>
      <c r="H23" s="4">
        <v>28740714.640000001</v>
      </c>
      <c r="I23" s="4"/>
      <c r="J23" s="4">
        <v>9135671</v>
      </c>
      <c r="K23" s="4">
        <f t="shared" si="2"/>
        <v>9135671</v>
      </c>
      <c r="L23" s="4">
        <f t="shared" si="3"/>
        <v>37876385.640000001</v>
      </c>
      <c r="M23" s="4">
        <f t="shared" si="4"/>
        <v>2123614.3599999994</v>
      </c>
      <c r="N23" s="4">
        <f>10000000-3000000-3000000</f>
        <v>4000000</v>
      </c>
      <c r="O23" s="4">
        <f t="shared" si="5"/>
        <v>2200000</v>
      </c>
      <c r="P23" s="4">
        <f t="shared" si="6"/>
        <v>2123614.3599999994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1"/>
        <v>4000000</v>
      </c>
      <c r="V23" s="4"/>
      <c r="W23" s="4">
        <f t="shared" si="9"/>
        <v>4000000</v>
      </c>
      <c r="X23" s="4"/>
      <c r="Y23" s="4"/>
      <c r="Z23" s="3"/>
      <c r="AA23" s="323" t="s">
        <v>768</v>
      </c>
      <c r="AB23" s="3">
        <v>742000</v>
      </c>
      <c r="AC23" s="4"/>
      <c r="AD23" s="4">
        <v>1300000</v>
      </c>
      <c r="AE23" s="4"/>
      <c r="AF23" s="4"/>
      <c r="AG23" s="4">
        <v>1500000</v>
      </c>
      <c r="AH23" s="4"/>
      <c r="AI23" s="4"/>
      <c r="AJ23" s="4">
        <v>600000</v>
      </c>
      <c r="AK23" s="4">
        <v>600000</v>
      </c>
      <c r="AL23" s="4">
        <f t="shared" si="17"/>
        <v>4000000</v>
      </c>
      <c r="AM23" s="4"/>
      <c r="AN23" s="4">
        <f t="shared" si="11"/>
        <v>4000000</v>
      </c>
      <c r="AO23" s="4">
        <f t="shared" si="12"/>
        <v>0</v>
      </c>
      <c r="AP23" s="499"/>
      <c r="AQ23" s="499">
        <f t="shared" si="13"/>
        <v>4000000</v>
      </c>
      <c r="AR23" s="499"/>
      <c r="AS23" s="4"/>
      <c r="AT23" s="4"/>
      <c r="AU23" s="499"/>
      <c r="AV23" s="499">
        <f t="shared" si="14"/>
        <v>0</v>
      </c>
      <c r="AW23" s="499"/>
      <c r="AX23" s="4"/>
      <c r="AY23" s="4"/>
      <c r="AZ23" s="499"/>
      <c r="BA23" s="499">
        <f t="shared" si="15"/>
        <v>0</v>
      </c>
      <c r="BB23" s="499"/>
      <c r="BC23" s="499"/>
      <c r="BD23" s="499"/>
      <c r="BE23" s="29"/>
      <c r="BF23" s="29"/>
      <c r="BG23" s="29"/>
      <c r="BH23" s="29"/>
      <c r="BI23" s="28"/>
    </row>
    <row r="24" spans="1:61" s="5" customFormat="1" ht="19.95" customHeight="1">
      <c r="A24" s="3">
        <f t="shared" si="16"/>
        <v>18</v>
      </c>
      <c r="B24" s="3">
        <v>1560</v>
      </c>
      <c r="C24" s="3" t="s">
        <v>65</v>
      </c>
      <c r="D24" s="4">
        <f>3660000+1000000+80000-980000</f>
        <v>3760000</v>
      </c>
      <c r="E24" s="4">
        <v>3660000</v>
      </c>
      <c r="F24" s="4">
        <f t="shared" si="0"/>
        <v>100000</v>
      </c>
      <c r="G24" s="4">
        <v>3260000</v>
      </c>
      <c r="H24" s="4">
        <v>2620318.96</v>
      </c>
      <c r="I24" s="4">
        <v>261185</v>
      </c>
      <c r="J24" s="4">
        <v>346182</v>
      </c>
      <c r="K24" s="4">
        <f t="shared" si="2"/>
        <v>607367</v>
      </c>
      <c r="L24" s="4">
        <f t="shared" si="3"/>
        <v>3227685.96</v>
      </c>
      <c r="M24" s="4">
        <f t="shared" si="4"/>
        <v>32314.040000000037</v>
      </c>
      <c r="N24" s="4">
        <f>800000+80000+460000+50000+30000+60000-980000</f>
        <v>500000</v>
      </c>
      <c r="O24" s="4">
        <f t="shared" si="5"/>
        <v>0</v>
      </c>
      <c r="P24" s="4">
        <f t="shared" si="6"/>
        <v>32314.040000000037</v>
      </c>
      <c r="Q24" s="4"/>
      <c r="R24" s="4"/>
      <c r="S24" s="4">
        <f t="shared" si="7"/>
        <v>0</v>
      </c>
      <c r="T24" s="4">
        <f t="shared" si="8"/>
        <v>0</v>
      </c>
      <c r="U24" s="4">
        <f t="shared" si="1"/>
        <v>500000</v>
      </c>
      <c r="V24" s="4"/>
      <c r="W24" s="4">
        <f t="shared" si="9"/>
        <v>500000</v>
      </c>
      <c r="X24" s="4"/>
      <c r="Y24" s="4"/>
      <c r="Z24" s="3"/>
      <c r="AA24" s="323" t="s">
        <v>635</v>
      </c>
      <c r="AB24" s="3">
        <v>746000</v>
      </c>
      <c r="AC24" s="4"/>
      <c r="AD24" s="4">
        <v>250000</v>
      </c>
      <c r="AE24" s="4">
        <v>100000</v>
      </c>
      <c r="AF24" s="4">
        <v>150000</v>
      </c>
      <c r="AG24" s="4"/>
      <c r="AH24" s="4"/>
      <c r="AI24" s="4"/>
      <c r="AJ24" s="4"/>
      <c r="AK24" s="4"/>
      <c r="AL24" s="4">
        <f t="shared" si="17"/>
        <v>500000</v>
      </c>
      <c r="AM24" s="4"/>
      <c r="AN24" s="4">
        <f t="shared" si="11"/>
        <v>500000</v>
      </c>
      <c r="AO24" s="4">
        <f t="shared" si="12"/>
        <v>0</v>
      </c>
      <c r="AP24" s="499"/>
      <c r="AQ24" s="499">
        <f t="shared" si="13"/>
        <v>500000</v>
      </c>
      <c r="AR24" s="499"/>
      <c r="AS24" s="4"/>
      <c r="AT24" s="4"/>
      <c r="AU24" s="499"/>
      <c r="AV24" s="499">
        <f t="shared" si="14"/>
        <v>0</v>
      </c>
      <c r="AW24" s="499"/>
      <c r="AX24" s="4"/>
      <c r="AY24" s="4"/>
      <c r="AZ24" s="499"/>
      <c r="BA24" s="499">
        <f t="shared" si="15"/>
        <v>0</v>
      </c>
      <c r="BB24" s="499"/>
      <c r="BC24" s="499"/>
      <c r="BD24" s="499"/>
      <c r="BE24" s="29"/>
      <c r="BF24" s="29"/>
      <c r="BG24" s="29"/>
      <c r="BH24" s="29"/>
      <c r="BI24" s="28"/>
    </row>
    <row r="25" spans="1:61" s="5" customFormat="1" ht="19.95" customHeight="1">
      <c r="A25" s="3">
        <f t="shared" si="16"/>
        <v>19</v>
      </c>
      <c r="B25" s="3">
        <v>1662</v>
      </c>
      <c r="C25" s="3" t="s">
        <v>171</v>
      </c>
      <c r="D25" s="4">
        <v>815000</v>
      </c>
      <c r="E25" s="4">
        <v>815000</v>
      </c>
      <c r="F25" s="4">
        <f t="shared" si="0"/>
        <v>0</v>
      </c>
      <c r="G25" s="4">
        <v>425000</v>
      </c>
      <c r="H25" s="4">
        <v>241865.62</v>
      </c>
      <c r="I25" s="4"/>
      <c r="J25" s="4"/>
      <c r="K25" s="4">
        <f t="shared" si="2"/>
        <v>0</v>
      </c>
      <c r="L25" s="4">
        <f t="shared" si="3"/>
        <v>241865.62</v>
      </c>
      <c r="M25" s="4">
        <f t="shared" si="4"/>
        <v>573134.38</v>
      </c>
      <c r="N25" s="4"/>
      <c r="O25" s="4">
        <f t="shared" si="5"/>
        <v>0</v>
      </c>
      <c r="P25" s="4">
        <f t="shared" si="6"/>
        <v>183134.38</v>
      </c>
      <c r="Q25" s="4">
        <v>390000</v>
      </c>
      <c r="R25" s="4"/>
      <c r="S25" s="4">
        <f t="shared" si="7"/>
        <v>390000</v>
      </c>
      <c r="T25" s="4">
        <f t="shared" si="8"/>
        <v>0</v>
      </c>
      <c r="U25" s="4">
        <f t="shared" si="1"/>
        <v>0</v>
      </c>
      <c r="V25" s="4"/>
      <c r="W25" s="4">
        <f t="shared" si="9"/>
        <v>0</v>
      </c>
      <c r="X25" s="4"/>
      <c r="Y25" s="4"/>
      <c r="Z25" s="3"/>
      <c r="AA25" s="323"/>
      <c r="AB25" s="3">
        <v>870000</v>
      </c>
      <c r="AC25" s="4"/>
      <c r="AD25" s="4"/>
      <c r="AE25" s="4"/>
      <c r="AF25" s="4"/>
      <c r="AG25" s="4"/>
      <c r="AH25" s="4"/>
      <c r="AI25" s="4"/>
      <c r="AJ25" s="4"/>
      <c r="AK25" s="4"/>
      <c r="AL25" s="4">
        <f t="shared" si="17"/>
        <v>0</v>
      </c>
      <c r="AM25" s="4"/>
      <c r="AN25" s="4">
        <f t="shared" si="11"/>
        <v>0</v>
      </c>
      <c r="AO25" s="4">
        <f t="shared" si="12"/>
        <v>0</v>
      </c>
      <c r="AP25" s="499"/>
      <c r="AQ25" s="499">
        <f t="shared" si="13"/>
        <v>0</v>
      </c>
      <c r="AR25" s="499"/>
      <c r="AS25" s="4"/>
      <c r="AT25" s="4"/>
      <c r="AU25" s="499"/>
      <c r="AV25" s="499">
        <f t="shared" si="14"/>
        <v>0</v>
      </c>
      <c r="AW25" s="499"/>
      <c r="AX25" s="4"/>
      <c r="AY25" s="4"/>
      <c r="AZ25" s="499"/>
      <c r="BA25" s="499">
        <f t="shared" si="15"/>
        <v>0</v>
      </c>
      <c r="BB25" s="499"/>
      <c r="BC25" s="499"/>
      <c r="BD25" s="499"/>
      <c r="BE25" s="29"/>
      <c r="BF25" s="29"/>
      <c r="BG25" s="29"/>
      <c r="BH25" s="29"/>
      <c r="BI25" s="28"/>
    </row>
    <row r="26" spans="1:61" s="5" customFormat="1" ht="27.6">
      <c r="A26" s="3">
        <f t="shared" si="16"/>
        <v>20</v>
      </c>
      <c r="B26" s="188">
        <v>1676</v>
      </c>
      <c r="C26" s="188" t="s">
        <v>1252</v>
      </c>
      <c r="D26" s="4">
        <f>43215000-450000</f>
        <v>42765000</v>
      </c>
      <c r="E26" s="4">
        <v>43215000</v>
      </c>
      <c r="F26" s="4">
        <f t="shared" si="0"/>
        <v>-450000</v>
      </c>
      <c r="G26" s="4">
        <v>43215000</v>
      </c>
      <c r="H26" s="4">
        <v>42484661.57</v>
      </c>
      <c r="I26" s="4">
        <v>209870.43</v>
      </c>
      <c r="J26" s="4">
        <v>586.61</v>
      </c>
      <c r="K26" s="4">
        <f t="shared" si="2"/>
        <v>210457.03999999998</v>
      </c>
      <c r="L26" s="4">
        <f t="shared" si="3"/>
        <v>42695118.609999999</v>
      </c>
      <c r="M26" s="4">
        <f>P26+S26-450000</f>
        <v>69881.390000000596</v>
      </c>
      <c r="N26" s="4"/>
      <c r="O26" s="4">
        <f t="shared" si="5"/>
        <v>0</v>
      </c>
      <c r="P26" s="4">
        <f t="shared" si="6"/>
        <v>519881.3900000006</v>
      </c>
      <c r="Q26" s="4"/>
      <c r="R26" s="4"/>
      <c r="S26" s="4">
        <f t="shared" si="7"/>
        <v>0</v>
      </c>
      <c r="T26" s="4">
        <f t="shared" si="8"/>
        <v>450000</v>
      </c>
      <c r="U26" s="4">
        <f t="shared" si="1"/>
        <v>-450000</v>
      </c>
      <c r="V26" s="4"/>
      <c r="W26" s="4">
        <f t="shared" si="9"/>
        <v>-450000</v>
      </c>
      <c r="X26" s="4"/>
      <c r="Y26" s="4"/>
      <c r="Z26" s="3"/>
      <c r="AA26" s="323"/>
      <c r="AB26" s="3">
        <v>810000</v>
      </c>
      <c r="AC26" s="4"/>
      <c r="AD26" s="4"/>
      <c r="AE26" s="4"/>
      <c r="AF26" s="4"/>
      <c r="AG26" s="4"/>
      <c r="AH26" s="4"/>
      <c r="AI26" s="4">
        <v>-450000</v>
      </c>
      <c r="AJ26" s="4"/>
      <c r="AK26" s="4"/>
      <c r="AL26" s="4">
        <f t="shared" si="17"/>
        <v>-450000</v>
      </c>
      <c r="AM26" s="4"/>
      <c r="AN26" s="4">
        <f t="shared" si="11"/>
        <v>-450000</v>
      </c>
      <c r="AO26" s="4">
        <f t="shared" si="12"/>
        <v>0</v>
      </c>
      <c r="AP26" s="499"/>
      <c r="AQ26" s="499">
        <f t="shared" si="13"/>
        <v>-450000</v>
      </c>
      <c r="AR26" s="499"/>
      <c r="AS26" s="4"/>
      <c r="AT26" s="4"/>
      <c r="AU26" s="499"/>
      <c r="AV26" s="499">
        <f t="shared" si="14"/>
        <v>0</v>
      </c>
      <c r="AW26" s="499"/>
      <c r="AX26" s="4"/>
      <c r="AY26" s="4"/>
      <c r="AZ26" s="499"/>
      <c r="BA26" s="499">
        <f t="shared" si="15"/>
        <v>0</v>
      </c>
      <c r="BB26" s="499"/>
      <c r="BC26" s="499"/>
      <c r="BD26" s="499"/>
      <c r="BE26" s="29"/>
      <c r="BF26" s="29"/>
      <c r="BG26" s="29"/>
      <c r="BH26" s="29"/>
      <c r="BI26" s="28"/>
    </row>
    <row r="27" spans="1:61" s="5" customFormat="1" ht="19.95" customHeight="1">
      <c r="A27" s="3">
        <f t="shared" si="16"/>
        <v>21</v>
      </c>
      <c r="B27" s="3">
        <v>1677</v>
      </c>
      <c r="C27" s="3" t="s">
        <v>67</v>
      </c>
      <c r="D27" s="4">
        <v>18500000</v>
      </c>
      <c r="E27" s="4">
        <v>18500000</v>
      </c>
      <c r="F27" s="4">
        <f t="shared" si="0"/>
        <v>0</v>
      </c>
      <c r="G27" s="4">
        <v>18500000</v>
      </c>
      <c r="H27" s="4">
        <v>17903593.199999999</v>
      </c>
      <c r="I27" s="4">
        <v>302080</v>
      </c>
      <c r="J27" s="4">
        <v>232254</v>
      </c>
      <c r="K27" s="4">
        <f t="shared" si="2"/>
        <v>534334</v>
      </c>
      <c r="L27" s="4">
        <f t="shared" si="3"/>
        <v>18437927.199999999</v>
      </c>
      <c r="M27" s="4">
        <f t="shared" si="4"/>
        <v>62072.800000000745</v>
      </c>
      <c r="N27" s="4"/>
      <c r="O27" s="4">
        <f t="shared" si="5"/>
        <v>0</v>
      </c>
      <c r="P27" s="4">
        <f t="shared" si="6"/>
        <v>62072.800000000745</v>
      </c>
      <c r="Q27" s="4"/>
      <c r="R27" s="4"/>
      <c r="S27" s="4">
        <f t="shared" si="7"/>
        <v>0</v>
      </c>
      <c r="T27" s="4">
        <f t="shared" si="8"/>
        <v>0</v>
      </c>
      <c r="U27" s="4">
        <f t="shared" si="1"/>
        <v>0</v>
      </c>
      <c r="V27" s="4"/>
      <c r="W27" s="4">
        <f t="shared" si="9"/>
        <v>0</v>
      </c>
      <c r="X27" s="4"/>
      <c r="Y27" s="4"/>
      <c r="Z27" s="3"/>
      <c r="AA27" s="323"/>
      <c r="AB27" s="3">
        <v>810000</v>
      </c>
      <c r="AC27" s="4"/>
      <c r="AD27" s="4"/>
      <c r="AE27" s="4"/>
      <c r="AF27" s="4"/>
      <c r="AG27" s="4"/>
      <c r="AH27" s="4"/>
      <c r="AI27" s="4"/>
      <c r="AJ27" s="4"/>
      <c r="AK27" s="4"/>
      <c r="AL27" s="4">
        <f t="shared" si="17"/>
        <v>0</v>
      </c>
      <c r="AM27" s="4"/>
      <c r="AN27" s="4">
        <f t="shared" si="11"/>
        <v>0</v>
      </c>
      <c r="AO27" s="4">
        <f t="shared" si="12"/>
        <v>0</v>
      </c>
      <c r="AP27" s="499"/>
      <c r="AQ27" s="499">
        <f t="shared" si="13"/>
        <v>0</v>
      </c>
      <c r="AR27" s="499"/>
      <c r="AS27" s="4"/>
      <c r="AT27" s="4"/>
      <c r="AU27" s="499"/>
      <c r="AV27" s="499">
        <f t="shared" si="14"/>
        <v>0</v>
      </c>
      <c r="AW27" s="499"/>
      <c r="AX27" s="4"/>
      <c r="AY27" s="4"/>
      <c r="AZ27" s="499"/>
      <c r="BA27" s="499">
        <f t="shared" si="15"/>
        <v>0</v>
      </c>
      <c r="BB27" s="499"/>
      <c r="BC27" s="499"/>
      <c r="BD27" s="499"/>
      <c r="BE27" s="29"/>
      <c r="BF27" s="29"/>
      <c r="BG27" s="29"/>
      <c r="BH27" s="29"/>
      <c r="BI27" s="28"/>
    </row>
    <row r="28" spans="1:61" s="5" customFormat="1" ht="19.95" customHeight="1">
      <c r="A28" s="3">
        <f t="shared" si="16"/>
        <v>22</v>
      </c>
      <c r="B28" s="3">
        <v>1691</v>
      </c>
      <c r="C28" s="3" t="s">
        <v>208</v>
      </c>
      <c r="D28" s="4">
        <v>210000</v>
      </c>
      <c r="E28" s="4">
        <v>210000</v>
      </c>
      <c r="F28" s="4">
        <f t="shared" si="0"/>
        <v>0</v>
      </c>
      <c r="G28" s="4">
        <v>210000</v>
      </c>
      <c r="H28" s="4">
        <v>184253.53</v>
      </c>
      <c r="I28" s="4"/>
      <c r="J28" s="4"/>
      <c r="K28" s="4">
        <f t="shared" si="2"/>
        <v>0</v>
      </c>
      <c r="L28" s="4">
        <f t="shared" si="3"/>
        <v>184253.53</v>
      </c>
      <c r="M28" s="4">
        <f t="shared" si="4"/>
        <v>25746.47</v>
      </c>
      <c r="N28" s="4"/>
      <c r="O28" s="4">
        <f t="shared" si="5"/>
        <v>0</v>
      </c>
      <c r="P28" s="4">
        <f t="shared" si="6"/>
        <v>25746.47</v>
      </c>
      <c r="Q28" s="4"/>
      <c r="R28" s="4"/>
      <c r="S28" s="4">
        <f t="shared" si="7"/>
        <v>0</v>
      </c>
      <c r="T28" s="4">
        <f t="shared" si="8"/>
        <v>0</v>
      </c>
      <c r="U28" s="4">
        <f t="shared" si="1"/>
        <v>0</v>
      </c>
      <c r="V28" s="4"/>
      <c r="W28" s="4">
        <f t="shared" si="9"/>
        <v>0</v>
      </c>
      <c r="X28" s="4"/>
      <c r="Y28" s="4"/>
      <c r="Z28" s="3"/>
      <c r="AA28" s="323"/>
      <c r="AB28" s="3">
        <v>810000</v>
      </c>
      <c r="AC28" s="4"/>
      <c r="AD28" s="4"/>
      <c r="AE28" s="4"/>
      <c r="AF28" s="4"/>
      <c r="AG28" s="4"/>
      <c r="AH28" s="4"/>
      <c r="AI28" s="4"/>
      <c r="AJ28" s="4"/>
      <c r="AK28" s="4"/>
      <c r="AL28" s="4">
        <f t="shared" si="17"/>
        <v>0</v>
      </c>
      <c r="AM28" s="4"/>
      <c r="AN28" s="4">
        <f t="shared" si="11"/>
        <v>0</v>
      </c>
      <c r="AO28" s="4">
        <f t="shared" si="12"/>
        <v>0</v>
      </c>
      <c r="AP28" s="499"/>
      <c r="AQ28" s="499">
        <f t="shared" si="13"/>
        <v>0</v>
      </c>
      <c r="AR28" s="499"/>
      <c r="AS28" s="4"/>
      <c r="AT28" s="4"/>
      <c r="AU28" s="499"/>
      <c r="AV28" s="499">
        <f t="shared" si="14"/>
        <v>0</v>
      </c>
      <c r="AW28" s="499"/>
      <c r="AX28" s="4"/>
      <c r="AY28" s="4"/>
      <c r="AZ28" s="499"/>
      <c r="BA28" s="499">
        <f t="shared" si="15"/>
        <v>0</v>
      </c>
      <c r="BB28" s="499"/>
      <c r="BC28" s="499"/>
      <c r="BD28" s="499"/>
      <c r="BE28" s="29"/>
      <c r="BF28" s="29"/>
      <c r="BG28" s="29"/>
      <c r="BH28" s="29"/>
      <c r="BI28" s="28"/>
    </row>
    <row r="29" spans="1:61" s="5" customFormat="1" ht="19.95" customHeight="1">
      <c r="A29" s="3">
        <f t="shared" si="16"/>
        <v>23</v>
      </c>
      <c r="B29" s="188">
        <v>1711</v>
      </c>
      <c r="C29" s="188" t="s">
        <v>1253</v>
      </c>
      <c r="D29" s="4">
        <f>445000-60000</f>
        <v>385000</v>
      </c>
      <c r="E29" s="4">
        <v>445000</v>
      </c>
      <c r="F29" s="4">
        <f t="shared" si="0"/>
        <v>-60000</v>
      </c>
      <c r="G29" s="4">
        <v>425000</v>
      </c>
      <c r="H29" s="4">
        <v>326380.49</v>
      </c>
      <c r="I29" s="4"/>
      <c r="J29" s="4">
        <v>10077.280000000001</v>
      </c>
      <c r="K29" s="4">
        <f t="shared" si="2"/>
        <v>10077.280000000001</v>
      </c>
      <c r="L29" s="4">
        <f t="shared" si="3"/>
        <v>336457.77</v>
      </c>
      <c r="M29" s="4">
        <f>P29+S29-40000</f>
        <v>48542.229999999981</v>
      </c>
      <c r="N29" s="4"/>
      <c r="O29" s="4">
        <f t="shared" si="5"/>
        <v>0</v>
      </c>
      <c r="P29" s="4">
        <f t="shared" si="6"/>
        <v>88542.229999999981</v>
      </c>
      <c r="Q29" s="4"/>
      <c r="R29" s="4"/>
      <c r="S29" s="4">
        <f t="shared" si="7"/>
        <v>0</v>
      </c>
      <c r="T29" s="4">
        <f t="shared" si="8"/>
        <v>40000</v>
      </c>
      <c r="U29" s="4">
        <f t="shared" si="1"/>
        <v>-40000</v>
      </c>
      <c r="V29" s="4"/>
      <c r="W29" s="4">
        <f t="shared" si="9"/>
        <v>-40000</v>
      </c>
      <c r="X29" s="4"/>
      <c r="Y29" s="4"/>
      <c r="Z29" s="3"/>
      <c r="AA29" s="462"/>
      <c r="AB29" s="3">
        <v>810000</v>
      </c>
      <c r="AC29" s="4"/>
      <c r="AD29" s="4"/>
      <c r="AE29" s="4">
        <v>-40000</v>
      </c>
      <c r="AF29" s="4"/>
      <c r="AG29" s="4"/>
      <c r="AH29" s="4"/>
      <c r="AI29" s="4"/>
      <c r="AJ29" s="4"/>
      <c r="AK29" s="4"/>
      <c r="AL29" s="4">
        <f t="shared" si="17"/>
        <v>-40000</v>
      </c>
      <c r="AM29" s="4"/>
      <c r="AN29" s="4">
        <f t="shared" si="11"/>
        <v>-40000</v>
      </c>
      <c r="AO29" s="4">
        <f t="shared" si="12"/>
        <v>0</v>
      </c>
      <c r="AP29" s="499"/>
      <c r="AQ29" s="499">
        <f t="shared" si="13"/>
        <v>-40000</v>
      </c>
      <c r="AR29" s="499"/>
      <c r="AS29" s="4"/>
      <c r="AT29" s="4"/>
      <c r="AU29" s="499"/>
      <c r="AV29" s="499">
        <f t="shared" si="14"/>
        <v>0</v>
      </c>
      <c r="AW29" s="499"/>
      <c r="AX29" s="4"/>
      <c r="AY29" s="4"/>
      <c r="AZ29" s="499"/>
      <c r="BA29" s="499">
        <f t="shared" si="15"/>
        <v>0</v>
      </c>
      <c r="BB29" s="499"/>
      <c r="BC29" s="499"/>
      <c r="BD29" s="499"/>
      <c r="BE29" s="29"/>
      <c r="BF29" s="29"/>
      <c r="BG29" s="29"/>
      <c r="BH29" s="29"/>
      <c r="BI29" s="28"/>
    </row>
    <row r="30" spans="1:61" s="5" customFormat="1" ht="19.95" customHeight="1">
      <c r="A30" s="3">
        <f t="shared" si="16"/>
        <v>24</v>
      </c>
      <c r="B30" s="188">
        <v>1769</v>
      </c>
      <c r="C30" s="188" t="s">
        <v>1254</v>
      </c>
      <c r="D30" s="4">
        <v>4870000</v>
      </c>
      <c r="E30" s="4">
        <v>4870000</v>
      </c>
      <c r="F30" s="4">
        <f t="shared" si="0"/>
        <v>0</v>
      </c>
      <c r="G30" s="4">
        <v>4870000</v>
      </c>
      <c r="H30" s="4">
        <v>4767927.57</v>
      </c>
      <c r="I30" s="4">
        <v>65828.67</v>
      </c>
      <c r="J30" s="4"/>
      <c r="K30" s="4">
        <f t="shared" si="2"/>
        <v>65828.67</v>
      </c>
      <c r="L30" s="4">
        <f t="shared" si="3"/>
        <v>4833756.24</v>
      </c>
      <c r="M30" s="4">
        <f t="shared" si="4"/>
        <v>36243.759999999776</v>
      </c>
      <c r="N30" s="4"/>
      <c r="O30" s="4">
        <f t="shared" si="5"/>
        <v>0</v>
      </c>
      <c r="P30" s="4">
        <f t="shared" si="6"/>
        <v>36243.759999999776</v>
      </c>
      <c r="Q30" s="4"/>
      <c r="R30" s="4"/>
      <c r="S30" s="4">
        <f t="shared" si="7"/>
        <v>0</v>
      </c>
      <c r="T30" s="4">
        <f t="shared" si="8"/>
        <v>0</v>
      </c>
      <c r="U30" s="4">
        <f t="shared" si="1"/>
        <v>0</v>
      </c>
      <c r="V30" s="4"/>
      <c r="W30" s="4">
        <f t="shared" si="9"/>
        <v>0</v>
      </c>
      <c r="X30" s="4"/>
      <c r="Y30" s="4"/>
      <c r="Z30" s="3"/>
      <c r="AA30" s="323"/>
      <c r="AB30" s="3">
        <v>810000</v>
      </c>
      <c r="AC30" s="198"/>
      <c r="AD30" s="340"/>
      <c r="AE30" s="340"/>
      <c r="AF30" s="340"/>
      <c r="AG30" s="340"/>
      <c r="AH30" s="340"/>
      <c r="AI30" s="340"/>
      <c r="AJ30" s="340"/>
      <c r="AK30" s="340"/>
      <c r="AL30" s="4">
        <f t="shared" si="17"/>
        <v>0</v>
      </c>
      <c r="AM30" s="4"/>
      <c r="AN30" s="4">
        <f t="shared" si="11"/>
        <v>0</v>
      </c>
      <c r="AO30" s="4">
        <f t="shared" si="12"/>
        <v>0</v>
      </c>
      <c r="AP30" s="499"/>
      <c r="AQ30" s="499">
        <f t="shared" si="13"/>
        <v>0</v>
      </c>
      <c r="AR30" s="499"/>
      <c r="AS30" s="4"/>
      <c r="AT30" s="4"/>
      <c r="AU30" s="499"/>
      <c r="AV30" s="499">
        <f t="shared" si="14"/>
        <v>0</v>
      </c>
      <c r="AW30" s="499"/>
      <c r="AX30" s="4"/>
      <c r="AY30" s="4"/>
      <c r="AZ30" s="499"/>
      <c r="BA30" s="499">
        <f t="shared" si="15"/>
        <v>0</v>
      </c>
      <c r="BB30" s="499"/>
      <c r="BC30" s="499"/>
      <c r="BD30" s="499"/>
      <c r="BE30" s="29"/>
      <c r="BF30" s="29"/>
      <c r="BG30" s="29"/>
      <c r="BH30" s="29"/>
      <c r="BI30" s="28"/>
    </row>
    <row r="31" spans="1:61" s="5" customFormat="1" ht="27.6">
      <c r="A31" s="3">
        <f t="shared" si="16"/>
        <v>25</v>
      </c>
      <c r="B31" s="3">
        <v>1770</v>
      </c>
      <c r="C31" s="3" t="s">
        <v>499</v>
      </c>
      <c r="D31" s="4">
        <v>29752105</v>
      </c>
      <c r="E31" s="4">
        <v>29752105</v>
      </c>
      <c r="F31" s="4">
        <f t="shared" si="0"/>
        <v>0</v>
      </c>
      <c r="G31" s="4">
        <v>29752105</v>
      </c>
      <c r="H31" s="4">
        <v>26831640.559999999</v>
      </c>
      <c r="I31" s="4">
        <v>2156197.21</v>
      </c>
      <c r="J31" s="4">
        <f>2681924-2156296</f>
        <v>525628</v>
      </c>
      <c r="K31" s="4">
        <f t="shared" si="2"/>
        <v>2681825.21</v>
      </c>
      <c r="L31" s="4">
        <f t="shared" si="3"/>
        <v>29513465.77</v>
      </c>
      <c r="M31" s="4">
        <f t="shared" si="4"/>
        <v>238639.23000000045</v>
      </c>
      <c r="N31" s="4"/>
      <c r="O31" s="4">
        <f t="shared" si="5"/>
        <v>0</v>
      </c>
      <c r="P31" s="4">
        <f t="shared" si="6"/>
        <v>238639.23000000045</v>
      </c>
      <c r="Q31" s="4"/>
      <c r="R31" s="4"/>
      <c r="S31" s="4">
        <f t="shared" si="7"/>
        <v>0</v>
      </c>
      <c r="T31" s="4">
        <f t="shared" si="8"/>
        <v>0</v>
      </c>
      <c r="U31" s="4">
        <f t="shared" si="1"/>
        <v>0</v>
      </c>
      <c r="V31" s="4"/>
      <c r="W31" s="4">
        <f t="shared" si="9"/>
        <v>0</v>
      </c>
      <c r="X31" s="4"/>
      <c r="Y31" s="4"/>
      <c r="Z31" s="3"/>
      <c r="AA31" s="323"/>
      <c r="AB31" s="3">
        <v>810000</v>
      </c>
      <c r="AC31" s="4"/>
      <c r="AD31" s="4"/>
      <c r="AE31" s="4"/>
      <c r="AF31" s="4"/>
      <c r="AG31" s="4"/>
      <c r="AH31" s="4"/>
      <c r="AI31" s="4"/>
      <c r="AJ31" s="4"/>
      <c r="AK31" s="4"/>
      <c r="AL31" s="4">
        <f t="shared" si="17"/>
        <v>0</v>
      </c>
      <c r="AM31" s="4"/>
      <c r="AN31" s="4">
        <f t="shared" si="11"/>
        <v>0</v>
      </c>
      <c r="AO31" s="4">
        <f t="shared" si="12"/>
        <v>0</v>
      </c>
      <c r="AP31" s="499"/>
      <c r="AQ31" s="499">
        <f t="shared" si="13"/>
        <v>0</v>
      </c>
      <c r="AR31" s="499"/>
      <c r="AS31" s="4"/>
      <c r="AT31" s="4"/>
      <c r="AU31" s="499"/>
      <c r="AV31" s="499">
        <f t="shared" si="14"/>
        <v>0</v>
      </c>
      <c r="AW31" s="499"/>
      <c r="AX31" s="4"/>
      <c r="AY31" s="4"/>
      <c r="AZ31" s="499"/>
      <c r="BA31" s="499">
        <f t="shared" si="15"/>
        <v>0</v>
      </c>
      <c r="BB31" s="499"/>
      <c r="BC31" s="499"/>
      <c r="BD31" s="499"/>
      <c r="BE31" s="29"/>
      <c r="BF31" s="29"/>
      <c r="BG31" s="29"/>
      <c r="BH31" s="29"/>
      <c r="BI31" s="28"/>
    </row>
    <row r="32" spans="1:61" s="5" customFormat="1" ht="19.95" customHeight="1">
      <c r="A32" s="3">
        <f t="shared" si="16"/>
        <v>26</v>
      </c>
      <c r="B32" s="3">
        <v>1773</v>
      </c>
      <c r="C32" s="3" t="s">
        <v>132</v>
      </c>
      <c r="D32" s="4">
        <v>1500000</v>
      </c>
      <c r="E32" s="4">
        <v>1500000</v>
      </c>
      <c r="F32" s="4">
        <f t="shared" si="0"/>
        <v>0</v>
      </c>
      <c r="G32" s="4">
        <v>500000</v>
      </c>
      <c r="H32" s="4">
        <v>119925</v>
      </c>
      <c r="I32" s="4">
        <v>58000</v>
      </c>
      <c r="J32" s="4"/>
      <c r="K32" s="4">
        <f t="shared" si="2"/>
        <v>58000</v>
      </c>
      <c r="L32" s="4">
        <f t="shared" si="3"/>
        <v>177925</v>
      </c>
      <c r="M32" s="4">
        <f t="shared" si="4"/>
        <v>822075</v>
      </c>
      <c r="N32" s="4">
        <v>500000</v>
      </c>
      <c r="O32" s="4">
        <f t="shared" si="5"/>
        <v>0</v>
      </c>
      <c r="P32" s="4">
        <f t="shared" si="6"/>
        <v>322075</v>
      </c>
      <c r="Q32" s="4">
        <v>500000</v>
      </c>
      <c r="R32" s="4"/>
      <c r="S32" s="4">
        <f t="shared" si="7"/>
        <v>500000</v>
      </c>
      <c r="T32" s="4">
        <f t="shared" si="8"/>
        <v>0</v>
      </c>
      <c r="U32" s="4">
        <f t="shared" si="1"/>
        <v>500000</v>
      </c>
      <c r="V32" s="4"/>
      <c r="W32" s="4">
        <f t="shared" si="9"/>
        <v>500000</v>
      </c>
      <c r="X32" s="4"/>
      <c r="Y32" s="4"/>
      <c r="Z32" s="3"/>
      <c r="AA32" s="323" t="s">
        <v>500</v>
      </c>
      <c r="AB32" s="3">
        <v>746000</v>
      </c>
      <c r="AC32" s="4">
        <v>500000</v>
      </c>
      <c r="AD32" s="4"/>
      <c r="AE32" s="4"/>
      <c r="AF32" s="4"/>
      <c r="AG32" s="4"/>
      <c r="AH32" s="4"/>
      <c r="AI32" s="4"/>
      <c r="AJ32" s="4"/>
      <c r="AK32" s="4"/>
      <c r="AL32" s="4">
        <f t="shared" si="17"/>
        <v>500000</v>
      </c>
      <c r="AM32" s="4"/>
      <c r="AN32" s="4">
        <f t="shared" si="11"/>
        <v>500000</v>
      </c>
      <c r="AO32" s="4">
        <f t="shared" si="12"/>
        <v>0</v>
      </c>
      <c r="AP32" s="499"/>
      <c r="AQ32" s="499">
        <f t="shared" si="13"/>
        <v>500000</v>
      </c>
      <c r="AR32" s="499"/>
      <c r="AS32" s="4"/>
      <c r="AT32" s="4"/>
      <c r="AU32" s="499"/>
      <c r="AV32" s="499">
        <f t="shared" si="14"/>
        <v>0</v>
      </c>
      <c r="AW32" s="499"/>
      <c r="AX32" s="4"/>
      <c r="AY32" s="4"/>
      <c r="AZ32" s="499"/>
      <c r="BA32" s="499">
        <f t="shared" si="15"/>
        <v>0</v>
      </c>
      <c r="BB32" s="499"/>
      <c r="BC32" s="499"/>
      <c r="BD32" s="499"/>
      <c r="BE32" s="29"/>
      <c r="BF32" s="29"/>
      <c r="BG32" s="29"/>
      <c r="BH32" s="29"/>
      <c r="BI32" s="28"/>
    </row>
    <row r="33" spans="1:61" s="5" customFormat="1" ht="19.95" customHeight="1">
      <c r="A33" s="3">
        <f t="shared" si="16"/>
        <v>27</v>
      </c>
      <c r="B33" s="3">
        <v>1794</v>
      </c>
      <c r="C33" s="3" t="s">
        <v>142</v>
      </c>
      <c r="D33" s="4">
        <f>975000+125000</f>
        <v>1100000</v>
      </c>
      <c r="E33" s="4">
        <f>850000+125000</f>
        <v>975000</v>
      </c>
      <c r="F33" s="4">
        <f t="shared" si="0"/>
        <v>125000</v>
      </c>
      <c r="G33" s="4">
        <v>975000</v>
      </c>
      <c r="H33" s="4">
        <v>363860.26</v>
      </c>
      <c r="I33" s="4">
        <v>59582.23</v>
      </c>
      <c r="J33" s="4">
        <v>546083</v>
      </c>
      <c r="K33" s="4">
        <f t="shared" si="2"/>
        <v>605665.23</v>
      </c>
      <c r="L33" s="4">
        <f t="shared" si="3"/>
        <v>969525.49</v>
      </c>
      <c r="M33" s="4">
        <f t="shared" si="4"/>
        <v>5474.5100000000093</v>
      </c>
      <c r="N33" s="4">
        <v>125000</v>
      </c>
      <c r="O33" s="4">
        <f t="shared" si="5"/>
        <v>0</v>
      </c>
      <c r="P33" s="4">
        <f t="shared" si="6"/>
        <v>5474.5100000000093</v>
      </c>
      <c r="Q33" s="4"/>
      <c r="R33" s="4"/>
      <c r="S33" s="4">
        <f t="shared" si="7"/>
        <v>0</v>
      </c>
      <c r="T33" s="4">
        <f t="shared" si="8"/>
        <v>0</v>
      </c>
      <c r="U33" s="4">
        <f t="shared" si="1"/>
        <v>125000</v>
      </c>
      <c r="V33" s="4"/>
      <c r="W33" s="4">
        <f t="shared" si="9"/>
        <v>125000</v>
      </c>
      <c r="X33" s="4"/>
      <c r="Y33" s="4"/>
      <c r="Z33" s="3"/>
      <c r="AA33" s="323" t="s">
        <v>501</v>
      </c>
      <c r="AB33" s="3">
        <v>850000</v>
      </c>
      <c r="AC33" s="4"/>
      <c r="AD33" s="4">
        <v>125000</v>
      </c>
      <c r="AE33" s="4"/>
      <c r="AF33" s="4"/>
      <c r="AG33" s="4"/>
      <c r="AH33" s="4"/>
      <c r="AI33" s="4"/>
      <c r="AJ33" s="4"/>
      <c r="AK33" s="4"/>
      <c r="AL33" s="4">
        <f t="shared" si="17"/>
        <v>125000</v>
      </c>
      <c r="AM33" s="4"/>
      <c r="AN33" s="4">
        <f t="shared" si="11"/>
        <v>125000</v>
      </c>
      <c r="AO33" s="4">
        <f t="shared" si="12"/>
        <v>0</v>
      </c>
      <c r="AP33" s="499"/>
      <c r="AQ33" s="499">
        <f t="shared" si="13"/>
        <v>125000</v>
      </c>
      <c r="AR33" s="499"/>
      <c r="AS33" s="4"/>
      <c r="AT33" s="4"/>
      <c r="AU33" s="499"/>
      <c r="AV33" s="499">
        <f t="shared" si="14"/>
        <v>0</v>
      </c>
      <c r="AW33" s="499"/>
      <c r="AX33" s="4"/>
      <c r="AY33" s="4"/>
      <c r="AZ33" s="499"/>
      <c r="BA33" s="499">
        <f t="shared" si="15"/>
        <v>0</v>
      </c>
      <c r="BB33" s="499"/>
      <c r="BC33" s="499"/>
      <c r="BD33" s="499"/>
      <c r="BE33" s="29"/>
      <c r="BF33" s="29"/>
      <c r="BG33" s="29"/>
      <c r="BH33" s="29"/>
      <c r="BI33" s="28"/>
    </row>
    <row r="34" spans="1:61" s="5" customFormat="1" ht="19.95" customHeight="1">
      <c r="A34" s="3">
        <f t="shared" si="16"/>
        <v>28</v>
      </c>
      <c r="B34" s="3">
        <v>1848</v>
      </c>
      <c r="C34" s="3" t="s">
        <v>164</v>
      </c>
      <c r="D34" s="4">
        <v>700000</v>
      </c>
      <c r="E34" s="4">
        <v>600000</v>
      </c>
      <c r="F34" s="4">
        <f t="shared" si="0"/>
        <v>100000</v>
      </c>
      <c r="G34" s="4">
        <v>500000</v>
      </c>
      <c r="H34" s="4">
        <v>497437.17</v>
      </c>
      <c r="I34" s="4"/>
      <c r="J34" s="4"/>
      <c r="K34" s="4">
        <f t="shared" si="2"/>
        <v>0</v>
      </c>
      <c r="L34" s="4">
        <f t="shared" si="3"/>
        <v>497437.17</v>
      </c>
      <c r="M34" s="4">
        <f t="shared" si="4"/>
        <v>2562.8300000000163</v>
      </c>
      <c r="N34" s="4">
        <v>200000</v>
      </c>
      <c r="O34" s="4">
        <f t="shared" si="5"/>
        <v>0</v>
      </c>
      <c r="P34" s="4">
        <f t="shared" si="6"/>
        <v>2562.8300000000163</v>
      </c>
      <c r="Q34" s="4"/>
      <c r="R34" s="4"/>
      <c r="S34" s="4">
        <f t="shared" si="7"/>
        <v>0</v>
      </c>
      <c r="T34" s="4">
        <f t="shared" si="8"/>
        <v>0</v>
      </c>
      <c r="U34" s="4">
        <f t="shared" si="1"/>
        <v>200000</v>
      </c>
      <c r="V34" s="4"/>
      <c r="W34" s="4">
        <f t="shared" si="9"/>
        <v>200000</v>
      </c>
      <c r="X34" s="4"/>
      <c r="Y34" s="4"/>
      <c r="Z34" s="3"/>
      <c r="AA34" s="323" t="s">
        <v>636</v>
      </c>
      <c r="AB34" s="3">
        <v>742000</v>
      </c>
      <c r="AC34" s="4"/>
      <c r="AD34" s="4">
        <v>50000</v>
      </c>
      <c r="AE34" s="4">
        <v>50000</v>
      </c>
      <c r="AF34" s="4"/>
      <c r="AG34" s="4">
        <v>50000</v>
      </c>
      <c r="AH34" s="4">
        <v>50000</v>
      </c>
      <c r="AI34" s="4"/>
      <c r="AJ34" s="4"/>
      <c r="AK34" s="4"/>
      <c r="AL34" s="4">
        <f t="shared" si="17"/>
        <v>200000</v>
      </c>
      <c r="AM34" s="4"/>
      <c r="AN34" s="4">
        <f t="shared" si="11"/>
        <v>200000</v>
      </c>
      <c r="AO34" s="4">
        <f t="shared" si="12"/>
        <v>0</v>
      </c>
      <c r="AP34" s="499"/>
      <c r="AQ34" s="499">
        <f t="shared" si="13"/>
        <v>200000</v>
      </c>
      <c r="AR34" s="499"/>
      <c r="AS34" s="4"/>
      <c r="AT34" s="4"/>
      <c r="AU34" s="499"/>
      <c r="AV34" s="499">
        <f t="shared" si="14"/>
        <v>0</v>
      </c>
      <c r="AW34" s="499"/>
      <c r="AX34" s="4"/>
      <c r="AY34" s="4"/>
      <c r="AZ34" s="499"/>
      <c r="BA34" s="499">
        <f t="shared" si="15"/>
        <v>0</v>
      </c>
      <c r="BB34" s="499"/>
      <c r="BC34" s="499"/>
      <c r="BD34" s="499"/>
      <c r="BE34" s="29"/>
      <c r="BF34" s="29"/>
      <c r="BG34" s="29"/>
      <c r="BH34" s="29"/>
      <c r="BI34" s="28"/>
    </row>
    <row r="35" spans="1:61" s="5" customFormat="1" ht="27.6">
      <c r="A35" s="3">
        <f t="shared" si="16"/>
        <v>29</v>
      </c>
      <c r="B35" s="3">
        <v>1849</v>
      </c>
      <c r="C35" s="3" t="s">
        <v>502</v>
      </c>
      <c r="D35" s="4">
        <v>1400000</v>
      </c>
      <c r="E35" s="4">
        <v>1400000</v>
      </c>
      <c r="F35" s="4">
        <f t="shared" si="0"/>
        <v>0</v>
      </c>
      <c r="G35" s="4">
        <v>1300000</v>
      </c>
      <c r="H35" s="4">
        <v>316485</v>
      </c>
      <c r="I35" s="4"/>
      <c r="J35" s="4"/>
      <c r="K35" s="4">
        <f t="shared" si="2"/>
        <v>0</v>
      </c>
      <c r="L35" s="4">
        <f t="shared" si="3"/>
        <v>316485</v>
      </c>
      <c r="M35" s="4">
        <f t="shared" si="4"/>
        <v>983515</v>
      </c>
      <c r="N35" s="4">
        <v>100000</v>
      </c>
      <c r="O35" s="4">
        <f t="shared" si="5"/>
        <v>0</v>
      </c>
      <c r="P35" s="4">
        <f t="shared" si="6"/>
        <v>983515</v>
      </c>
      <c r="Q35" s="4"/>
      <c r="R35" s="4"/>
      <c r="S35" s="4">
        <f t="shared" si="7"/>
        <v>0</v>
      </c>
      <c r="T35" s="4">
        <f t="shared" si="8"/>
        <v>0</v>
      </c>
      <c r="U35" s="4">
        <f t="shared" si="1"/>
        <v>100000</v>
      </c>
      <c r="V35" s="4"/>
      <c r="W35" s="4">
        <f t="shared" si="9"/>
        <v>100000</v>
      </c>
      <c r="X35" s="4"/>
      <c r="Y35" s="4"/>
      <c r="Z35" s="3"/>
      <c r="AA35" s="323" t="s">
        <v>503</v>
      </c>
      <c r="AB35" s="3">
        <v>743000</v>
      </c>
      <c r="AC35" s="4"/>
      <c r="AD35" s="4">
        <v>100000</v>
      </c>
      <c r="AE35" s="4"/>
      <c r="AF35" s="4"/>
      <c r="AG35" s="4"/>
      <c r="AH35" s="4"/>
      <c r="AI35" s="4"/>
      <c r="AJ35" s="4"/>
      <c r="AK35" s="4"/>
      <c r="AL35" s="4">
        <f t="shared" si="17"/>
        <v>100000</v>
      </c>
      <c r="AM35" s="4"/>
      <c r="AN35" s="4">
        <f t="shared" si="11"/>
        <v>100000</v>
      </c>
      <c r="AO35" s="4">
        <f t="shared" si="12"/>
        <v>0</v>
      </c>
      <c r="AP35" s="499"/>
      <c r="AQ35" s="499">
        <f t="shared" si="13"/>
        <v>100000</v>
      </c>
      <c r="AR35" s="499"/>
      <c r="AS35" s="4"/>
      <c r="AT35" s="4"/>
      <c r="AU35" s="499"/>
      <c r="AV35" s="499">
        <f t="shared" si="14"/>
        <v>0</v>
      </c>
      <c r="AW35" s="499"/>
      <c r="AX35" s="4"/>
      <c r="AY35" s="4"/>
      <c r="AZ35" s="499"/>
      <c r="BA35" s="499">
        <f t="shared" si="15"/>
        <v>0</v>
      </c>
      <c r="BB35" s="499"/>
      <c r="BC35" s="499"/>
      <c r="BD35" s="499"/>
      <c r="BE35" s="29"/>
      <c r="BF35" s="29"/>
      <c r="BG35" s="28"/>
      <c r="BH35" s="28"/>
      <c r="BI35" s="28"/>
    </row>
    <row r="36" spans="1:61" s="5" customFormat="1" ht="19.95" customHeight="1">
      <c r="A36" s="3">
        <f t="shared" si="16"/>
        <v>30</v>
      </c>
      <c r="B36" s="3">
        <v>1850</v>
      </c>
      <c r="C36" s="3" t="s">
        <v>766</v>
      </c>
      <c r="D36" s="4">
        <v>14600000</v>
      </c>
      <c r="E36" s="4">
        <v>14600000</v>
      </c>
      <c r="F36" s="4">
        <f t="shared" si="0"/>
        <v>0</v>
      </c>
      <c r="G36" s="4">
        <v>3080000</v>
      </c>
      <c r="H36" s="4">
        <v>1188851</v>
      </c>
      <c r="I36" s="4"/>
      <c r="J36" s="4">
        <v>1268465</v>
      </c>
      <c r="K36" s="4">
        <f t="shared" si="2"/>
        <v>1268465</v>
      </c>
      <c r="L36" s="4">
        <f t="shared" si="3"/>
        <v>2457316</v>
      </c>
      <c r="M36" s="4">
        <f t="shared" si="4"/>
        <v>622684</v>
      </c>
      <c r="N36" s="4">
        <f>1500000-450000</f>
        <v>1050000</v>
      </c>
      <c r="O36" s="4">
        <f t="shared" si="5"/>
        <v>10470000</v>
      </c>
      <c r="P36" s="4">
        <f t="shared" si="6"/>
        <v>622684</v>
      </c>
      <c r="Q36" s="4"/>
      <c r="R36" s="4"/>
      <c r="S36" s="4"/>
      <c r="T36" s="4">
        <f t="shared" si="8"/>
        <v>0</v>
      </c>
      <c r="U36" s="4">
        <f t="shared" si="1"/>
        <v>1050000</v>
      </c>
      <c r="V36" s="4">
        <f>U36*2/3-700000</f>
        <v>0</v>
      </c>
      <c r="W36" s="4">
        <f t="shared" si="9"/>
        <v>1050000</v>
      </c>
      <c r="X36" s="4"/>
      <c r="Y36" s="4"/>
      <c r="Z36" s="3"/>
      <c r="AA36" s="323" t="s">
        <v>504</v>
      </c>
      <c r="AB36" s="3">
        <v>810000</v>
      </c>
      <c r="AC36" s="4"/>
      <c r="AD36" s="4"/>
      <c r="AE36" s="4">
        <v>700000</v>
      </c>
      <c r="AF36" s="4"/>
      <c r="AG36" s="4"/>
      <c r="AH36" s="4"/>
      <c r="AI36" s="4"/>
      <c r="AJ36" s="4"/>
      <c r="AK36" s="4">
        <v>350000</v>
      </c>
      <c r="AL36" s="4">
        <f t="shared" si="17"/>
        <v>1050000</v>
      </c>
      <c r="AM36" s="4"/>
      <c r="AN36" s="4">
        <f t="shared" si="11"/>
        <v>1050000</v>
      </c>
      <c r="AO36" s="4">
        <f t="shared" si="12"/>
        <v>0</v>
      </c>
      <c r="AP36" s="499"/>
      <c r="AQ36" s="499">
        <f t="shared" si="13"/>
        <v>1050000</v>
      </c>
      <c r="AR36" s="499"/>
      <c r="AS36" s="4"/>
      <c r="AT36" s="4"/>
      <c r="AU36" s="499"/>
      <c r="AV36" s="499">
        <f t="shared" si="14"/>
        <v>0</v>
      </c>
      <c r="AW36" s="499"/>
      <c r="AX36" s="4"/>
      <c r="AY36" s="4"/>
      <c r="AZ36" s="499"/>
      <c r="BA36" s="499">
        <f t="shared" si="15"/>
        <v>0</v>
      </c>
      <c r="BB36" s="499"/>
      <c r="BC36" s="499"/>
      <c r="BD36" s="499"/>
      <c r="BE36" s="29"/>
      <c r="BF36" s="29"/>
      <c r="BG36" s="28"/>
      <c r="BH36" s="28"/>
      <c r="BI36" s="28"/>
    </row>
    <row r="37" spans="1:61" s="364" customFormat="1" ht="27.6">
      <c r="A37" s="3">
        <f t="shared" si="16"/>
        <v>31</v>
      </c>
      <c r="B37" s="188">
        <v>1851</v>
      </c>
      <c r="C37" s="188" t="s">
        <v>1255</v>
      </c>
      <c r="D37" s="4">
        <v>3050000</v>
      </c>
      <c r="E37" s="4">
        <v>3050000</v>
      </c>
      <c r="F37" s="4">
        <f t="shared" si="0"/>
        <v>0</v>
      </c>
      <c r="G37" s="4">
        <v>3050000</v>
      </c>
      <c r="H37" s="4">
        <v>2991435.5</v>
      </c>
      <c r="I37" s="4">
        <v>23133.24</v>
      </c>
      <c r="J37" s="4">
        <v>8424</v>
      </c>
      <c r="K37" s="4">
        <f t="shared" si="2"/>
        <v>31557.24</v>
      </c>
      <c r="L37" s="4">
        <f t="shared" si="3"/>
        <v>3022992.74</v>
      </c>
      <c r="M37" s="4">
        <f t="shared" si="4"/>
        <v>27007.259999999776</v>
      </c>
      <c r="N37" s="4"/>
      <c r="O37" s="4">
        <f t="shared" si="5"/>
        <v>0</v>
      </c>
      <c r="P37" s="4">
        <f t="shared" si="6"/>
        <v>27007.259999999776</v>
      </c>
      <c r="Q37" s="4"/>
      <c r="R37" s="4"/>
      <c r="S37" s="4"/>
      <c r="T37" s="4">
        <f t="shared" si="8"/>
        <v>0</v>
      </c>
      <c r="U37" s="4">
        <f t="shared" si="1"/>
        <v>0</v>
      </c>
      <c r="V37" s="4"/>
      <c r="W37" s="4">
        <f t="shared" si="9"/>
        <v>0</v>
      </c>
      <c r="X37" s="4"/>
      <c r="Y37" s="4"/>
      <c r="Z37" s="3"/>
      <c r="AA37" s="323"/>
      <c r="AB37" s="3">
        <v>810000</v>
      </c>
      <c r="AC37" s="4"/>
      <c r="AD37" s="4"/>
      <c r="AE37" s="4"/>
      <c r="AF37" s="4"/>
      <c r="AG37" s="4"/>
      <c r="AH37" s="4"/>
      <c r="AI37" s="4"/>
      <c r="AJ37" s="4"/>
      <c r="AK37" s="4"/>
      <c r="AL37" s="4">
        <f t="shared" si="17"/>
        <v>0</v>
      </c>
      <c r="AM37" s="4"/>
      <c r="AN37" s="4">
        <f t="shared" si="11"/>
        <v>0</v>
      </c>
      <c r="AO37" s="4">
        <f t="shared" si="12"/>
        <v>0</v>
      </c>
      <c r="AP37" s="499"/>
      <c r="AQ37" s="499">
        <f t="shared" si="13"/>
        <v>0</v>
      </c>
      <c r="AR37" s="499"/>
      <c r="AS37" s="4"/>
      <c r="AT37" s="4"/>
      <c r="AU37" s="499"/>
      <c r="AV37" s="499">
        <f t="shared" si="14"/>
        <v>0</v>
      </c>
      <c r="AW37" s="499"/>
      <c r="AX37" s="4"/>
      <c r="AY37" s="4"/>
      <c r="AZ37" s="499"/>
      <c r="BA37" s="499">
        <f t="shared" si="15"/>
        <v>0</v>
      </c>
      <c r="BB37" s="499"/>
      <c r="BC37" s="499"/>
      <c r="BD37" s="499"/>
      <c r="BE37" s="362"/>
      <c r="BF37" s="362"/>
      <c r="BG37" s="362"/>
      <c r="BH37" s="362"/>
      <c r="BI37" s="363"/>
    </row>
    <row r="38" spans="1:61" s="5" customFormat="1" ht="19.95" customHeight="1">
      <c r="A38" s="3">
        <f t="shared" si="16"/>
        <v>32</v>
      </c>
      <c r="B38" s="3">
        <v>1853</v>
      </c>
      <c r="C38" s="3" t="s">
        <v>165</v>
      </c>
      <c r="D38" s="4">
        <v>410000</v>
      </c>
      <c r="E38" s="4">
        <v>310000</v>
      </c>
      <c r="F38" s="4">
        <f t="shared" si="0"/>
        <v>100000</v>
      </c>
      <c r="G38" s="4">
        <v>310000</v>
      </c>
      <c r="H38" s="4">
        <v>117609</v>
      </c>
      <c r="I38" s="4">
        <v>5148</v>
      </c>
      <c r="J38" s="4">
        <v>184063</v>
      </c>
      <c r="K38" s="4">
        <f t="shared" si="2"/>
        <v>189211</v>
      </c>
      <c r="L38" s="4">
        <f t="shared" si="3"/>
        <v>306820</v>
      </c>
      <c r="M38" s="4">
        <f t="shared" si="4"/>
        <v>3180</v>
      </c>
      <c r="N38" s="4">
        <v>100000</v>
      </c>
      <c r="O38" s="4">
        <f t="shared" si="5"/>
        <v>0</v>
      </c>
      <c r="P38" s="4">
        <f t="shared" si="6"/>
        <v>3180</v>
      </c>
      <c r="Q38" s="4"/>
      <c r="R38" s="4"/>
      <c r="S38" s="4">
        <f t="shared" si="7"/>
        <v>0</v>
      </c>
      <c r="T38" s="4">
        <f t="shared" si="8"/>
        <v>0</v>
      </c>
      <c r="U38" s="4">
        <f t="shared" si="1"/>
        <v>100000</v>
      </c>
      <c r="V38" s="4"/>
      <c r="W38" s="4">
        <f t="shared" si="9"/>
        <v>100000</v>
      </c>
      <c r="X38" s="4"/>
      <c r="Y38" s="4"/>
      <c r="Z38" s="3"/>
      <c r="AA38" s="323" t="s">
        <v>505</v>
      </c>
      <c r="AB38" s="3">
        <v>824000</v>
      </c>
      <c r="AC38" s="4">
        <v>100000</v>
      </c>
      <c r="AD38" s="4"/>
      <c r="AE38" s="4"/>
      <c r="AF38" s="4"/>
      <c r="AG38" s="4"/>
      <c r="AH38" s="4"/>
      <c r="AI38" s="4"/>
      <c r="AJ38" s="4"/>
      <c r="AK38" s="4"/>
      <c r="AL38" s="4">
        <f t="shared" si="17"/>
        <v>100000</v>
      </c>
      <c r="AM38" s="4"/>
      <c r="AN38" s="4">
        <f t="shared" si="11"/>
        <v>100000</v>
      </c>
      <c r="AO38" s="4">
        <f t="shared" si="12"/>
        <v>0</v>
      </c>
      <c r="AP38" s="499"/>
      <c r="AQ38" s="499">
        <f t="shared" si="13"/>
        <v>100000</v>
      </c>
      <c r="AR38" s="499"/>
      <c r="AS38" s="4"/>
      <c r="AT38" s="4"/>
      <c r="AU38" s="499"/>
      <c r="AV38" s="499">
        <f t="shared" si="14"/>
        <v>0</v>
      </c>
      <c r="AW38" s="499"/>
      <c r="AX38" s="4"/>
      <c r="AY38" s="4"/>
      <c r="AZ38" s="499"/>
      <c r="BA38" s="499">
        <f t="shared" si="15"/>
        <v>0</v>
      </c>
      <c r="BB38" s="499"/>
      <c r="BC38" s="499"/>
      <c r="BD38" s="499"/>
      <c r="BE38" s="29"/>
      <c r="BF38" s="29"/>
      <c r="BG38" s="29"/>
      <c r="BH38" s="29"/>
      <c r="BI38" s="28"/>
    </row>
    <row r="39" spans="1:61" s="5" customFormat="1" ht="19.95" customHeight="1">
      <c r="A39" s="3">
        <f t="shared" si="16"/>
        <v>33</v>
      </c>
      <c r="B39" s="3">
        <v>1883</v>
      </c>
      <c r="C39" s="3" t="s">
        <v>166</v>
      </c>
      <c r="D39" s="4">
        <f>26115000+100000</f>
        <v>26215000</v>
      </c>
      <c r="E39" s="4">
        <f>25480000+635000</f>
        <v>26115000</v>
      </c>
      <c r="F39" s="4">
        <f t="shared" si="0"/>
        <v>100000</v>
      </c>
      <c r="G39" s="4">
        <v>26115000</v>
      </c>
      <c r="H39" s="4">
        <v>15254644.43</v>
      </c>
      <c r="I39" s="4">
        <v>9525412</v>
      </c>
      <c r="J39" s="4">
        <v>521548.07</v>
      </c>
      <c r="K39" s="4">
        <f t="shared" si="2"/>
        <v>10046960.07</v>
      </c>
      <c r="L39" s="4">
        <f t="shared" si="3"/>
        <v>25301604.5</v>
      </c>
      <c r="M39" s="4">
        <f t="shared" si="4"/>
        <v>813395.5</v>
      </c>
      <c r="N39" s="4">
        <v>100000</v>
      </c>
      <c r="O39" s="4">
        <f t="shared" si="5"/>
        <v>0</v>
      </c>
      <c r="P39" s="4">
        <f t="shared" si="6"/>
        <v>813395.5</v>
      </c>
      <c r="Q39" s="89"/>
      <c r="R39" s="4"/>
      <c r="S39" s="4">
        <f t="shared" si="7"/>
        <v>0</v>
      </c>
      <c r="T39" s="4">
        <f t="shared" si="8"/>
        <v>0</v>
      </c>
      <c r="U39" s="4">
        <f t="shared" si="1"/>
        <v>100000</v>
      </c>
      <c r="V39" s="4"/>
      <c r="W39" s="4">
        <f t="shared" si="9"/>
        <v>100000</v>
      </c>
      <c r="X39" s="4"/>
      <c r="Y39" s="4"/>
      <c r="Z39" s="3"/>
      <c r="AA39" s="323" t="s">
        <v>769</v>
      </c>
      <c r="AB39" s="3">
        <v>810000</v>
      </c>
      <c r="AC39" s="4">
        <v>100000</v>
      </c>
      <c r="AD39" s="4"/>
      <c r="AE39" s="4"/>
      <c r="AF39" s="4"/>
      <c r="AG39" s="4"/>
      <c r="AH39" s="4"/>
      <c r="AI39" s="4"/>
      <c r="AJ39" s="4"/>
      <c r="AK39" s="4"/>
      <c r="AL39" s="4">
        <f t="shared" si="17"/>
        <v>100000</v>
      </c>
      <c r="AM39" s="4"/>
      <c r="AN39" s="4">
        <f t="shared" si="11"/>
        <v>100000</v>
      </c>
      <c r="AO39" s="4">
        <f t="shared" si="12"/>
        <v>0</v>
      </c>
      <c r="AP39" s="499"/>
      <c r="AQ39" s="499">
        <f t="shared" si="13"/>
        <v>100000</v>
      </c>
      <c r="AR39" s="499"/>
      <c r="AS39" s="4"/>
      <c r="AT39" s="4"/>
      <c r="AU39" s="499"/>
      <c r="AV39" s="499">
        <f t="shared" si="14"/>
        <v>0</v>
      </c>
      <c r="AW39" s="499"/>
      <c r="AX39" s="4"/>
      <c r="AY39" s="4"/>
      <c r="AZ39" s="499"/>
      <c r="BA39" s="499">
        <f t="shared" si="15"/>
        <v>0</v>
      </c>
      <c r="BB39" s="499"/>
      <c r="BC39" s="499"/>
      <c r="BD39" s="499"/>
      <c r="BE39" s="29"/>
      <c r="BF39" s="29"/>
      <c r="BG39" s="28"/>
      <c r="BH39" s="28"/>
      <c r="BI39" s="28"/>
    </row>
    <row r="40" spans="1:61" s="5" customFormat="1" ht="19.95" customHeight="1">
      <c r="A40" s="3">
        <f t="shared" si="16"/>
        <v>34</v>
      </c>
      <c r="B40" s="188">
        <v>1884</v>
      </c>
      <c r="C40" s="188" t="s">
        <v>1256</v>
      </c>
      <c r="D40" s="4">
        <v>2100000</v>
      </c>
      <c r="E40" s="4">
        <v>2100000</v>
      </c>
      <c r="F40" s="4"/>
      <c r="G40" s="4">
        <v>2100000</v>
      </c>
      <c r="H40" s="4">
        <v>2069481.78</v>
      </c>
      <c r="I40" s="4"/>
      <c r="J40" s="4">
        <v>28954.57</v>
      </c>
      <c r="K40" s="4">
        <f t="shared" si="2"/>
        <v>28954.57</v>
      </c>
      <c r="L40" s="4">
        <f t="shared" si="3"/>
        <v>2098436.35</v>
      </c>
      <c r="M40" s="4">
        <f t="shared" si="4"/>
        <v>1563.6499999999069</v>
      </c>
      <c r="N40" s="4"/>
      <c r="O40" s="4">
        <f t="shared" si="5"/>
        <v>0</v>
      </c>
      <c r="P40" s="4">
        <f t="shared" si="6"/>
        <v>1563.6499999999069</v>
      </c>
      <c r="Q40" s="4"/>
      <c r="R40" s="4"/>
      <c r="S40" s="4">
        <f t="shared" si="7"/>
        <v>0</v>
      </c>
      <c r="T40" s="4">
        <f t="shared" si="8"/>
        <v>0</v>
      </c>
      <c r="U40" s="4">
        <f t="shared" si="1"/>
        <v>0</v>
      </c>
      <c r="V40" s="4"/>
      <c r="W40" s="4">
        <f t="shared" si="9"/>
        <v>0</v>
      </c>
      <c r="X40" s="4"/>
      <c r="Y40" s="4"/>
      <c r="Z40" s="3"/>
      <c r="AA40" s="323"/>
      <c r="AB40" s="3">
        <v>810000</v>
      </c>
      <c r="AC40" s="4"/>
      <c r="AD40" s="4"/>
      <c r="AE40" s="4"/>
      <c r="AF40" s="4"/>
      <c r="AG40" s="4"/>
      <c r="AH40" s="4"/>
      <c r="AI40" s="4"/>
      <c r="AJ40" s="4"/>
      <c r="AK40" s="4"/>
      <c r="AL40" s="4">
        <f t="shared" si="17"/>
        <v>0</v>
      </c>
      <c r="AM40" s="4"/>
      <c r="AN40" s="4">
        <f t="shared" si="11"/>
        <v>0</v>
      </c>
      <c r="AO40" s="4">
        <f t="shared" si="12"/>
        <v>0</v>
      </c>
      <c r="AP40" s="499"/>
      <c r="AQ40" s="499">
        <f t="shared" si="13"/>
        <v>0</v>
      </c>
      <c r="AR40" s="499"/>
      <c r="AS40" s="4"/>
      <c r="AT40" s="4"/>
      <c r="AU40" s="499"/>
      <c r="AV40" s="499">
        <f t="shared" si="14"/>
        <v>0</v>
      </c>
      <c r="AW40" s="499"/>
      <c r="AX40" s="4"/>
      <c r="AY40" s="4"/>
      <c r="AZ40" s="499"/>
      <c r="BA40" s="499">
        <f t="shared" si="15"/>
        <v>0</v>
      </c>
      <c r="BB40" s="499"/>
      <c r="BC40" s="499"/>
      <c r="BD40" s="499"/>
      <c r="BE40" s="29"/>
      <c r="BF40" s="29"/>
      <c r="BG40" s="28"/>
      <c r="BH40" s="28"/>
      <c r="BI40" s="28"/>
    </row>
    <row r="41" spans="1:61" s="5" customFormat="1" ht="19.95" customHeight="1">
      <c r="A41" s="3">
        <f t="shared" si="16"/>
        <v>35</v>
      </c>
      <c r="B41" s="188">
        <v>1885</v>
      </c>
      <c r="C41" s="188" t="s">
        <v>1257</v>
      </c>
      <c r="D41" s="4">
        <v>300000</v>
      </c>
      <c r="E41" s="4">
        <v>300000</v>
      </c>
      <c r="F41" s="4">
        <f t="shared" ref="F41:F67" si="18">D41-E41</f>
        <v>0</v>
      </c>
      <c r="G41" s="4">
        <v>300000</v>
      </c>
      <c r="H41" s="4">
        <v>288973</v>
      </c>
      <c r="I41" s="4">
        <v>2080.2600000000002</v>
      </c>
      <c r="J41" s="4"/>
      <c r="K41" s="4">
        <f t="shared" si="2"/>
        <v>2080.2600000000002</v>
      </c>
      <c r="L41" s="4">
        <f t="shared" si="3"/>
        <v>291053.26</v>
      </c>
      <c r="M41" s="4">
        <f t="shared" si="4"/>
        <v>8946.7399999999907</v>
      </c>
      <c r="N41" s="4"/>
      <c r="O41" s="4">
        <f t="shared" si="5"/>
        <v>0</v>
      </c>
      <c r="P41" s="4">
        <f t="shared" si="6"/>
        <v>8946.7399999999907</v>
      </c>
      <c r="Q41" s="4"/>
      <c r="R41" s="4"/>
      <c r="S41" s="4">
        <f t="shared" si="7"/>
        <v>0</v>
      </c>
      <c r="T41" s="4">
        <f t="shared" si="8"/>
        <v>0</v>
      </c>
      <c r="U41" s="4">
        <f t="shared" si="1"/>
        <v>0</v>
      </c>
      <c r="V41" s="4"/>
      <c r="W41" s="4">
        <f t="shared" si="9"/>
        <v>0</v>
      </c>
      <c r="X41" s="4"/>
      <c r="Y41" s="4"/>
      <c r="Z41" s="3"/>
      <c r="AA41" s="323"/>
      <c r="AB41" s="3">
        <v>810000</v>
      </c>
      <c r="AC41" s="198"/>
      <c r="AD41" s="340"/>
      <c r="AE41" s="340"/>
      <c r="AF41" s="340"/>
      <c r="AG41" s="340"/>
      <c r="AH41" s="340"/>
      <c r="AI41" s="340"/>
      <c r="AJ41" s="340"/>
      <c r="AK41" s="340"/>
      <c r="AL41" s="4">
        <f t="shared" si="17"/>
        <v>0</v>
      </c>
      <c r="AM41" s="4"/>
      <c r="AN41" s="4">
        <f t="shared" si="11"/>
        <v>0</v>
      </c>
      <c r="AO41" s="4">
        <f t="shared" si="12"/>
        <v>0</v>
      </c>
      <c r="AP41" s="499"/>
      <c r="AQ41" s="499">
        <f t="shared" si="13"/>
        <v>0</v>
      </c>
      <c r="AR41" s="499"/>
      <c r="AS41" s="4"/>
      <c r="AT41" s="4"/>
      <c r="AU41" s="499"/>
      <c r="AV41" s="499">
        <f t="shared" si="14"/>
        <v>0</v>
      </c>
      <c r="AW41" s="499"/>
      <c r="AX41" s="4"/>
      <c r="AY41" s="4"/>
      <c r="AZ41" s="499"/>
      <c r="BA41" s="499">
        <f t="shared" si="15"/>
        <v>0</v>
      </c>
      <c r="BB41" s="499"/>
      <c r="BC41" s="499"/>
      <c r="BD41" s="499"/>
      <c r="BE41" s="29"/>
      <c r="BF41" s="29"/>
      <c r="BG41" s="28"/>
      <c r="BH41" s="28"/>
      <c r="BI41" s="28"/>
    </row>
    <row r="42" spans="1:61" s="5" customFormat="1" ht="19.95" customHeight="1">
      <c r="A42" s="3">
        <f t="shared" si="16"/>
        <v>36</v>
      </c>
      <c r="B42" s="188">
        <v>1886</v>
      </c>
      <c r="C42" s="188" t="s">
        <v>968</v>
      </c>
      <c r="D42" s="4">
        <v>4830000</v>
      </c>
      <c r="E42" s="4">
        <v>4830000</v>
      </c>
      <c r="F42" s="4">
        <f t="shared" si="18"/>
        <v>0</v>
      </c>
      <c r="G42" s="4">
        <v>4830000</v>
      </c>
      <c r="H42" s="4">
        <v>4617996.9400000004</v>
      </c>
      <c r="I42" s="4"/>
      <c r="J42" s="4">
        <v>5630</v>
      </c>
      <c r="K42" s="4">
        <f t="shared" si="2"/>
        <v>5630</v>
      </c>
      <c r="L42" s="4">
        <f t="shared" si="3"/>
        <v>4623626.9400000004</v>
      </c>
      <c r="M42" s="4">
        <f t="shared" si="4"/>
        <v>206373.05999999959</v>
      </c>
      <c r="N42" s="4"/>
      <c r="O42" s="4">
        <f t="shared" si="5"/>
        <v>0</v>
      </c>
      <c r="P42" s="4">
        <f t="shared" si="6"/>
        <v>206373.05999999959</v>
      </c>
      <c r="Q42" s="4"/>
      <c r="R42" s="4"/>
      <c r="S42" s="4">
        <f t="shared" si="7"/>
        <v>0</v>
      </c>
      <c r="T42" s="4">
        <f t="shared" si="8"/>
        <v>0</v>
      </c>
      <c r="U42" s="4">
        <f t="shared" si="1"/>
        <v>0</v>
      </c>
      <c r="V42" s="4"/>
      <c r="W42" s="4">
        <f t="shared" si="9"/>
        <v>0</v>
      </c>
      <c r="X42" s="4"/>
      <c r="Y42" s="4"/>
      <c r="Z42" s="3"/>
      <c r="AA42" s="323"/>
      <c r="AB42" s="3">
        <v>810000</v>
      </c>
      <c r="AC42" s="198"/>
      <c r="AD42" s="340"/>
      <c r="AE42" s="340"/>
      <c r="AF42" s="340"/>
      <c r="AG42" s="340"/>
      <c r="AH42" s="340"/>
      <c r="AI42" s="340"/>
      <c r="AJ42" s="340"/>
      <c r="AK42" s="340"/>
      <c r="AL42" s="4">
        <f t="shared" si="17"/>
        <v>0</v>
      </c>
      <c r="AM42" s="4"/>
      <c r="AN42" s="4">
        <f t="shared" si="11"/>
        <v>0</v>
      </c>
      <c r="AO42" s="4">
        <f t="shared" si="12"/>
        <v>0</v>
      </c>
      <c r="AP42" s="499"/>
      <c r="AQ42" s="499">
        <f t="shared" si="13"/>
        <v>0</v>
      </c>
      <c r="AR42" s="499"/>
      <c r="AS42" s="4"/>
      <c r="AT42" s="4"/>
      <c r="AU42" s="499"/>
      <c r="AV42" s="499">
        <f t="shared" si="14"/>
        <v>0</v>
      </c>
      <c r="AW42" s="499"/>
      <c r="AX42" s="4"/>
      <c r="AY42" s="4"/>
      <c r="AZ42" s="499"/>
      <c r="BA42" s="499">
        <f t="shared" si="15"/>
        <v>0</v>
      </c>
      <c r="BB42" s="499"/>
      <c r="BC42" s="499"/>
      <c r="BD42" s="499"/>
      <c r="BE42" s="29"/>
      <c r="BF42" s="29"/>
      <c r="BG42" s="28"/>
      <c r="BH42" s="28"/>
      <c r="BI42" s="28"/>
    </row>
    <row r="43" spans="1:61" s="5" customFormat="1" ht="19.95" customHeight="1">
      <c r="A43" s="3">
        <f t="shared" si="16"/>
        <v>37</v>
      </c>
      <c r="B43" s="3">
        <v>1887</v>
      </c>
      <c r="C43" s="3" t="s">
        <v>167</v>
      </c>
      <c r="D43" s="4">
        <v>5200000</v>
      </c>
      <c r="E43" s="4">
        <v>4200000</v>
      </c>
      <c r="F43" s="4">
        <f t="shared" si="18"/>
        <v>1000000</v>
      </c>
      <c r="G43" s="4">
        <v>4200000</v>
      </c>
      <c r="H43" s="4">
        <v>841218</v>
      </c>
      <c r="I43" s="4">
        <v>41365</v>
      </c>
      <c r="J43" s="4">
        <v>234592</v>
      </c>
      <c r="K43" s="4">
        <f t="shared" si="2"/>
        <v>275957</v>
      </c>
      <c r="L43" s="4">
        <f t="shared" si="3"/>
        <v>1117175</v>
      </c>
      <c r="M43" s="4">
        <f t="shared" si="4"/>
        <v>3082825</v>
      </c>
      <c r="N43" s="4">
        <v>1000000</v>
      </c>
      <c r="O43" s="4">
        <f t="shared" si="5"/>
        <v>0</v>
      </c>
      <c r="P43" s="4">
        <f t="shared" si="6"/>
        <v>3082825</v>
      </c>
      <c r="Q43" s="4"/>
      <c r="R43" s="4"/>
      <c r="S43" s="4">
        <f t="shared" si="7"/>
        <v>0</v>
      </c>
      <c r="T43" s="4">
        <f t="shared" si="8"/>
        <v>0</v>
      </c>
      <c r="U43" s="4">
        <f t="shared" si="1"/>
        <v>1000000</v>
      </c>
      <c r="V43" s="4">
        <f>U43-W43-X43-Y43-Z43</f>
        <v>0</v>
      </c>
      <c r="W43" s="4">
        <v>1000000</v>
      </c>
      <c r="X43" s="4"/>
      <c r="Y43" s="4"/>
      <c r="Z43" s="3"/>
      <c r="AA43" s="323" t="s">
        <v>506</v>
      </c>
      <c r="AB43" s="3">
        <v>810000</v>
      </c>
      <c r="AC43" s="198"/>
      <c r="AD43" s="340"/>
      <c r="AE43" s="340"/>
      <c r="AF43" s="340"/>
      <c r="AG43" s="340"/>
      <c r="AH43" s="4">
        <f>1000000-1000000</f>
        <v>0</v>
      </c>
      <c r="AI43" s="340">
        <f>1000000-1000000</f>
        <v>0</v>
      </c>
      <c r="AJ43" s="340">
        <f>1000000-1000000</f>
        <v>0</v>
      </c>
      <c r="AK43" s="340">
        <f>1000000-1000000</f>
        <v>0</v>
      </c>
      <c r="AL43" s="4">
        <f t="shared" si="17"/>
        <v>0</v>
      </c>
      <c r="AM43" s="4"/>
      <c r="AN43" s="4">
        <f t="shared" si="11"/>
        <v>0</v>
      </c>
      <c r="AO43" s="4">
        <f t="shared" si="12"/>
        <v>1000000</v>
      </c>
      <c r="AP43" s="499"/>
      <c r="AQ43" s="499">
        <f t="shared" si="13"/>
        <v>0</v>
      </c>
      <c r="AR43" s="499"/>
      <c r="AS43" s="4"/>
      <c r="AT43" s="4"/>
      <c r="AU43" s="499"/>
      <c r="AV43" s="499">
        <f t="shared" si="14"/>
        <v>0</v>
      </c>
      <c r="AW43" s="499"/>
      <c r="AX43" s="4"/>
      <c r="AY43" s="4"/>
      <c r="AZ43" s="499"/>
      <c r="BA43" s="499">
        <f t="shared" si="15"/>
        <v>1000000</v>
      </c>
      <c r="BB43" s="499"/>
      <c r="BC43" s="499"/>
      <c r="BD43" s="499"/>
      <c r="BE43" s="29"/>
      <c r="BF43" s="29"/>
      <c r="BG43" s="28"/>
      <c r="BH43" s="28"/>
      <c r="BI43" s="28"/>
    </row>
    <row r="44" spans="1:61" s="5" customFormat="1" ht="27.6">
      <c r="A44" s="3">
        <f t="shared" si="16"/>
        <v>38</v>
      </c>
      <c r="B44" s="188">
        <v>1889</v>
      </c>
      <c r="C44" s="188" t="s">
        <v>1258</v>
      </c>
      <c r="D44" s="4">
        <f>1450000-50000</f>
        <v>1400000</v>
      </c>
      <c r="E44" s="4">
        <v>1450000</v>
      </c>
      <c r="F44" s="4">
        <f t="shared" si="18"/>
        <v>-50000</v>
      </c>
      <c r="G44" s="4">
        <v>1450000</v>
      </c>
      <c r="H44" s="4">
        <v>1381767</v>
      </c>
      <c r="I44" s="4">
        <v>13781.43</v>
      </c>
      <c r="J44" s="4"/>
      <c r="K44" s="4">
        <f t="shared" si="2"/>
        <v>13781.43</v>
      </c>
      <c r="L44" s="4">
        <f t="shared" si="3"/>
        <v>1395548.43</v>
      </c>
      <c r="M44" s="4">
        <f>P44+S44-50000</f>
        <v>4451.5700000000652</v>
      </c>
      <c r="N44" s="4"/>
      <c r="O44" s="4">
        <f t="shared" si="5"/>
        <v>0</v>
      </c>
      <c r="P44" s="4">
        <f t="shared" si="6"/>
        <v>54451.570000000065</v>
      </c>
      <c r="Q44" s="4"/>
      <c r="R44" s="4"/>
      <c r="S44" s="4">
        <f t="shared" si="7"/>
        <v>0</v>
      </c>
      <c r="T44" s="4">
        <f t="shared" si="8"/>
        <v>50000</v>
      </c>
      <c r="U44" s="4">
        <f t="shared" si="1"/>
        <v>-50000</v>
      </c>
      <c r="V44" s="4"/>
      <c r="W44" s="4">
        <f t="shared" si="9"/>
        <v>-50000</v>
      </c>
      <c r="X44" s="4"/>
      <c r="Y44" s="4"/>
      <c r="Z44" s="3"/>
      <c r="AA44" s="323"/>
      <c r="AB44" s="3">
        <v>810000</v>
      </c>
      <c r="AC44" s="198"/>
      <c r="AD44" s="4"/>
      <c r="AE44" s="4">
        <v>-50000</v>
      </c>
      <c r="AF44" s="4"/>
      <c r="AG44" s="4"/>
      <c r="AH44" s="4"/>
      <c r="AI44" s="4"/>
      <c r="AJ44" s="4"/>
      <c r="AK44" s="4"/>
      <c r="AL44" s="4">
        <f t="shared" si="17"/>
        <v>-50000</v>
      </c>
      <c r="AM44" s="4"/>
      <c r="AN44" s="4">
        <f t="shared" si="11"/>
        <v>-50000</v>
      </c>
      <c r="AO44" s="4">
        <f t="shared" si="12"/>
        <v>0</v>
      </c>
      <c r="AP44" s="499"/>
      <c r="AQ44" s="499">
        <f t="shared" si="13"/>
        <v>-50000</v>
      </c>
      <c r="AR44" s="499"/>
      <c r="AS44" s="4"/>
      <c r="AT44" s="4"/>
      <c r="AU44" s="499"/>
      <c r="AV44" s="499">
        <f t="shared" si="14"/>
        <v>0</v>
      </c>
      <c r="AW44" s="499"/>
      <c r="AX44" s="4"/>
      <c r="AY44" s="4"/>
      <c r="AZ44" s="499"/>
      <c r="BA44" s="499">
        <f t="shared" si="15"/>
        <v>0</v>
      </c>
      <c r="BB44" s="499"/>
      <c r="BC44" s="499"/>
      <c r="BD44" s="499"/>
      <c r="BE44" s="29"/>
      <c r="BF44" s="29"/>
      <c r="BG44" s="28"/>
      <c r="BH44" s="28"/>
      <c r="BI44" s="28"/>
    </row>
    <row r="45" spans="1:61" s="5" customFormat="1" ht="19.95" customHeight="1">
      <c r="A45" s="3">
        <f t="shared" si="16"/>
        <v>39</v>
      </c>
      <c r="B45" s="3">
        <v>1900</v>
      </c>
      <c r="C45" s="3" t="s">
        <v>168</v>
      </c>
      <c r="D45" s="4">
        <v>700000</v>
      </c>
      <c r="E45" s="4">
        <v>700000</v>
      </c>
      <c r="F45" s="4">
        <f t="shared" si="18"/>
        <v>0</v>
      </c>
      <c r="G45" s="4">
        <v>700000</v>
      </c>
      <c r="H45" s="4">
        <v>0</v>
      </c>
      <c r="I45" s="4">
        <v>522410.57</v>
      </c>
      <c r="J45" s="4"/>
      <c r="K45" s="4">
        <f t="shared" si="2"/>
        <v>522410.57</v>
      </c>
      <c r="L45" s="4">
        <f t="shared" si="3"/>
        <v>522410.57</v>
      </c>
      <c r="M45" s="4">
        <f t="shared" si="4"/>
        <v>177589.43</v>
      </c>
      <c r="N45" s="4"/>
      <c r="O45" s="4">
        <f t="shared" si="5"/>
        <v>0</v>
      </c>
      <c r="P45" s="4">
        <f t="shared" si="6"/>
        <v>177589.43</v>
      </c>
      <c r="Q45" s="4"/>
      <c r="R45" s="4"/>
      <c r="S45" s="4">
        <f t="shared" si="7"/>
        <v>0</v>
      </c>
      <c r="T45" s="4">
        <f t="shared" si="8"/>
        <v>0</v>
      </c>
      <c r="U45" s="4">
        <f t="shared" si="1"/>
        <v>0</v>
      </c>
      <c r="V45" s="4"/>
      <c r="W45" s="4">
        <f t="shared" si="9"/>
        <v>0</v>
      </c>
      <c r="X45" s="4"/>
      <c r="Y45" s="4"/>
      <c r="Z45" s="3"/>
      <c r="AA45" s="323"/>
      <c r="AB45" s="3">
        <v>810000</v>
      </c>
      <c r="AC45" s="198"/>
      <c r="AD45" s="4"/>
      <c r="AE45" s="4"/>
      <c r="AF45" s="4"/>
      <c r="AG45" s="4"/>
      <c r="AH45" s="4"/>
      <c r="AI45" s="4"/>
      <c r="AJ45" s="4"/>
      <c r="AK45" s="4"/>
      <c r="AL45" s="4">
        <f t="shared" si="17"/>
        <v>0</v>
      </c>
      <c r="AM45" s="4"/>
      <c r="AN45" s="4">
        <f t="shared" si="11"/>
        <v>0</v>
      </c>
      <c r="AO45" s="4">
        <f t="shared" si="12"/>
        <v>0</v>
      </c>
      <c r="AP45" s="499"/>
      <c r="AQ45" s="499">
        <f t="shared" si="13"/>
        <v>0</v>
      </c>
      <c r="AR45" s="499"/>
      <c r="AS45" s="4"/>
      <c r="AT45" s="4"/>
      <c r="AU45" s="499"/>
      <c r="AV45" s="499">
        <f t="shared" si="14"/>
        <v>0</v>
      </c>
      <c r="AW45" s="499"/>
      <c r="AX45" s="4"/>
      <c r="AY45" s="4"/>
      <c r="AZ45" s="499"/>
      <c r="BA45" s="499">
        <f t="shared" si="15"/>
        <v>0</v>
      </c>
      <c r="BB45" s="499"/>
      <c r="BC45" s="499"/>
      <c r="BD45" s="499"/>
      <c r="BE45" s="29"/>
      <c r="BF45" s="29"/>
      <c r="BG45" s="29"/>
      <c r="BH45" s="29"/>
      <c r="BI45" s="28"/>
    </row>
    <row r="46" spans="1:61" s="5" customFormat="1" ht="19.95" customHeight="1">
      <c r="A46" s="3">
        <f t="shared" si="16"/>
        <v>40</v>
      </c>
      <c r="B46" s="3">
        <v>1917</v>
      </c>
      <c r="C46" s="3" t="s">
        <v>169</v>
      </c>
      <c r="D46" s="4">
        <v>76800000</v>
      </c>
      <c r="E46" s="4">
        <v>76800000</v>
      </c>
      <c r="F46" s="4">
        <f t="shared" si="18"/>
        <v>0</v>
      </c>
      <c r="G46" s="4">
        <v>25501000</v>
      </c>
      <c r="H46" s="4">
        <v>9853774.4600000009</v>
      </c>
      <c r="I46" s="4"/>
      <c r="J46" s="4">
        <v>13576509.710000001</v>
      </c>
      <c r="K46" s="4">
        <f t="shared" si="2"/>
        <v>13576509.710000001</v>
      </c>
      <c r="L46" s="4">
        <f t="shared" si="3"/>
        <v>23430284.170000002</v>
      </c>
      <c r="M46" s="4">
        <f t="shared" si="4"/>
        <v>2070715.8299999982</v>
      </c>
      <c r="N46" s="4">
        <f>10000000-2000000</f>
        <v>8000000</v>
      </c>
      <c r="O46" s="4">
        <f t="shared" si="5"/>
        <v>43299000</v>
      </c>
      <c r="P46" s="4">
        <f t="shared" si="6"/>
        <v>2070715.8299999982</v>
      </c>
      <c r="Q46" s="4"/>
      <c r="R46" s="4"/>
      <c r="S46" s="4">
        <f t="shared" si="7"/>
        <v>0</v>
      </c>
      <c r="T46" s="4">
        <f t="shared" si="8"/>
        <v>0</v>
      </c>
      <c r="U46" s="4">
        <f t="shared" si="1"/>
        <v>8000000</v>
      </c>
      <c r="V46" s="4">
        <f>U46-W46-X46-Y46-Z46</f>
        <v>8000000</v>
      </c>
      <c r="W46" s="4"/>
      <c r="X46" s="4"/>
      <c r="Y46" s="4"/>
      <c r="Z46" s="3"/>
      <c r="AA46" s="323" t="s">
        <v>587</v>
      </c>
      <c r="AB46" s="3">
        <v>743000</v>
      </c>
      <c r="AC46" s="198"/>
      <c r="AD46" s="4">
        <v>3000000</v>
      </c>
      <c r="AE46" s="4"/>
      <c r="AF46" s="4"/>
      <c r="AG46" s="4">
        <v>2000000</v>
      </c>
      <c r="AH46" s="4"/>
      <c r="AI46" s="4"/>
      <c r="AJ46" s="4"/>
      <c r="AK46" s="4">
        <v>3000000</v>
      </c>
      <c r="AL46" s="4">
        <f t="shared" ref="AL46:AL64" si="19">SUM(AC46:AK46)</f>
        <v>8000000</v>
      </c>
      <c r="AM46" s="4"/>
      <c r="AN46" s="4">
        <f t="shared" si="11"/>
        <v>8000000</v>
      </c>
      <c r="AO46" s="4">
        <f t="shared" si="12"/>
        <v>0</v>
      </c>
      <c r="AP46" s="499">
        <v>8000000</v>
      </c>
      <c r="AQ46" s="499">
        <f t="shared" si="13"/>
        <v>0</v>
      </c>
      <c r="AR46" s="499"/>
      <c r="AS46" s="4"/>
      <c r="AT46" s="4"/>
      <c r="AU46" s="499"/>
      <c r="AV46" s="499">
        <f t="shared" si="14"/>
        <v>0</v>
      </c>
      <c r="AW46" s="499"/>
      <c r="AX46" s="4"/>
      <c r="AY46" s="4"/>
      <c r="AZ46" s="499"/>
      <c r="BA46" s="499">
        <f t="shared" si="15"/>
        <v>0</v>
      </c>
      <c r="BB46" s="499"/>
      <c r="BC46" s="499"/>
      <c r="BD46" s="499"/>
      <c r="BE46" s="29"/>
      <c r="BF46" s="29"/>
      <c r="BG46" s="28"/>
      <c r="BH46" s="28"/>
      <c r="BI46" s="28"/>
    </row>
    <row r="47" spans="1:61" s="5" customFormat="1" ht="19.95" customHeight="1">
      <c r="A47" s="3">
        <f t="shared" si="16"/>
        <v>41</v>
      </c>
      <c r="B47" s="3">
        <v>1925</v>
      </c>
      <c r="C47" s="3" t="s">
        <v>170</v>
      </c>
      <c r="D47" s="4">
        <v>1000000</v>
      </c>
      <c r="E47" s="4">
        <v>1000000</v>
      </c>
      <c r="F47" s="4">
        <f t="shared" si="18"/>
        <v>0</v>
      </c>
      <c r="G47" s="4">
        <v>1000000</v>
      </c>
      <c r="H47" s="4">
        <v>898013.97</v>
      </c>
      <c r="I47" s="4">
        <v>20622.419999999998</v>
      </c>
      <c r="J47" s="4"/>
      <c r="K47" s="4">
        <f t="shared" si="2"/>
        <v>20622.419999999998</v>
      </c>
      <c r="L47" s="4">
        <f t="shared" si="3"/>
        <v>918636.39</v>
      </c>
      <c r="M47" s="4">
        <f t="shared" si="4"/>
        <v>81363.609999999986</v>
      </c>
      <c r="N47" s="4"/>
      <c r="O47" s="4">
        <f t="shared" si="5"/>
        <v>0</v>
      </c>
      <c r="P47" s="4">
        <f t="shared" si="6"/>
        <v>81363.609999999986</v>
      </c>
      <c r="Q47" s="4"/>
      <c r="R47" s="4"/>
      <c r="S47" s="4">
        <f t="shared" si="7"/>
        <v>0</v>
      </c>
      <c r="T47" s="4">
        <f t="shared" si="8"/>
        <v>0</v>
      </c>
      <c r="U47" s="4">
        <f t="shared" si="1"/>
        <v>0</v>
      </c>
      <c r="V47" s="4"/>
      <c r="W47" s="4">
        <f t="shared" si="9"/>
        <v>0</v>
      </c>
      <c r="X47" s="4"/>
      <c r="Y47" s="4"/>
      <c r="Z47" s="3"/>
      <c r="AA47" s="323"/>
      <c r="AB47" s="3">
        <v>850000</v>
      </c>
      <c r="AC47" s="198"/>
      <c r="AD47" s="4"/>
      <c r="AE47" s="4"/>
      <c r="AF47" s="4"/>
      <c r="AG47" s="4"/>
      <c r="AH47" s="4"/>
      <c r="AI47" s="4"/>
      <c r="AJ47" s="4"/>
      <c r="AK47" s="4"/>
      <c r="AL47" s="4">
        <f t="shared" si="19"/>
        <v>0</v>
      </c>
      <c r="AM47" s="4"/>
      <c r="AN47" s="4">
        <f t="shared" si="11"/>
        <v>0</v>
      </c>
      <c r="AO47" s="4">
        <f t="shared" si="12"/>
        <v>0</v>
      </c>
      <c r="AP47" s="499"/>
      <c r="AQ47" s="499">
        <f t="shared" si="13"/>
        <v>0</v>
      </c>
      <c r="AR47" s="499"/>
      <c r="AS47" s="4"/>
      <c r="AT47" s="4"/>
      <c r="AU47" s="499"/>
      <c r="AV47" s="499">
        <f t="shared" si="14"/>
        <v>0</v>
      </c>
      <c r="AW47" s="499"/>
      <c r="AX47" s="4"/>
      <c r="AY47" s="4"/>
      <c r="AZ47" s="499"/>
      <c r="BA47" s="499">
        <f t="shared" si="15"/>
        <v>0</v>
      </c>
      <c r="BB47" s="499"/>
      <c r="BC47" s="499"/>
      <c r="BD47" s="499"/>
      <c r="BE47" s="29"/>
      <c r="BF47" s="29"/>
      <c r="BG47" s="29"/>
      <c r="BH47" s="29"/>
      <c r="BI47" s="28"/>
    </row>
    <row r="48" spans="1:61" s="5" customFormat="1" ht="27.6">
      <c r="A48" s="3">
        <f t="shared" si="16"/>
        <v>42</v>
      </c>
      <c r="B48" s="188">
        <v>1931</v>
      </c>
      <c r="C48" s="188" t="s">
        <v>1259</v>
      </c>
      <c r="D48" s="4">
        <v>831000</v>
      </c>
      <c r="E48" s="4">
        <v>831000</v>
      </c>
      <c r="F48" s="4">
        <f t="shared" si="18"/>
        <v>0</v>
      </c>
      <c r="G48" s="4">
        <v>831000</v>
      </c>
      <c r="H48" s="4">
        <v>766233</v>
      </c>
      <c r="I48" s="4"/>
      <c r="J48" s="4">
        <v>58500</v>
      </c>
      <c r="K48" s="4">
        <f t="shared" si="2"/>
        <v>58500</v>
      </c>
      <c r="L48" s="4">
        <f t="shared" si="3"/>
        <v>824733</v>
      </c>
      <c r="M48" s="4">
        <f t="shared" si="4"/>
        <v>6267</v>
      </c>
      <c r="N48" s="4"/>
      <c r="O48" s="4">
        <f t="shared" si="5"/>
        <v>0</v>
      </c>
      <c r="P48" s="4">
        <f t="shared" si="6"/>
        <v>6267</v>
      </c>
      <c r="Q48" s="4"/>
      <c r="R48" s="4"/>
      <c r="S48" s="4">
        <f t="shared" si="7"/>
        <v>0</v>
      </c>
      <c r="T48" s="4">
        <f t="shared" si="8"/>
        <v>0</v>
      </c>
      <c r="U48" s="4">
        <f t="shared" si="1"/>
        <v>0</v>
      </c>
      <c r="V48" s="4"/>
      <c r="W48" s="4">
        <f t="shared" si="9"/>
        <v>0</v>
      </c>
      <c r="X48" s="4"/>
      <c r="Y48" s="4"/>
      <c r="Z48" s="3"/>
      <c r="AA48" s="323"/>
      <c r="AB48" s="3">
        <v>810000</v>
      </c>
      <c r="AC48" s="198"/>
      <c r="AD48" s="4"/>
      <c r="AE48" s="4"/>
      <c r="AF48" s="4"/>
      <c r="AG48" s="4"/>
      <c r="AH48" s="4"/>
      <c r="AI48" s="4"/>
      <c r="AJ48" s="4"/>
      <c r="AK48" s="4"/>
      <c r="AL48" s="4">
        <f t="shared" si="19"/>
        <v>0</v>
      </c>
      <c r="AM48" s="4"/>
      <c r="AN48" s="4">
        <f t="shared" si="11"/>
        <v>0</v>
      </c>
      <c r="AO48" s="4">
        <f t="shared" si="12"/>
        <v>0</v>
      </c>
      <c r="AP48" s="499"/>
      <c r="AQ48" s="499">
        <f t="shared" si="13"/>
        <v>0</v>
      </c>
      <c r="AR48" s="499"/>
      <c r="AS48" s="4"/>
      <c r="AT48" s="4"/>
      <c r="AU48" s="499"/>
      <c r="AV48" s="499">
        <f t="shared" si="14"/>
        <v>0</v>
      </c>
      <c r="AW48" s="499"/>
      <c r="AX48" s="4"/>
      <c r="AY48" s="4"/>
      <c r="AZ48" s="499"/>
      <c r="BA48" s="499">
        <f t="shared" si="15"/>
        <v>0</v>
      </c>
      <c r="BB48" s="499"/>
      <c r="BC48" s="499"/>
      <c r="BD48" s="499"/>
      <c r="BE48" s="29"/>
      <c r="BF48" s="29"/>
      <c r="BG48" s="29"/>
      <c r="BH48" s="29"/>
      <c r="BI48" s="28"/>
    </row>
    <row r="49" spans="1:61" s="5" customFormat="1" ht="19.95" customHeight="1">
      <c r="A49" s="3">
        <f t="shared" si="16"/>
        <v>43</v>
      </c>
      <c r="B49" s="3">
        <v>1933</v>
      </c>
      <c r="C49" s="3" t="s">
        <v>190</v>
      </c>
      <c r="D49" s="4">
        <f>1400000+20000</f>
        <v>1420000</v>
      </c>
      <c r="E49" s="4">
        <v>1200000</v>
      </c>
      <c r="F49" s="4">
        <f t="shared" si="18"/>
        <v>220000</v>
      </c>
      <c r="G49" s="4">
        <v>1200000</v>
      </c>
      <c r="H49" s="4">
        <v>168219</v>
      </c>
      <c r="I49" s="4"/>
      <c r="J49" s="4">
        <v>429292.81</v>
      </c>
      <c r="K49" s="4">
        <f t="shared" si="2"/>
        <v>429292.81</v>
      </c>
      <c r="L49" s="4">
        <f t="shared" si="3"/>
        <v>597511.81000000006</v>
      </c>
      <c r="M49" s="4">
        <f t="shared" si="4"/>
        <v>602488.18999999994</v>
      </c>
      <c r="N49" s="4">
        <f>200000+20000</f>
        <v>220000</v>
      </c>
      <c r="O49" s="4">
        <f t="shared" si="5"/>
        <v>0</v>
      </c>
      <c r="P49" s="4">
        <f t="shared" si="6"/>
        <v>602488.18999999994</v>
      </c>
      <c r="Q49" s="4"/>
      <c r="R49" s="4"/>
      <c r="S49" s="4">
        <f t="shared" si="7"/>
        <v>0</v>
      </c>
      <c r="T49" s="4">
        <f t="shared" si="8"/>
        <v>0</v>
      </c>
      <c r="U49" s="4">
        <f t="shared" si="1"/>
        <v>220000</v>
      </c>
      <c r="V49" s="4"/>
      <c r="W49" s="4">
        <f t="shared" si="9"/>
        <v>220000</v>
      </c>
      <c r="X49" s="4"/>
      <c r="Y49" s="4"/>
      <c r="Z49" s="3"/>
      <c r="AA49" s="323" t="s">
        <v>770</v>
      </c>
      <c r="AB49" s="3">
        <v>826000</v>
      </c>
      <c r="AC49" s="198"/>
      <c r="AD49" s="4">
        <v>220000</v>
      </c>
      <c r="AE49" s="4"/>
      <c r="AF49" s="4"/>
      <c r="AG49" s="4"/>
      <c r="AH49" s="4"/>
      <c r="AI49" s="4"/>
      <c r="AJ49" s="4"/>
      <c r="AK49" s="4"/>
      <c r="AL49" s="4">
        <f t="shared" si="19"/>
        <v>220000</v>
      </c>
      <c r="AM49" s="4"/>
      <c r="AN49" s="4">
        <f t="shared" si="11"/>
        <v>220000</v>
      </c>
      <c r="AO49" s="4">
        <f t="shared" si="12"/>
        <v>0</v>
      </c>
      <c r="AP49" s="499"/>
      <c r="AQ49" s="499">
        <f t="shared" si="13"/>
        <v>220000</v>
      </c>
      <c r="AR49" s="499"/>
      <c r="AS49" s="4"/>
      <c r="AT49" s="4"/>
      <c r="AU49" s="499"/>
      <c r="AV49" s="499">
        <f t="shared" si="14"/>
        <v>0</v>
      </c>
      <c r="AW49" s="499"/>
      <c r="AX49" s="4"/>
      <c r="AY49" s="4"/>
      <c r="AZ49" s="499"/>
      <c r="BA49" s="499">
        <f t="shared" si="15"/>
        <v>0</v>
      </c>
      <c r="BB49" s="499"/>
      <c r="BC49" s="499"/>
      <c r="BD49" s="499"/>
      <c r="BE49" s="29"/>
      <c r="BF49" s="29"/>
      <c r="BG49" s="29"/>
      <c r="BH49" s="29"/>
      <c r="BI49" s="28"/>
    </row>
    <row r="50" spans="1:61" s="5" customFormat="1" ht="19.95" customHeight="1">
      <c r="A50" s="3">
        <f t="shared" si="16"/>
        <v>44</v>
      </c>
      <c r="B50" s="3">
        <v>1942</v>
      </c>
      <c r="C50" s="3" t="s">
        <v>191</v>
      </c>
      <c r="D50" s="4">
        <v>972000</v>
      </c>
      <c r="E50" s="4">
        <v>972000</v>
      </c>
      <c r="F50" s="4">
        <f t="shared" si="18"/>
        <v>0</v>
      </c>
      <c r="G50" s="4">
        <v>572000</v>
      </c>
      <c r="H50" s="4">
        <v>28009.8</v>
      </c>
      <c r="I50" s="4"/>
      <c r="J50" s="4">
        <v>531907.06999999995</v>
      </c>
      <c r="K50" s="4">
        <f t="shared" si="2"/>
        <v>531907.06999999995</v>
      </c>
      <c r="L50" s="4">
        <f t="shared" si="3"/>
        <v>559916.87</v>
      </c>
      <c r="M50" s="4">
        <f t="shared" si="4"/>
        <v>12083.130000000005</v>
      </c>
      <c r="N50" s="4">
        <v>400000</v>
      </c>
      <c r="O50" s="4">
        <f t="shared" si="5"/>
        <v>0</v>
      </c>
      <c r="P50" s="4">
        <f t="shared" si="6"/>
        <v>12083.130000000005</v>
      </c>
      <c r="Q50" s="324"/>
      <c r="R50" s="4"/>
      <c r="S50" s="4">
        <f t="shared" si="7"/>
        <v>0</v>
      </c>
      <c r="T50" s="4">
        <f t="shared" si="8"/>
        <v>0</v>
      </c>
      <c r="U50" s="4">
        <f t="shared" si="1"/>
        <v>400000</v>
      </c>
      <c r="V50" s="4">
        <f>U50-W50-X50-Y50-Z50</f>
        <v>400000</v>
      </c>
      <c r="W50" s="4"/>
      <c r="X50" s="4"/>
      <c r="Y50" s="4"/>
      <c r="Z50" s="3"/>
      <c r="AA50" s="323" t="s">
        <v>507</v>
      </c>
      <c r="AB50" s="3">
        <v>724000</v>
      </c>
      <c r="AC50" s="198"/>
      <c r="AD50" s="4">
        <v>400000</v>
      </c>
      <c r="AE50" s="4"/>
      <c r="AF50" s="4"/>
      <c r="AG50" s="4"/>
      <c r="AH50" s="4"/>
      <c r="AI50" s="4"/>
      <c r="AJ50" s="4"/>
      <c r="AK50" s="4"/>
      <c r="AL50" s="4">
        <f t="shared" si="19"/>
        <v>400000</v>
      </c>
      <c r="AM50" s="4"/>
      <c r="AN50" s="4">
        <f t="shared" si="11"/>
        <v>400000</v>
      </c>
      <c r="AO50" s="4">
        <f t="shared" si="12"/>
        <v>0</v>
      </c>
      <c r="AP50" s="499">
        <v>400000</v>
      </c>
      <c r="AQ50" s="499">
        <f t="shared" si="13"/>
        <v>0</v>
      </c>
      <c r="AR50" s="499"/>
      <c r="AS50" s="4"/>
      <c r="AT50" s="4"/>
      <c r="AU50" s="499"/>
      <c r="AV50" s="499">
        <f t="shared" si="14"/>
        <v>0</v>
      </c>
      <c r="AW50" s="499"/>
      <c r="AX50" s="4"/>
      <c r="AY50" s="4"/>
      <c r="AZ50" s="499"/>
      <c r="BA50" s="499">
        <f t="shared" si="15"/>
        <v>0</v>
      </c>
      <c r="BB50" s="499"/>
      <c r="BC50" s="499"/>
      <c r="BD50" s="499"/>
      <c r="BE50" s="29"/>
      <c r="BF50" s="29"/>
      <c r="BG50" s="29"/>
      <c r="BH50" s="29"/>
      <c r="BI50" s="28"/>
    </row>
    <row r="51" spans="1:61" s="5" customFormat="1" ht="19.95" customHeight="1">
      <c r="A51" s="3">
        <f t="shared" si="16"/>
        <v>45</v>
      </c>
      <c r="B51" s="3">
        <v>1946</v>
      </c>
      <c r="C51" s="3" t="s">
        <v>508</v>
      </c>
      <c r="D51" s="4">
        <v>890000</v>
      </c>
      <c r="E51" s="4">
        <v>890000</v>
      </c>
      <c r="F51" s="4">
        <f t="shared" si="18"/>
        <v>0</v>
      </c>
      <c r="G51" s="4">
        <v>890000</v>
      </c>
      <c r="H51" s="4">
        <v>550267</v>
      </c>
      <c r="I51" s="4"/>
      <c r="J51" s="4">
        <v>51559</v>
      </c>
      <c r="K51" s="4">
        <f t="shared" si="2"/>
        <v>51559</v>
      </c>
      <c r="L51" s="4">
        <f t="shared" si="3"/>
        <v>601826</v>
      </c>
      <c r="M51" s="4">
        <f t="shared" si="4"/>
        <v>288174</v>
      </c>
      <c r="N51" s="4"/>
      <c r="O51" s="4">
        <f t="shared" si="5"/>
        <v>0</v>
      </c>
      <c r="P51" s="4">
        <f t="shared" si="6"/>
        <v>288174</v>
      </c>
      <c r="Q51" s="4"/>
      <c r="R51" s="4"/>
      <c r="S51" s="4">
        <f t="shared" si="7"/>
        <v>0</v>
      </c>
      <c r="T51" s="4">
        <f t="shared" si="8"/>
        <v>0</v>
      </c>
      <c r="U51" s="4">
        <f t="shared" si="1"/>
        <v>0</v>
      </c>
      <c r="V51" s="4"/>
      <c r="W51" s="4">
        <f t="shared" si="9"/>
        <v>0</v>
      </c>
      <c r="X51" s="4"/>
      <c r="Y51" s="4"/>
      <c r="Z51" s="3"/>
      <c r="AA51" s="323"/>
      <c r="AB51" s="3">
        <v>810000</v>
      </c>
      <c r="AC51" s="198"/>
      <c r="AD51" s="4"/>
      <c r="AE51" s="4"/>
      <c r="AF51" s="4"/>
      <c r="AG51" s="4"/>
      <c r="AH51" s="4"/>
      <c r="AI51" s="4"/>
      <c r="AJ51" s="4"/>
      <c r="AK51" s="4"/>
      <c r="AL51" s="4">
        <f t="shared" si="19"/>
        <v>0</v>
      </c>
      <c r="AM51" s="4"/>
      <c r="AN51" s="4">
        <f t="shared" si="11"/>
        <v>0</v>
      </c>
      <c r="AO51" s="4">
        <f t="shared" si="12"/>
        <v>0</v>
      </c>
      <c r="AP51" s="499"/>
      <c r="AQ51" s="499">
        <f t="shared" si="13"/>
        <v>0</v>
      </c>
      <c r="AR51" s="499"/>
      <c r="AS51" s="4"/>
      <c r="AT51" s="4"/>
      <c r="AU51" s="499"/>
      <c r="AV51" s="499">
        <f t="shared" si="14"/>
        <v>0</v>
      </c>
      <c r="AW51" s="499"/>
      <c r="AX51" s="4"/>
      <c r="AY51" s="4"/>
      <c r="AZ51" s="499"/>
      <c r="BA51" s="499">
        <f t="shared" si="15"/>
        <v>0</v>
      </c>
      <c r="BB51" s="499"/>
      <c r="BC51" s="499"/>
      <c r="BD51" s="499"/>
      <c r="BE51" s="29"/>
      <c r="BF51" s="29"/>
      <c r="BG51" s="29"/>
      <c r="BH51" s="29"/>
      <c r="BI51" s="28"/>
    </row>
    <row r="52" spans="1:61" s="5" customFormat="1" ht="19.95" customHeight="1">
      <c r="A52" s="3">
        <f t="shared" si="16"/>
        <v>46</v>
      </c>
      <c r="B52" s="3">
        <v>1947</v>
      </c>
      <c r="C52" s="3" t="s">
        <v>218</v>
      </c>
      <c r="D52" s="4">
        <f>1400000+1100000</f>
        <v>2500000</v>
      </c>
      <c r="E52" s="4">
        <f>1400000+1100000</f>
        <v>2500000</v>
      </c>
      <c r="F52" s="4">
        <f t="shared" si="18"/>
        <v>0</v>
      </c>
      <c r="G52" s="4">
        <v>1400000</v>
      </c>
      <c r="H52" s="4">
        <v>18600.240000000002</v>
      </c>
      <c r="I52" s="4">
        <v>126360</v>
      </c>
      <c r="J52" s="4"/>
      <c r="K52" s="4">
        <f t="shared" si="2"/>
        <v>126360</v>
      </c>
      <c r="L52" s="4">
        <f t="shared" si="3"/>
        <v>144960.24</v>
      </c>
      <c r="M52" s="4">
        <f t="shared" si="4"/>
        <v>1255039.76</v>
      </c>
      <c r="N52" s="4">
        <v>1100000</v>
      </c>
      <c r="O52" s="4">
        <f t="shared" si="5"/>
        <v>0</v>
      </c>
      <c r="P52" s="4">
        <f t="shared" si="6"/>
        <v>1255039.76</v>
      </c>
      <c r="Q52" s="4"/>
      <c r="R52" s="4"/>
      <c r="S52" s="4">
        <f t="shared" si="7"/>
        <v>0</v>
      </c>
      <c r="T52" s="4">
        <f t="shared" si="8"/>
        <v>0</v>
      </c>
      <c r="U52" s="4">
        <f t="shared" si="1"/>
        <v>1100000</v>
      </c>
      <c r="V52" s="4">
        <f>U52-W52-X52-Y52-Z52</f>
        <v>1100000</v>
      </c>
      <c r="W52" s="4"/>
      <c r="X52" s="4"/>
      <c r="Y52" s="4"/>
      <c r="Z52" s="3"/>
      <c r="AA52" s="323" t="s">
        <v>771</v>
      </c>
      <c r="AB52" s="3">
        <v>850000</v>
      </c>
      <c r="AC52" s="198"/>
      <c r="AD52" s="4">
        <v>550000</v>
      </c>
      <c r="AE52" s="4"/>
      <c r="AF52" s="4"/>
      <c r="AG52" s="4"/>
      <c r="AH52" s="4"/>
      <c r="AI52" s="4"/>
      <c r="AJ52" s="4"/>
      <c r="AK52" s="4"/>
      <c r="AL52" s="4">
        <f t="shared" si="19"/>
        <v>550000</v>
      </c>
      <c r="AM52" s="4"/>
      <c r="AN52" s="4">
        <f t="shared" si="11"/>
        <v>550000</v>
      </c>
      <c r="AO52" s="4">
        <f t="shared" si="12"/>
        <v>550000</v>
      </c>
      <c r="AP52" s="499">
        <v>550000</v>
      </c>
      <c r="AQ52" s="499">
        <f t="shared" si="13"/>
        <v>0</v>
      </c>
      <c r="AR52" s="499"/>
      <c r="AS52" s="4"/>
      <c r="AT52" s="4"/>
      <c r="AU52" s="499"/>
      <c r="AV52" s="499">
        <f t="shared" si="14"/>
        <v>0</v>
      </c>
      <c r="AW52" s="499"/>
      <c r="AX52" s="4"/>
      <c r="AY52" s="4"/>
      <c r="AZ52" s="499">
        <v>550000</v>
      </c>
      <c r="BA52" s="499">
        <f t="shared" si="15"/>
        <v>0</v>
      </c>
      <c r="BB52" s="499"/>
      <c r="BC52" s="499"/>
      <c r="BD52" s="499"/>
      <c r="BE52" s="29"/>
      <c r="BF52" s="29"/>
      <c r="BG52" s="29"/>
      <c r="BH52" s="29"/>
      <c r="BI52" s="28"/>
    </row>
    <row r="53" spans="1:61" s="5" customFormat="1" ht="27.6">
      <c r="A53" s="3">
        <f t="shared" si="16"/>
        <v>47</v>
      </c>
      <c r="B53" s="3">
        <v>1966</v>
      </c>
      <c r="C53" s="3" t="s">
        <v>767</v>
      </c>
      <c r="D53" s="4">
        <v>1700000</v>
      </c>
      <c r="E53" s="4">
        <v>1700000</v>
      </c>
      <c r="F53" s="4">
        <f t="shared" si="18"/>
        <v>0</v>
      </c>
      <c r="G53" s="4">
        <v>0</v>
      </c>
      <c r="H53" s="4">
        <v>0</v>
      </c>
      <c r="I53" s="4"/>
      <c r="J53" s="4"/>
      <c r="K53" s="4">
        <f t="shared" si="2"/>
        <v>0</v>
      </c>
      <c r="L53" s="4">
        <f t="shared" si="3"/>
        <v>0</v>
      </c>
      <c r="M53" s="4">
        <f t="shared" si="4"/>
        <v>1700000</v>
      </c>
      <c r="N53" s="4"/>
      <c r="O53" s="4">
        <f t="shared" si="5"/>
        <v>0</v>
      </c>
      <c r="P53" s="4">
        <f t="shared" si="6"/>
        <v>0</v>
      </c>
      <c r="Q53" s="4">
        <v>1700000</v>
      </c>
      <c r="R53" s="4"/>
      <c r="S53" s="4">
        <f t="shared" si="7"/>
        <v>1700000</v>
      </c>
      <c r="T53" s="4">
        <f t="shared" si="8"/>
        <v>0</v>
      </c>
      <c r="U53" s="4">
        <f t="shared" si="1"/>
        <v>0</v>
      </c>
      <c r="V53" s="4"/>
      <c r="W53" s="4">
        <f t="shared" si="9"/>
        <v>0</v>
      </c>
      <c r="X53" s="4"/>
      <c r="Y53" s="4"/>
      <c r="Z53" s="3"/>
      <c r="AA53" s="323"/>
      <c r="AB53" s="3">
        <v>870000</v>
      </c>
      <c r="AC53" s="198"/>
      <c r="AD53" s="4"/>
      <c r="AE53" s="4"/>
      <c r="AF53" s="4"/>
      <c r="AG53" s="4"/>
      <c r="AH53" s="4"/>
      <c r="AI53" s="4"/>
      <c r="AJ53" s="4"/>
      <c r="AK53" s="4"/>
      <c r="AL53" s="4">
        <f t="shared" si="19"/>
        <v>0</v>
      </c>
      <c r="AM53" s="4"/>
      <c r="AN53" s="4">
        <f t="shared" si="11"/>
        <v>0</v>
      </c>
      <c r="AO53" s="4">
        <f t="shared" si="12"/>
        <v>0</v>
      </c>
      <c r="AP53" s="499"/>
      <c r="AQ53" s="499">
        <f t="shared" si="13"/>
        <v>0</v>
      </c>
      <c r="AR53" s="499"/>
      <c r="AS53" s="4"/>
      <c r="AT53" s="4"/>
      <c r="AU53" s="499"/>
      <c r="AV53" s="499">
        <f t="shared" si="14"/>
        <v>0</v>
      </c>
      <c r="AW53" s="499"/>
      <c r="AX53" s="4"/>
      <c r="AY53" s="4"/>
      <c r="AZ53" s="499"/>
      <c r="BA53" s="499">
        <f t="shared" si="15"/>
        <v>0</v>
      </c>
      <c r="BB53" s="499"/>
      <c r="BC53" s="499"/>
      <c r="BD53" s="499"/>
      <c r="BE53" s="29"/>
      <c r="BF53" s="29"/>
      <c r="BG53" s="28"/>
      <c r="BH53" s="28"/>
      <c r="BI53" s="28"/>
    </row>
    <row r="54" spans="1:61" s="5" customFormat="1" ht="19.95" customHeight="1">
      <c r="A54" s="3">
        <f t="shared" si="16"/>
        <v>48</v>
      </c>
      <c r="B54" s="3">
        <v>1967</v>
      </c>
      <c r="C54" s="3" t="s">
        <v>192</v>
      </c>
      <c r="D54" s="4">
        <v>12929000</v>
      </c>
      <c r="E54" s="4">
        <v>3929000</v>
      </c>
      <c r="F54" s="4">
        <f t="shared" si="18"/>
        <v>9000000</v>
      </c>
      <c r="G54" s="4">
        <v>2429000</v>
      </c>
      <c r="H54" s="4">
        <v>379994.6</v>
      </c>
      <c r="I54" s="4">
        <v>1538063.98</v>
      </c>
      <c r="J54" s="4">
        <v>502180</v>
      </c>
      <c r="K54" s="4">
        <f t="shared" si="2"/>
        <v>2040243.98</v>
      </c>
      <c r="L54" s="4">
        <f t="shared" si="3"/>
        <v>2420238.58</v>
      </c>
      <c r="M54" s="4">
        <f t="shared" si="4"/>
        <v>8761.4199999999255</v>
      </c>
      <c r="N54" s="4">
        <f>8000000-3620000-1000000</f>
        <v>3380000</v>
      </c>
      <c r="O54" s="4">
        <f t="shared" si="5"/>
        <v>7120000</v>
      </c>
      <c r="P54" s="4">
        <f t="shared" si="6"/>
        <v>8761.4199999999255</v>
      </c>
      <c r="Q54" s="324"/>
      <c r="R54" s="4"/>
      <c r="S54" s="4">
        <f t="shared" si="7"/>
        <v>0</v>
      </c>
      <c r="T54" s="4">
        <f t="shared" si="8"/>
        <v>0</v>
      </c>
      <c r="U54" s="4">
        <f t="shared" si="1"/>
        <v>3380000</v>
      </c>
      <c r="V54" s="4">
        <f>U54-W54-X54-Y54-Z54</f>
        <v>3270000</v>
      </c>
      <c r="W54" s="4"/>
      <c r="X54" s="4"/>
      <c r="Y54" s="4"/>
      <c r="Z54" s="4">
        <v>110000</v>
      </c>
      <c r="AA54" s="323" t="s">
        <v>772</v>
      </c>
      <c r="AB54" s="3">
        <v>810000</v>
      </c>
      <c r="AC54" s="198"/>
      <c r="AD54" s="4"/>
      <c r="AE54" s="4"/>
      <c r="AF54" s="4">
        <f>1000000</f>
        <v>1000000</v>
      </c>
      <c r="AG54" s="4"/>
      <c r="AH54" s="4"/>
      <c r="AI54" s="4"/>
      <c r="AJ54" s="4">
        <v>1500000</v>
      </c>
      <c r="AK54" s="4">
        <v>770000</v>
      </c>
      <c r="AL54" s="4">
        <f t="shared" si="19"/>
        <v>3270000</v>
      </c>
      <c r="AM54" s="4"/>
      <c r="AN54" s="4">
        <f t="shared" si="11"/>
        <v>3270000</v>
      </c>
      <c r="AO54" s="4">
        <f t="shared" si="12"/>
        <v>110000</v>
      </c>
      <c r="AP54" s="499">
        <v>3270000</v>
      </c>
      <c r="AQ54" s="499">
        <f t="shared" si="13"/>
        <v>0</v>
      </c>
      <c r="AR54" s="499"/>
      <c r="AS54" s="4"/>
      <c r="AT54" s="4"/>
      <c r="AU54" s="499"/>
      <c r="AV54" s="499">
        <f t="shared" si="14"/>
        <v>0</v>
      </c>
      <c r="AW54" s="499"/>
      <c r="AX54" s="4"/>
      <c r="AY54" s="4"/>
      <c r="AZ54" s="499"/>
      <c r="BA54" s="499">
        <f t="shared" si="15"/>
        <v>0</v>
      </c>
      <c r="BB54" s="499"/>
      <c r="BC54" s="499"/>
      <c r="BD54" s="499">
        <v>110000</v>
      </c>
      <c r="BE54" s="29"/>
      <c r="BF54" s="29"/>
      <c r="BG54" s="29"/>
      <c r="BH54" s="29"/>
      <c r="BI54" s="28"/>
    </row>
    <row r="55" spans="1:61" s="5" customFormat="1" ht="19.95" customHeight="1">
      <c r="A55" s="3">
        <f t="shared" si="16"/>
        <v>49</v>
      </c>
      <c r="B55" s="3">
        <v>1968</v>
      </c>
      <c r="C55" s="3" t="s">
        <v>193</v>
      </c>
      <c r="D55" s="4">
        <f>2500000-1100000</f>
        <v>1400000</v>
      </c>
      <c r="E55" s="4">
        <v>1800000</v>
      </c>
      <c r="F55" s="4">
        <f t="shared" si="18"/>
        <v>-400000</v>
      </c>
      <c r="G55" s="4">
        <v>1400000</v>
      </c>
      <c r="H55" s="4">
        <v>603369.29</v>
      </c>
      <c r="I55" s="4"/>
      <c r="J55" s="4">
        <v>790426</v>
      </c>
      <c r="K55" s="4">
        <f t="shared" si="2"/>
        <v>790426</v>
      </c>
      <c r="L55" s="4">
        <f t="shared" si="3"/>
        <v>1393795.29</v>
      </c>
      <c r="M55" s="4">
        <f t="shared" si="4"/>
        <v>6204.7099999999627</v>
      </c>
      <c r="N55" s="4">
        <f>1000000-400000-600000</f>
        <v>0</v>
      </c>
      <c r="O55" s="4">
        <f t="shared" si="5"/>
        <v>0</v>
      </c>
      <c r="P55" s="4">
        <f t="shared" si="6"/>
        <v>6204.7099999999627</v>
      </c>
      <c r="Q55" s="4"/>
      <c r="R55" s="4"/>
      <c r="S55" s="4">
        <f t="shared" si="7"/>
        <v>0</v>
      </c>
      <c r="T55" s="4">
        <f t="shared" si="8"/>
        <v>0</v>
      </c>
      <c r="U55" s="4">
        <f t="shared" si="1"/>
        <v>0</v>
      </c>
      <c r="V55" s="4">
        <f>U55*0.5</f>
        <v>0</v>
      </c>
      <c r="W55" s="4">
        <f t="shared" si="9"/>
        <v>0</v>
      </c>
      <c r="X55" s="4"/>
      <c r="Y55" s="4"/>
      <c r="Z55" s="3"/>
      <c r="AA55" s="323"/>
      <c r="AB55" s="3">
        <v>848500</v>
      </c>
      <c r="AC55" s="198"/>
      <c r="AD55" s="4"/>
      <c r="AE55" s="4"/>
      <c r="AF55" s="4"/>
      <c r="AG55" s="4"/>
      <c r="AH55" s="4"/>
      <c r="AI55" s="4"/>
      <c r="AJ55" s="4"/>
      <c r="AK55" s="4"/>
      <c r="AL55" s="4">
        <f t="shared" si="19"/>
        <v>0</v>
      </c>
      <c r="AM55" s="4"/>
      <c r="AN55" s="4">
        <f t="shared" si="11"/>
        <v>0</v>
      </c>
      <c r="AO55" s="4">
        <f t="shared" si="12"/>
        <v>0</v>
      </c>
      <c r="AP55" s="499"/>
      <c r="AQ55" s="499">
        <f t="shared" si="13"/>
        <v>0</v>
      </c>
      <c r="AR55" s="499"/>
      <c r="AS55" s="4"/>
      <c r="AT55" s="4"/>
      <c r="AU55" s="499"/>
      <c r="AV55" s="499">
        <f t="shared" si="14"/>
        <v>0</v>
      </c>
      <c r="AW55" s="499"/>
      <c r="AX55" s="4"/>
      <c r="AY55" s="4"/>
      <c r="AZ55" s="499"/>
      <c r="BA55" s="499">
        <f t="shared" si="15"/>
        <v>0</v>
      </c>
      <c r="BB55" s="499"/>
      <c r="BC55" s="499"/>
      <c r="BD55" s="499"/>
      <c r="BE55" s="29"/>
      <c r="BF55" s="29"/>
      <c r="BG55" s="29"/>
      <c r="BH55" s="29"/>
      <c r="BI55" s="28"/>
    </row>
    <row r="56" spans="1:61" s="5" customFormat="1" ht="19.95" customHeight="1">
      <c r="A56" s="3">
        <f t="shared" si="16"/>
        <v>50</v>
      </c>
      <c r="B56" s="188">
        <v>1969</v>
      </c>
      <c r="C56" s="188" t="s">
        <v>1260</v>
      </c>
      <c r="D56" s="4">
        <f>1485000-585000</f>
        <v>900000</v>
      </c>
      <c r="E56" s="4">
        <v>1485000</v>
      </c>
      <c r="F56" s="4">
        <f t="shared" si="18"/>
        <v>-585000</v>
      </c>
      <c r="G56" s="4">
        <v>900000</v>
      </c>
      <c r="H56" s="4">
        <v>632558.23</v>
      </c>
      <c r="I56" s="4"/>
      <c r="J56" s="4">
        <v>43923</v>
      </c>
      <c r="K56" s="4">
        <f t="shared" si="2"/>
        <v>43923</v>
      </c>
      <c r="L56" s="4">
        <f t="shared" si="3"/>
        <v>676481.23</v>
      </c>
      <c r="M56" s="4">
        <f t="shared" si="4"/>
        <v>223518.77000000002</v>
      </c>
      <c r="N56" s="4">
        <f>400000-400000</f>
        <v>0</v>
      </c>
      <c r="O56" s="4">
        <f t="shared" si="5"/>
        <v>0</v>
      </c>
      <c r="P56" s="4">
        <f t="shared" si="6"/>
        <v>223518.77000000002</v>
      </c>
      <c r="Q56" s="4"/>
      <c r="R56" s="4"/>
      <c r="S56" s="4">
        <f t="shared" si="7"/>
        <v>0</v>
      </c>
      <c r="T56" s="4">
        <f t="shared" si="8"/>
        <v>0</v>
      </c>
      <c r="U56" s="4">
        <f t="shared" si="1"/>
        <v>0</v>
      </c>
      <c r="V56" s="4"/>
      <c r="W56" s="4">
        <f t="shared" si="9"/>
        <v>0</v>
      </c>
      <c r="X56" s="4"/>
      <c r="Y56" s="4"/>
      <c r="Z56" s="3"/>
      <c r="AA56" s="323" t="s">
        <v>509</v>
      </c>
      <c r="AB56" s="3">
        <v>810000</v>
      </c>
      <c r="AC56" s="198"/>
      <c r="AD56" s="4"/>
      <c r="AE56" s="4"/>
      <c r="AF56" s="4"/>
      <c r="AG56" s="4"/>
      <c r="AH56" s="4"/>
      <c r="AI56" s="4"/>
      <c r="AJ56" s="4"/>
      <c r="AK56" s="4"/>
      <c r="AL56" s="4">
        <f t="shared" si="19"/>
        <v>0</v>
      </c>
      <c r="AM56" s="4"/>
      <c r="AN56" s="4">
        <f t="shared" si="11"/>
        <v>0</v>
      </c>
      <c r="AO56" s="4">
        <f t="shared" si="12"/>
        <v>0</v>
      </c>
      <c r="AP56" s="499"/>
      <c r="AQ56" s="499">
        <f t="shared" si="13"/>
        <v>0</v>
      </c>
      <c r="AR56" s="499"/>
      <c r="AS56" s="4"/>
      <c r="AT56" s="4"/>
      <c r="AU56" s="499"/>
      <c r="AV56" s="499">
        <f t="shared" si="14"/>
        <v>0</v>
      </c>
      <c r="AW56" s="499"/>
      <c r="AX56" s="4"/>
      <c r="AY56" s="4"/>
      <c r="AZ56" s="499"/>
      <c r="BA56" s="499">
        <f t="shared" si="15"/>
        <v>0</v>
      </c>
      <c r="BB56" s="499"/>
      <c r="BC56" s="499"/>
      <c r="BD56" s="499"/>
      <c r="BE56" s="29"/>
      <c r="BF56" s="29"/>
      <c r="BG56" s="29"/>
      <c r="BH56" s="29"/>
      <c r="BI56" s="28"/>
    </row>
    <row r="57" spans="1:61" s="5" customFormat="1" ht="19.95" customHeight="1">
      <c r="A57" s="3">
        <f t="shared" si="16"/>
        <v>51</v>
      </c>
      <c r="B57" s="3">
        <v>1970</v>
      </c>
      <c r="C57" s="3" t="s">
        <v>209</v>
      </c>
      <c r="D57" s="4">
        <f>12200000+1000000</f>
        <v>13200000</v>
      </c>
      <c r="E57" s="4">
        <v>7200000</v>
      </c>
      <c r="F57" s="4">
        <f>D57-E57</f>
        <v>6000000</v>
      </c>
      <c r="G57" s="4">
        <v>7200000</v>
      </c>
      <c r="H57" s="4">
        <v>3512620</v>
      </c>
      <c r="I57" s="4">
        <v>277409</v>
      </c>
      <c r="J57" s="4">
        <v>3028845</v>
      </c>
      <c r="K57" s="4">
        <f t="shared" si="2"/>
        <v>3306254</v>
      </c>
      <c r="L57" s="4">
        <f t="shared" si="3"/>
        <v>6818874</v>
      </c>
      <c r="M57" s="4">
        <f t="shared" si="4"/>
        <v>381126</v>
      </c>
      <c r="N57" s="4">
        <f>5000000+1000000</f>
        <v>6000000</v>
      </c>
      <c r="O57" s="4">
        <f t="shared" si="5"/>
        <v>0</v>
      </c>
      <c r="P57" s="4">
        <f t="shared" si="6"/>
        <v>381126</v>
      </c>
      <c r="Q57" s="4"/>
      <c r="R57" s="4"/>
      <c r="S57" s="4">
        <f t="shared" si="7"/>
        <v>0</v>
      </c>
      <c r="T57" s="4">
        <f t="shared" si="8"/>
        <v>0</v>
      </c>
      <c r="U57" s="4">
        <f t="shared" si="1"/>
        <v>6000000</v>
      </c>
      <c r="V57" s="4">
        <f>U57*0.5-1000000</f>
        <v>2000000</v>
      </c>
      <c r="W57" s="4">
        <f t="shared" si="9"/>
        <v>4000000</v>
      </c>
      <c r="X57" s="4"/>
      <c r="Y57" s="4"/>
      <c r="Z57" s="3"/>
      <c r="AA57" s="323" t="s">
        <v>637</v>
      </c>
      <c r="AB57" s="3">
        <v>810000</v>
      </c>
      <c r="AC57" s="198"/>
      <c r="AD57" s="4">
        <v>1000000</v>
      </c>
      <c r="AE57" s="4">
        <v>1000000</v>
      </c>
      <c r="AF57" s="4">
        <v>2200000</v>
      </c>
      <c r="AG57" s="4">
        <v>800000</v>
      </c>
      <c r="AH57" s="4"/>
      <c r="AI57" s="4"/>
      <c r="AJ57" s="4">
        <v>1000000</v>
      </c>
      <c r="AK57" s="4"/>
      <c r="AL57" s="4">
        <f t="shared" si="19"/>
        <v>6000000</v>
      </c>
      <c r="AM57" s="4"/>
      <c r="AN57" s="4">
        <f t="shared" si="11"/>
        <v>6000000</v>
      </c>
      <c r="AO57" s="4">
        <f t="shared" si="12"/>
        <v>0</v>
      </c>
      <c r="AP57" s="499">
        <v>2000000</v>
      </c>
      <c r="AQ57" s="499">
        <f t="shared" si="13"/>
        <v>4000000</v>
      </c>
      <c r="AR57" s="499"/>
      <c r="AS57" s="4"/>
      <c r="AT57" s="4"/>
      <c r="AU57" s="499"/>
      <c r="AV57" s="499">
        <f t="shared" si="14"/>
        <v>0</v>
      </c>
      <c r="AW57" s="499"/>
      <c r="AX57" s="4"/>
      <c r="AY57" s="4"/>
      <c r="AZ57" s="499"/>
      <c r="BA57" s="499">
        <f t="shared" si="15"/>
        <v>0</v>
      </c>
      <c r="BB57" s="499"/>
      <c r="BC57" s="499"/>
      <c r="BD57" s="499"/>
      <c r="BE57" s="29"/>
      <c r="BF57" s="29"/>
      <c r="BG57" s="29"/>
      <c r="BH57" s="29"/>
      <c r="BI57" s="28"/>
    </row>
    <row r="58" spans="1:61" s="5" customFormat="1" ht="19.95" customHeight="1">
      <c r="A58" s="3">
        <f t="shared" si="16"/>
        <v>52</v>
      </c>
      <c r="B58" s="188">
        <v>2000</v>
      </c>
      <c r="C58" s="188" t="s">
        <v>969</v>
      </c>
      <c r="D58" s="4">
        <v>354000</v>
      </c>
      <c r="E58" s="4">
        <v>354000</v>
      </c>
      <c r="F58" s="4">
        <f>D58-E58</f>
        <v>0</v>
      </c>
      <c r="G58" s="4">
        <v>354000</v>
      </c>
      <c r="H58" s="4">
        <v>353367.64</v>
      </c>
      <c r="I58" s="4"/>
      <c r="J58" s="4"/>
      <c r="K58" s="4">
        <f t="shared" si="2"/>
        <v>0</v>
      </c>
      <c r="L58" s="4">
        <f t="shared" si="3"/>
        <v>353367.64</v>
      </c>
      <c r="M58" s="4">
        <f t="shared" si="4"/>
        <v>632.35999999998603</v>
      </c>
      <c r="N58" s="4"/>
      <c r="O58" s="4">
        <f t="shared" si="5"/>
        <v>0</v>
      </c>
      <c r="P58" s="4">
        <f t="shared" si="6"/>
        <v>632.35999999998603</v>
      </c>
      <c r="Q58" s="4"/>
      <c r="R58" s="4"/>
      <c r="S58" s="4">
        <f t="shared" si="7"/>
        <v>0</v>
      </c>
      <c r="T58" s="4">
        <f t="shared" si="8"/>
        <v>0</v>
      </c>
      <c r="U58" s="4">
        <f t="shared" si="1"/>
        <v>0</v>
      </c>
      <c r="V58" s="4"/>
      <c r="W58" s="4">
        <f t="shared" si="9"/>
        <v>0</v>
      </c>
      <c r="X58" s="4"/>
      <c r="Y58" s="4"/>
      <c r="Z58" s="3"/>
      <c r="AA58" s="323"/>
      <c r="AB58" s="3">
        <v>840000</v>
      </c>
      <c r="AC58" s="198"/>
      <c r="AD58" s="4"/>
      <c r="AE58" s="4"/>
      <c r="AF58" s="4"/>
      <c r="AG58" s="4"/>
      <c r="AH58" s="4"/>
      <c r="AI58" s="4"/>
      <c r="AJ58" s="4"/>
      <c r="AK58" s="4"/>
      <c r="AL58" s="4">
        <f t="shared" si="19"/>
        <v>0</v>
      </c>
      <c r="AM58" s="4"/>
      <c r="AN58" s="4">
        <f t="shared" si="11"/>
        <v>0</v>
      </c>
      <c r="AO58" s="4">
        <f t="shared" si="12"/>
        <v>0</v>
      </c>
      <c r="AP58" s="499"/>
      <c r="AQ58" s="499">
        <f t="shared" si="13"/>
        <v>0</v>
      </c>
      <c r="AR58" s="499"/>
      <c r="AS58" s="4"/>
      <c r="AT58" s="4"/>
      <c r="AU58" s="499"/>
      <c r="AV58" s="499">
        <f t="shared" si="14"/>
        <v>0</v>
      </c>
      <c r="AW58" s="499"/>
      <c r="AX58" s="4"/>
      <c r="AY58" s="4"/>
      <c r="AZ58" s="499"/>
      <c r="BA58" s="499">
        <f t="shared" si="15"/>
        <v>0</v>
      </c>
      <c r="BB58" s="499"/>
      <c r="BC58" s="499"/>
      <c r="BD58" s="499"/>
      <c r="BE58" s="29"/>
      <c r="BF58" s="29"/>
      <c r="BG58" s="29"/>
      <c r="BH58" s="29"/>
      <c r="BI58" s="28"/>
    </row>
    <row r="59" spans="1:61" s="5" customFormat="1" ht="19.95" customHeight="1">
      <c r="A59" s="3">
        <f t="shared" si="16"/>
        <v>53</v>
      </c>
      <c r="B59" s="3">
        <v>2001</v>
      </c>
      <c r="C59" s="3" t="s">
        <v>219</v>
      </c>
      <c r="D59" s="4">
        <v>18500000</v>
      </c>
      <c r="E59" s="4">
        <v>18500000</v>
      </c>
      <c r="F59" s="4">
        <f>D59-E59</f>
        <v>0</v>
      </c>
      <c r="G59" s="4">
        <v>998700</v>
      </c>
      <c r="H59" s="4">
        <v>0</v>
      </c>
      <c r="I59" s="4">
        <v>816746.6</v>
      </c>
      <c r="J59" s="4"/>
      <c r="K59" s="4">
        <f t="shared" si="2"/>
        <v>816746.6</v>
      </c>
      <c r="L59" s="4">
        <f t="shared" si="3"/>
        <v>816746.6</v>
      </c>
      <c r="M59" s="4">
        <f t="shared" si="4"/>
        <v>181953.40000000002</v>
      </c>
      <c r="N59" s="4">
        <f>17501300-8500000</f>
        <v>9001300</v>
      </c>
      <c r="O59" s="4">
        <f t="shared" si="5"/>
        <v>8500000</v>
      </c>
      <c r="P59" s="4">
        <f t="shared" si="6"/>
        <v>181953.40000000002</v>
      </c>
      <c r="Q59" s="4"/>
      <c r="R59" s="4"/>
      <c r="S59" s="4">
        <f t="shared" si="7"/>
        <v>0</v>
      </c>
      <c r="T59" s="4">
        <f t="shared" si="8"/>
        <v>0</v>
      </c>
      <c r="U59" s="4">
        <f t="shared" si="1"/>
        <v>9001300</v>
      </c>
      <c r="V59" s="4">
        <f>U59-W59-X59-Y59-Z59</f>
        <v>0</v>
      </c>
      <c r="W59" s="4"/>
      <c r="X59" s="4"/>
      <c r="Y59" s="4"/>
      <c r="Z59" s="4">
        <v>9001300</v>
      </c>
      <c r="AA59" s="323" t="s">
        <v>510</v>
      </c>
      <c r="AB59" s="3">
        <v>810000</v>
      </c>
      <c r="AC59" s="198"/>
      <c r="AD59" s="4"/>
      <c r="AE59" s="4"/>
      <c r="AF59" s="4"/>
      <c r="AG59" s="4"/>
      <c r="AH59" s="4"/>
      <c r="AI59" s="4"/>
      <c r="AJ59" s="4"/>
      <c r="AK59" s="4"/>
      <c r="AL59" s="4">
        <f t="shared" si="19"/>
        <v>0</v>
      </c>
      <c r="AM59" s="4"/>
      <c r="AN59" s="4">
        <f t="shared" si="11"/>
        <v>0</v>
      </c>
      <c r="AO59" s="4">
        <f t="shared" si="12"/>
        <v>9001300</v>
      </c>
      <c r="AP59" s="499"/>
      <c r="AQ59" s="499">
        <f t="shared" si="13"/>
        <v>0</v>
      </c>
      <c r="AR59" s="499"/>
      <c r="AS59" s="4"/>
      <c r="AT59" s="4"/>
      <c r="AU59" s="499"/>
      <c r="AV59" s="499">
        <f t="shared" si="14"/>
        <v>0</v>
      </c>
      <c r="AW59" s="499"/>
      <c r="AX59" s="4"/>
      <c r="AY59" s="4"/>
      <c r="AZ59" s="499"/>
      <c r="BA59" s="499">
        <f t="shared" si="15"/>
        <v>0</v>
      </c>
      <c r="BB59" s="499"/>
      <c r="BC59" s="499"/>
      <c r="BD59" s="499">
        <v>9001300</v>
      </c>
      <c r="BE59" s="29"/>
      <c r="BF59" s="29"/>
      <c r="BG59" s="29"/>
      <c r="BH59" s="29"/>
      <c r="BI59" s="28"/>
    </row>
    <row r="60" spans="1:61" s="5" customFormat="1" ht="27.6">
      <c r="A60" s="3">
        <f t="shared" si="16"/>
        <v>54</v>
      </c>
      <c r="B60" s="3">
        <v>2027</v>
      </c>
      <c r="C60" s="3" t="s">
        <v>511</v>
      </c>
      <c r="D60" s="4">
        <v>1930000</v>
      </c>
      <c r="E60" s="4">
        <v>1930000</v>
      </c>
      <c r="F60" s="4">
        <f t="shared" si="18"/>
        <v>0</v>
      </c>
      <c r="G60" s="4">
        <v>1930000</v>
      </c>
      <c r="H60" s="4">
        <v>518384</v>
      </c>
      <c r="I60" s="4">
        <f>1247790-53911</f>
        <v>1193879</v>
      </c>
      <c r="J60" s="4">
        <v>53911</v>
      </c>
      <c r="K60" s="4">
        <f t="shared" si="2"/>
        <v>1247790</v>
      </c>
      <c r="L60" s="4">
        <f t="shared" si="3"/>
        <v>1766174</v>
      </c>
      <c r="M60" s="4">
        <f t="shared" si="4"/>
        <v>163826</v>
      </c>
      <c r="N60" s="4"/>
      <c r="O60" s="4">
        <f t="shared" si="5"/>
        <v>0</v>
      </c>
      <c r="P60" s="4">
        <f t="shared" si="6"/>
        <v>163826</v>
      </c>
      <c r="Q60" s="324"/>
      <c r="R60" s="4"/>
      <c r="S60" s="324">
        <f t="shared" si="7"/>
        <v>0</v>
      </c>
      <c r="T60" s="4">
        <f t="shared" si="8"/>
        <v>0</v>
      </c>
      <c r="U60" s="4">
        <f t="shared" si="1"/>
        <v>0</v>
      </c>
      <c r="V60" s="4"/>
      <c r="W60" s="4">
        <f t="shared" si="9"/>
        <v>0</v>
      </c>
      <c r="X60" s="4"/>
      <c r="Y60" s="4"/>
      <c r="Z60" s="3"/>
      <c r="AA60" s="323"/>
      <c r="AB60" s="3">
        <v>810000</v>
      </c>
      <c r="AC60" s="198"/>
      <c r="AD60" s="4"/>
      <c r="AE60" s="4"/>
      <c r="AF60" s="4"/>
      <c r="AG60" s="4"/>
      <c r="AH60" s="4"/>
      <c r="AI60" s="4"/>
      <c r="AJ60" s="4"/>
      <c r="AK60" s="4"/>
      <c r="AL60" s="4">
        <f t="shared" si="19"/>
        <v>0</v>
      </c>
      <c r="AM60" s="4"/>
      <c r="AN60" s="4">
        <f t="shared" si="11"/>
        <v>0</v>
      </c>
      <c r="AO60" s="4">
        <f t="shared" si="12"/>
        <v>0</v>
      </c>
      <c r="AP60" s="499"/>
      <c r="AQ60" s="499">
        <f t="shared" si="13"/>
        <v>0</v>
      </c>
      <c r="AR60" s="499"/>
      <c r="AS60" s="4"/>
      <c r="AT60" s="4"/>
      <c r="AU60" s="499"/>
      <c r="AV60" s="499">
        <f t="shared" si="14"/>
        <v>0</v>
      </c>
      <c r="AW60" s="499"/>
      <c r="AX60" s="4"/>
      <c r="AY60" s="4"/>
      <c r="AZ60" s="499"/>
      <c r="BA60" s="499">
        <f t="shared" si="15"/>
        <v>0</v>
      </c>
      <c r="BB60" s="499"/>
      <c r="BC60" s="499"/>
      <c r="BD60" s="499"/>
      <c r="BE60" s="29"/>
      <c r="BF60" s="29"/>
      <c r="BG60" s="29"/>
      <c r="BH60" s="29"/>
      <c r="BI60" s="28"/>
    </row>
    <row r="61" spans="1:61" s="5" customFormat="1" ht="19.95" customHeight="1">
      <c r="A61" s="3">
        <f t="shared" si="16"/>
        <v>55</v>
      </c>
      <c r="B61" s="3">
        <v>2028</v>
      </c>
      <c r="C61" s="3" t="s">
        <v>512</v>
      </c>
      <c r="D61" s="4">
        <v>1800000</v>
      </c>
      <c r="E61" s="4">
        <v>1800000</v>
      </c>
      <c r="F61" s="4">
        <f t="shared" si="18"/>
        <v>0</v>
      </c>
      <c r="G61" s="4">
        <v>1800000</v>
      </c>
      <c r="H61" s="4">
        <v>6084</v>
      </c>
      <c r="I61" s="4">
        <v>124488</v>
      </c>
      <c r="J61" s="4">
        <v>24428</v>
      </c>
      <c r="K61" s="4">
        <f t="shared" si="2"/>
        <v>148916</v>
      </c>
      <c r="L61" s="4">
        <f t="shared" si="3"/>
        <v>155000</v>
      </c>
      <c r="M61" s="4">
        <f t="shared" si="4"/>
        <v>1645000</v>
      </c>
      <c r="N61" s="4"/>
      <c r="O61" s="4">
        <f t="shared" si="5"/>
        <v>0</v>
      </c>
      <c r="P61" s="4">
        <f t="shared" si="6"/>
        <v>1645000</v>
      </c>
      <c r="Q61" s="4"/>
      <c r="R61" s="4"/>
      <c r="S61" s="4">
        <f t="shared" si="7"/>
        <v>0</v>
      </c>
      <c r="T61" s="4">
        <f t="shared" si="8"/>
        <v>0</v>
      </c>
      <c r="U61" s="4">
        <f t="shared" si="1"/>
        <v>0</v>
      </c>
      <c r="V61" s="4"/>
      <c r="W61" s="4">
        <f t="shared" si="9"/>
        <v>0</v>
      </c>
      <c r="X61" s="4"/>
      <c r="Y61" s="4"/>
      <c r="Z61" s="3"/>
      <c r="AA61" s="323"/>
      <c r="AB61" s="3">
        <v>810000</v>
      </c>
      <c r="AC61" s="198"/>
      <c r="AD61" s="4"/>
      <c r="AE61" s="4"/>
      <c r="AF61" s="4"/>
      <c r="AG61" s="4"/>
      <c r="AH61" s="4"/>
      <c r="AI61" s="4"/>
      <c r="AJ61" s="4"/>
      <c r="AK61" s="4"/>
      <c r="AL61" s="4">
        <f t="shared" si="19"/>
        <v>0</v>
      </c>
      <c r="AM61" s="4"/>
      <c r="AN61" s="4">
        <f t="shared" si="11"/>
        <v>0</v>
      </c>
      <c r="AO61" s="4">
        <f t="shared" si="12"/>
        <v>0</v>
      </c>
      <c r="AP61" s="499"/>
      <c r="AQ61" s="499">
        <f t="shared" si="13"/>
        <v>0</v>
      </c>
      <c r="AR61" s="499"/>
      <c r="AS61" s="4"/>
      <c r="AT61" s="4"/>
      <c r="AU61" s="499"/>
      <c r="AV61" s="499">
        <f t="shared" si="14"/>
        <v>0</v>
      </c>
      <c r="AW61" s="499"/>
      <c r="AX61" s="4"/>
      <c r="AY61" s="4"/>
      <c r="AZ61" s="499"/>
      <c r="BA61" s="499">
        <f t="shared" si="15"/>
        <v>0</v>
      </c>
      <c r="BB61" s="499"/>
      <c r="BC61" s="499"/>
      <c r="BD61" s="499"/>
      <c r="BE61" s="29"/>
      <c r="BF61" s="29"/>
      <c r="BG61" s="29"/>
      <c r="BH61" s="29"/>
      <c r="BI61" s="28"/>
    </row>
    <row r="62" spans="1:61" s="5" customFormat="1" ht="27.6">
      <c r="A62" s="3">
        <f t="shared" si="16"/>
        <v>56</v>
      </c>
      <c r="B62" s="3">
        <v>2029</v>
      </c>
      <c r="C62" s="3" t="s">
        <v>513</v>
      </c>
      <c r="D62" s="4">
        <v>300000</v>
      </c>
      <c r="E62" s="4">
        <v>300000</v>
      </c>
      <c r="F62" s="4">
        <f t="shared" si="18"/>
        <v>0</v>
      </c>
      <c r="G62" s="4">
        <v>300000</v>
      </c>
      <c r="H62" s="4">
        <v>0</v>
      </c>
      <c r="I62" s="4"/>
      <c r="J62" s="4"/>
      <c r="K62" s="4">
        <f t="shared" si="2"/>
        <v>0</v>
      </c>
      <c r="L62" s="4">
        <f t="shared" si="3"/>
        <v>0</v>
      </c>
      <c r="M62" s="4">
        <f t="shared" si="4"/>
        <v>300000</v>
      </c>
      <c r="N62" s="4"/>
      <c r="O62" s="4">
        <f t="shared" si="5"/>
        <v>0</v>
      </c>
      <c r="P62" s="4">
        <f t="shared" si="6"/>
        <v>300000</v>
      </c>
      <c r="Q62" s="4"/>
      <c r="R62" s="4"/>
      <c r="S62" s="4">
        <f t="shared" si="7"/>
        <v>0</v>
      </c>
      <c r="T62" s="4">
        <f t="shared" si="8"/>
        <v>0</v>
      </c>
      <c r="U62" s="4">
        <f t="shared" si="1"/>
        <v>0</v>
      </c>
      <c r="V62" s="4"/>
      <c r="W62" s="4">
        <f t="shared" si="9"/>
        <v>0</v>
      </c>
      <c r="X62" s="4"/>
      <c r="Y62" s="4"/>
      <c r="Z62" s="3"/>
      <c r="AA62" s="323"/>
      <c r="AB62" s="3">
        <v>850000</v>
      </c>
      <c r="AC62" s="198"/>
      <c r="AD62" s="4"/>
      <c r="AE62" s="4"/>
      <c r="AF62" s="4"/>
      <c r="AG62" s="4"/>
      <c r="AH62" s="4"/>
      <c r="AI62" s="4"/>
      <c r="AJ62" s="4"/>
      <c r="AK62" s="4"/>
      <c r="AL62" s="4">
        <f t="shared" si="19"/>
        <v>0</v>
      </c>
      <c r="AM62" s="4"/>
      <c r="AN62" s="4">
        <f t="shared" si="11"/>
        <v>0</v>
      </c>
      <c r="AO62" s="4">
        <f t="shared" si="12"/>
        <v>0</v>
      </c>
      <c r="AP62" s="499"/>
      <c r="AQ62" s="499">
        <f t="shared" si="13"/>
        <v>0</v>
      </c>
      <c r="AR62" s="499"/>
      <c r="AS62" s="4"/>
      <c r="AT62" s="4"/>
      <c r="AU62" s="499"/>
      <c r="AV62" s="499">
        <f t="shared" si="14"/>
        <v>0</v>
      </c>
      <c r="AW62" s="499"/>
      <c r="AX62" s="4"/>
      <c r="AY62" s="4"/>
      <c r="AZ62" s="499"/>
      <c r="BA62" s="499">
        <f t="shared" si="15"/>
        <v>0</v>
      </c>
      <c r="BB62" s="499"/>
      <c r="BC62" s="499"/>
      <c r="BD62" s="499"/>
      <c r="BE62" s="29"/>
      <c r="BF62" s="29"/>
      <c r="BG62" s="29"/>
      <c r="BH62" s="29"/>
      <c r="BI62" s="28"/>
    </row>
    <row r="63" spans="1:61" s="5" customFormat="1" ht="19.95" customHeight="1">
      <c r="A63" s="3">
        <f t="shared" si="16"/>
        <v>57</v>
      </c>
      <c r="B63" s="3">
        <v>2030</v>
      </c>
      <c r="C63" s="3" t="s">
        <v>385</v>
      </c>
      <c r="D63" s="4">
        <v>31500000</v>
      </c>
      <c r="E63" s="4">
        <v>28000000</v>
      </c>
      <c r="F63" s="4">
        <f t="shared" si="18"/>
        <v>3500000</v>
      </c>
      <c r="G63" s="4">
        <v>3000000</v>
      </c>
      <c r="H63" s="4">
        <v>584408.21</v>
      </c>
      <c r="I63" s="4">
        <v>570857.04</v>
      </c>
      <c r="J63" s="4">
        <f>1935188-570857</f>
        <v>1364331</v>
      </c>
      <c r="K63" s="4">
        <f t="shared" si="2"/>
        <v>1935188.04</v>
      </c>
      <c r="L63" s="4">
        <f t="shared" si="3"/>
        <v>2519596.25</v>
      </c>
      <c r="M63" s="4">
        <f t="shared" si="4"/>
        <v>480403.75</v>
      </c>
      <c r="N63" s="4">
        <f>20000000-5000000-5000000-2000000</f>
        <v>8000000</v>
      </c>
      <c r="O63" s="4">
        <f t="shared" si="5"/>
        <v>20500000</v>
      </c>
      <c r="P63" s="4">
        <f t="shared" si="6"/>
        <v>480403.75</v>
      </c>
      <c r="Q63" s="4"/>
      <c r="R63" s="4"/>
      <c r="S63" s="4">
        <f t="shared" si="7"/>
        <v>0</v>
      </c>
      <c r="T63" s="4">
        <f t="shared" si="8"/>
        <v>0</v>
      </c>
      <c r="U63" s="4">
        <f t="shared" si="1"/>
        <v>8000000</v>
      </c>
      <c r="V63" s="4">
        <f>U63-W63-X63-Y63-Z63</f>
        <v>7890000</v>
      </c>
      <c r="W63" s="4"/>
      <c r="X63" s="4"/>
      <c r="Y63" s="4"/>
      <c r="Z63" s="4">
        <v>110000</v>
      </c>
      <c r="AA63" s="323" t="s">
        <v>622</v>
      </c>
      <c r="AB63" s="3">
        <v>810000</v>
      </c>
      <c r="AC63" s="198"/>
      <c r="AD63" s="4">
        <v>8000000</v>
      </c>
      <c r="AE63" s="4"/>
      <c r="AF63" s="4"/>
      <c r="AG63" s="4"/>
      <c r="AH63" s="4"/>
      <c r="AI63" s="4"/>
      <c r="AJ63" s="4"/>
      <c r="AK63" s="4"/>
      <c r="AL63" s="4">
        <f t="shared" si="19"/>
        <v>8000000</v>
      </c>
      <c r="AM63" s="4"/>
      <c r="AN63" s="4">
        <f t="shared" si="11"/>
        <v>8000000</v>
      </c>
      <c r="AO63" s="4">
        <f t="shared" si="12"/>
        <v>0</v>
      </c>
      <c r="AP63" s="499">
        <v>7890000</v>
      </c>
      <c r="AQ63" s="499">
        <f t="shared" si="13"/>
        <v>0</v>
      </c>
      <c r="AR63" s="499"/>
      <c r="AS63" s="4"/>
      <c r="AT63" s="4">
        <v>110000</v>
      </c>
      <c r="AU63" s="499"/>
      <c r="AV63" s="499">
        <f t="shared" si="14"/>
        <v>0</v>
      </c>
      <c r="AW63" s="499"/>
      <c r="AX63" s="4"/>
      <c r="AY63" s="4"/>
      <c r="AZ63" s="499"/>
      <c r="BA63" s="499">
        <f t="shared" si="15"/>
        <v>0</v>
      </c>
      <c r="BB63" s="499"/>
      <c r="BC63" s="499"/>
      <c r="BD63" s="499"/>
      <c r="BE63" s="29"/>
      <c r="BF63" s="29"/>
      <c r="BG63" s="28"/>
      <c r="BH63" s="28"/>
      <c r="BI63" s="28"/>
    </row>
    <row r="64" spans="1:61" s="5" customFormat="1" ht="27.6">
      <c r="A64" s="3">
        <f t="shared" si="16"/>
        <v>58</v>
      </c>
      <c r="B64" s="3">
        <v>2061</v>
      </c>
      <c r="C64" s="3" t="s">
        <v>514</v>
      </c>
      <c r="D64" s="4">
        <v>290000</v>
      </c>
      <c r="E64" s="4">
        <v>290000</v>
      </c>
      <c r="F64" s="4">
        <f t="shared" si="18"/>
        <v>0</v>
      </c>
      <c r="G64" s="4">
        <v>290000</v>
      </c>
      <c r="H64" s="4">
        <v>0</v>
      </c>
      <c r="I64" s="4"/>
      <c r="J64" s="4">
        <v>243144</v>
      </c>
      <c r="K64" s="4">
        <f t="shared" ref="K64:K70" si="20">SUM(I64:J64)</f>
        <v>243144</v>
      </c>
      <c r="L64" s="4">
        <f t="shared" si="3"/>
        <v>243144</v>
      </c>
      <c r="M64" s="4">
        <f t="shared" si="4"/>
        <v>46856</v>
      </c>
      <c r="N64" s="4"/>
      <c r="O64" s="4">
        <f t="shared" si="5"/>
        <v>0</v>
      </c>
      <c r="P64" s="4">
        <f t="shared" si="6"/>
        <v>46856</v>
      </c>
      <c r="Q64" s="4"/>
      <c r="R64" s="4"/>
      <c r="S64" s="4">
        <f t="shared" si="7"/>
        <v>0</v>
      </c>
      <c r="T64" s="4">
        <f t="shared" si="8"/>
        <v>0</v>
      </c>
      <c r="U64" s="4">
        <f t="shared" si="1"/>
        <v>0</v>
      </c>
      <c r="V64" s="4"/>
      <c r="W64" s="4">
        <f t="shared" si="9"/>
        <v>0</v>
      </c>
      <c r="X64" s="4"/>
      <c r="Y64" s="4"/>
      <c r="Z64" s="3"/>
      <c r="AA64" s="323" t="s">
        <v>773</v>
      </c>
      <c r="AB64" s="3">
        <v>930000</v>
      </c>
      <c r="AC64" s="198"/>
      <c r="AD64" s="4"/>
      <c r="AE64" s="4"/>
      <c r="AF64" s="4"/>
      <c r="AG64" s="4"/>
      <c r="AH64" s="4"/>
      <c r="AI64" s="4"/>
      <c r="AJ64" s="4"/>
      <c r="AK64" s="4"/>
      <c r="AL64" s="4">
        <f t="shared" si="19"/>
        <v>0</v>
      </c>
      <c r="AM64" s="4"/>
      <c r="AN64" s="4">
        <f t="shared" si="11"/>
        <v>0</v>
      </c>
      <c r="AO64" s="4">
        <f t="shared" si="12"/>
        <v>0</v>
      </c>
      <c r="AP64" s="499"/>
      <c r="AQ64" s="499">
        <f t="shared" si="13"/>
        <v>0</v>
      </c>
      <c r="AR64" s="499"/>
      <c r="AS64" s="4"/>
      <c r="AT64" s="4"/>
      <c r="AU64" s="499"/>
      <c r="AV64" s="499">
        <f t="shared" si="14"/>
        <v>0</v>
      </c>
      <c r="AW64" s="499"/>
      <c r="AX64" s="4"/>
      <c r="AY64" s="4"/>
      <c r="AZ64" s="499"/>
      <c r="BA64" s="499">
        <f t="shared" si="15"/>
        <v>0</v>
      </c>
      <c r="BB64" s="499"/>
      <c r="BC64" s="499"/>
      <c r="BD64" s="499"/>
      <c r="BE64" s="29"/>
      <c r="BF64" s="29"/>
      <c r="BG64" s="29"/>
      <c r="BH64" s="29"/>
      <c r="BI64" s="28"/>
    </row>
    <row r="65" spans="1:62" s="5" customFormat="1" ht="19.95" customHeight="1">
      <c r="A65" s="3">
        <f t="shared" si="16"/>
        <v>59</v>
      </c>
      <c r="B65" s="3">
        <v>2063</v>
      </c>
      <c r="C65" s="3" t="s">
        <v>515</v>
      </c>
      <c r="D65" s="4">
        <v>1490000</v>
      </c>
      <c r="E65" s="4">
        <v>1490000</v>
      </c>
      <c r="F65" s="4">
        <f t="shared" si="18"/>
        <v>0</v>
      </c>
      <c r="G65" s="4">
        <v>1490000</v>
      </c>
      <c r="H65" s="4">
        <v>0</v>
      </c>
      <c r="I65" s="4">
        <v>61074</v>
      </c>
      <c r="J65" s="4">
        <v>27787.5</v>
      </c>
      <c r="K65" s="4">
        <f t="shared" si="20"/>
        <v>88861.5</v>
      </c>
      <c r="L65" s="4">
        <f t="shared" si="3"/>
        <v>88861.5</v>
      </c>
      <c r="M65" s="4">
        <f t="shared" si="4"/>
        <v>1401138.5</v>
      </c>
      <c r="N65" s="4">
        <v>0</v>
      </c>
      <c r="O65" s="4">
        <f t="shared" si="5"/>
        <v>0</v>
      </c>
      <c r="P65" s="4">
        <f t="shared" si="6"/>
        <v>1401138.5</v>
      </c>
      <c r="Q65" s="4"/>
      <c r="R65" s="4"/>
      <c r="S65" s="4">
        <f t="shared" si="7"/>
        <v>0</v>
      </c>
      <c r="T65" s="4">
        <f t="shared" si="8"/>
        <v>0</v>
      </c>
      <c r="U65" s="4">
        <f t="shared" si="1"/>
        <v>0</v>
      </c>
      <c r="V65" s="4"/>
      <c r="W65" s="4">
        <f t="shared" si="9"/>
        <v>0</v>
      </c>
      <c r="X65" s="4"/>
      <c r="Y65" s="4"/>
      <c r="Z65" s="3"/>
      <c r="AA65" s="323" t="s">
        <v>774</v>
      </c>
      <c r="AB65" s="3">
        <v>810000</v>
      </c>
      <c r="AC65" s="198"/>
      <c r="AD65" s="4"/>
      <c r="AE65" s="4"/>
      <c r="AF65" s="4"/>
      <c r="AG65" s="4"/>
      <c r="AH65" s="4"/>
      <c r="AI65" s="4"/>
      <c r="AJ65" s="4"/>
      <c r="AK65" s="4"/>
      <c r="AL65" s="4">
        <f t="shared" ref="AL65:AL70" si="21">SUM(AC65:AK65)</f>
        <v>0</v>
      </c>
      <c r="AM65" s="4"/>
      <c r="AN65" s="4">
        <f t="shared" si="11"/>
        <v>0</v>
      </c>
      <c r="AO65" s="4">
        <f t="shared" si="12"/>
        <v>0</v>
      </c>
      <c r="AP65" s="499"/>
      <c r="AQ65" s="499">
        <f t="shared" si="13"/>
        <v>0</v>
      </c>
      <c r="AR65" s="499"/>
      <c r="AS65" s="4"/>
      <c r="AT65" s="4"/>
      <c r="AU65" s="499"/>
      <c r="AV65" s="499">
        <f t="shared" si="14"/>
        <v>0</v>
      </c>
      <c r="AW65" s="499"/>
      <c r="AX65" s="4"/>
      <c r="AY65" s="4"/>
      <c r="AZ65" s="499"/>
      <c r="BA65" s="499">
        <f t="shared" si="15"/>
        <v>0</v>
      </c>
      <c r="BB65" s="499"/>
      <c r="BC65" s="499"/>
      <c r="BD65" s="499"/>
      <c r="BE65" s="29"/>
      <c r="BF65" s="29"/>
      <c r="BG65" s="29"/>
      <c r="BH65" s="29"/>
      <c r="BI65" s="28"/>
    </row>
    <row r="66" spans="1:62" s="5" customFormat="1">
      <c r="A66" s="3">
        <f t="shared" si="16"/>
        <v>60</v>
      </c>
      <c r="B66" s="3">
        <v>2065</v>
      </c>
      <c r="C66" s="3" t="s">
        <v>516</v>
      </c>
      <c r="D66" s="4">
        <v>700000</v>
      </c>
      <c r="E66" s="4">
        <v>700000</v>
      </c>
      <c r="F66" s="4">
        <f t="shared" si="18"/>
        <v>0</v>
      </c>
      <c r="G66" s="4">
        <v>700000</v>
      </c>
      <c r="H66" s="4">
        <v>546750.99</v>
      </c>
      <c r="I66" s="4"/>
      <c r="J66" s="4">
        <v>153196</v>
      </c>
      <c r="K66" s="4">
        <f t="shared" si="20"/>
        <v>153196</v>
      </c>
      <c r="L66" s="4">
        <f t="shared" si="3"/>
        <v>699946.99</v>
      </c>
      <c r="M66" s="4">
        <f t="shared" si="4"/>
        <v>53.010000000009313</v>
      </c>
      <c r="N66" s="4"/>
      <c r="O66" s="4">
        <f t="shared" si="5"/>
        <v>0</v>
      </c>
      <c r="P66" s="4">
        <f t="shared" si="6"/>
        <v>53.010000000009313</v>
      </c>
      <c r="Q66" s="4"/>
      <c r="R66" s="4"/>
      <c r="S66" s="4">
        <f t="shared" si="7"/>
        <v>0</v>
      </c>
      <c r="T66" s="4">
        <f t="shared" si="8"/>
        <v>0</v>
      </c>
      <c r="U66" s="4">
        <f t="shared" si="1"/>
        <v>0</v>
      </c>
      <c r="V66" s="4"/>
      <c r="W66" s="4">
        <f t="shared" si="9"/>
        <v>0</v>
      </c>
      <c r="X66" s="4"/>
      <c r="Y66" s="4"/>
      <c r="Z66" s="3"/>
      <c r="AA66" s="323" t="s">
        <v>775</v>
      </c>
      <c r="AB66" s="3">
        <v>810000</v>
      </c>
      <c r="AC66" s="198"/>
      <c r="AD66" s="4"/>
      <c r="AE66" s="4"/>
      <c r="AF66" s="4"/>
      <c r="AG66" s="4"/>
      <c r="AH66" s="4"/>
      <c r="AI66" s="4"/>
      <c r="AJ66" s="4"/>
      <c r="AK66" s="4"/>
      <c r="AL66" s="4">
        <f t="shared" si="21"/>
        <v>0</v>
      </c>
      <c r="AM66" s="4"/>
      <c r="AN66" s="4">
        <f t="shared" si="11"/>
        <v>0</v>
      </c>
      <c r="AO66" s="4">
        <f t="shared" si="12"/>
        <v>0</v>
      </c>
      <c r="AP66" s="499"/>
      <c r="AQ66" s="499">
        <f t="shared" si="13"/>
        <v>0</v>
      </c>
      <c r="AR66" s="499"/>
      <c r="AS66" s="4"/>
      <c r="AT66" s="4"/>
      <c r="AU66" s="499"/>
      <c r="AV66" s="499">
        <f t="shared" si="14"/>
        <v>0</v>
      </c>
      <c r="AW66" s="499"/>
      <c r="AX66" s="4"/>
      <c r="AY66" s="4"/>
      <c r="AZ66" s="499"/>
      <c r="BA66" s="499">
        <f t="shared" si="15"/>
        <v>0</v>
      </c>
      <c r="BB66" s="499"/>
      <c r="BC66" s="499"/>
      <c r="BD66" s="499"/>
      <c r="BE66" s="29"/>
      <c r="BF66" s="29"/>
      <c r="BG66" s="29"/>
      <c r="BH66" s="29"/>
      <c r="BI66" s="28"/>
    </row>
    <row r="67" spans="1:62" s="5" customFormat="1" ht="27.6">
      <c r="A67" s="3">
        <f t="shared" si="16"/>
        <v>61</v>
      </c>
      <c r="B67" s="3">
        <v>2068</v>
      </c>
      <c r="C67" s="3" t="s">
        <v>776</v>
      </c>
      <c r="D67" s="4">
        <v>280000</v>
      </c>
      <c r="E67" s="4">
        <v>280000</v>
      </c>
      <c r="F67" s="4">
        <f t="shared" si="18"/>
        <v>0</v>
      </c>
      <c r="G67" s="4">
        <v>280000</v>
      </c>
      <c r="H67" s="4">
        <v>0</v>
      </c>
      <c r="I67" s="4"/>
      <c r="J67" s="4">
        <v>276360.27</v>
      </c>
      <c r="K67" s="4">
        <f t="shared" si="20"/>
        <v>276360.27</v>
      </c>
      <c r="L67" s="4">
        <f t="shared" si="3"/>
        <v>276360.27</v>
      </c>
      <c r="M67" s="4">
        <f t="shared" si="4"/>
        <v>3639.7299999999814</v>
      </c>
      <c r="N67" s="4"/>
      <c r="O67" s="4">
        <f t="shared" si="5"/>
        <v>0</v>
      </c>
      <c r="P67" s="4">
        <f t="shared" si="6"/>
        <v>3639.7299999999814</v>
      </c>
      <c r="Q67" s="4"/>
      <c r="R67" s="4"/>
      <c r="S67" s="4">
        <f t="shared" si="7"/>
        <v>0</v>
      </c>
      <c r="T67" s="4">
        <f t="shared" si="8"/>
        <v>0</v>
      </c>
      <c r="U67" s="4">
        <f t="shared" si="1"/>
        <v>0</v>
      </c>
      <c r="V67" s="4"/>
      <c r="W67" s="4">
        <f t="shared" si="9"/>
        <v>0</v>
      </c>
      <c r="X67" s="4"/>
      <c r="Y67" s="4"/>
      <c r="Z67" s="3"/>
      <c r="AA67" s="323" t="s">
        <v>777</v>
      </c>
      <c r="AB67" s="3">
        <v>829000</v>
      </c>
      <c r="AC67" s="198"/>
      <c r="AD67" s="4"/>
      <c r="AE67" s="4"/>
      <c r="AF67" s="4"/>
      <c r="AG67" s="4"/>
      <c r="AH67" s="4"/>
      <c r="AI67" s="4"/>
      <c r="AJ67" s="4"/>
      <c r="AK67" s="4"/>
      <c r="AL67" s="4">
        <f t="shared" si="21"/>
        <v>0</v>
      </c>
      <c r="AM67" s="4"/>
      <c r="AN67" s="4">
        <f t="shared" si="11"/>
        <v>0</v>
      </c>
      <c r="AO67" s="4">
        <f t="shared" si="12"/>
        <v>0</v>
      </c>
      <c r="AP67" s="499"/>
      <c r="AQ67" s="499">
        <f t="shared" si="13"/>
        <v>0</v>
      </c>
      <c r="AR67" s="499"/>
      <c r="AS67" s="4"/>
      <c r="AT67" s="4"/>
      <c r="AU67" s="499"/>
      <c r="AV67" s="499">
        <f t="shared" si="14"/>
        <v>0</v>
      </c>
      <c r="AW67" s="499"/>
      <c r="AX67" s="4"/>
      <c r="AY67" s="4"/>
      <c r="AZ67" s="499"/>
      <c r="BA67" s="499">
        <f t="shared" si="15"/>
        <v>0</v>
      </c>
      <c r="BB67" s="499"/>
      <c r="BC67" s="499"/>
      <c r="BD67" s="499"/>
      <c r="BE67" s="29"/>
      <c r="BF67" s="29"/>
      <c r="BG67" s="29"/>
      <c r="BH67" s="29"/>
      <c r="BI67" s="28"/>
    </row>
    <row r="68" spans="1:62" s="5" customFormat="1" ht="19.95" customHeight="1">
      <c r="A68" s="3">
        <f t="shared" si="16"/>
        <v>62</v>
      </c>
      <c r="B68" s="3">
        <v>2074</v>
      </c>
      <c r="C68" s="3" t="s">
        <v>517</v>
      </c>
      <c r="D68" s="4">
        <f>2500000-500000</f>
        <v>2000000</v>
      </c>
      <c r="E68" s="4">
        <v>560000</v>
      </c>
      <c r="F68" s="4">
        <f>D68-E68</f>
        <v>1440000</v>
      </c>
      <c r="G68" s="4">
        <v>560000</v>
      </c>
      <c r="H68" s="4">
        <v>0</v>
      </c>
      <c r="I68" s="4"/>
      <c r="J68" s="4">
        <v>7897</v>
      </c>
      <c r="K68" s="4">
        <f t="shared" si="20"/>
        <v>7897</v>
      </c>
      <c r="L68" s="4">
        <f>K68+H68</f>
        <v>7897</v>
      </c>
      <c r="M68" s="4">
        <f>P68+S68</f>
        <v>552103</v>
      </c>
      <c r="N68" s="4">
        <f>1940000-500000</f>
        <v>1440000</v>
      </c>
      <c r="O68" s="4">
        <f>D68-L68-M68-N68</f>
        <v>0</v>
      </c>
      <c r="P68" s="4">
        <f>G68-L68</f>
        <v>552103</v>
      </c>
      <c r="Q68" s="4"/>
      <c r="R68" s="4"/>
      <c r="S68" s="4">
        <f>SUM(Q68:R68)</f>
        <v>0</v>
      </c>
      <c r="T68" s="4">
        <f>P68-M68+S68</f>
        <v>0</v>
      </c>
      <c r="U68" s="4">
        <f>N68-T68</f>
        <v>1440000</v>
      </c>
      <c r="V68" s="4">
        <f>U68*0.5</f>
        <v>720000</v>
      </c>
      <c r="W68" s="4">
        <f>U68-V68-Y68-Z68</f>
        <v>720000</v>
      </c>
      <c r="X68" s="4"/>
      <c r="Y68" s="4"/>
      <c r="Z68" s="3"/>
      <c r="AA68" s="323" t="s">
        <v>518</v>
      </c>
      <c r="AB68" s="3">
        <v>930000</v>
      </c>
      <c r="AC68" s="198"/>
      <c r="AD68" s="4">
        <v>1440000</v>
      </c>
      <c r="AE68" s="4"/>
      <c r="AF68" s="4"/>
      <c r="AG68" s="4"/>
      <c r="AH68" s="4"/>
      <c r="AI68" s="4"/>
      <c r="AJ68" s="4"/>
      <c r="AK68" s="4"/>
      <c r="AL68" s="4">
        <f t="shared" si="21"/>
        <v>1440000</v>
      </c>
      <c r="AM68" s="4"/>
      <c r="AN68" s="4">
        <f t="shared" si="11"/>
        <v>1440000</v>
      </c>
      <c r="AO68" s="4">
        <f t="shared" si="12"/>
        <v>0</v>
      </c>
      <c r="AP68" s="499">
        <v>720000</v>
      </c>
      <c r="AQ68" s="499">
        <f t="shared" si="13"/>
        <v>720000</v>
      </c>
      <c r="AR68" s="499"/>
      <c r="AS68" s="4"/>
      <c r="AT68" s="4"/>
      <c r="AU68" s="499"/>
      <c r="AV68" s="499">
        <f t="shared" si="14"/>
        <v>0</v>
      </c>
      <c r="AW68" s="499"/>
      <c r="AX68" s="4"/>
      <c r="AY68" s="4"/>
      <c r="AZ68" s="499"/>
      <c r="BA68" s="499">
        <f t="shared" si="15"/>
        <v>0</v>
      </c>
      <c r="BB68" s="499"/>
      <c r="BC68" s="499"/>
      <c r="BD68" s="499"/>
      <c r="BE68" s="29"/>
      <c r="BF68" s="29"/>
      <c r="BG68" s="29"/>
      <c r="BH68" s="29"/>
      <c r="BI68" s="28"/>
    </row>
    <row r="69" spans="1:62" s="5" customFormat="1" ht="19.95" customHeight="1">
      <c r="A69" s="3">
        <f t="shared" si="16"/>
        <v>63</v>
      </c>
      <c r="B69" s="39">
        <v>2095</v>
      </c>
      <c r="C69" s="3" t="s">
        <v>519</v>
      </c>
      <c r="D69" s="4">
        <v>160000</v>
      </c>
      <c r="E69" s="4"/>
      <c r="F69" s="4">
        <f>D69-E69</f>
        <v>160000</v>
      </c>
      <c r="G69" s="4"/>
      <c r="H69" s="4"/>
      <c r="I69" s="4"/>
      <c r="J69" s="4"/>
      <c r="K69" s="4">
        <f t="shared" si="20"/>
        <v>0</v>
      </c>
      <c r="L69" s="4">
        <f>K69+H69</f>
        <v>0</v>
      </c>
      <c r="M69" s="4">
        <f>P69+S69</f>
        <v>0</v>
      </c>
      <c r="N69" s="4">
        <v>160000</v>
      </c>
      <c r="O69" s="4">
        <f>D69-L69-M69-N69</f>
        <v>0</v>
      </c>
      <c r="P69" s="4">
        <f>G69-L69</f>
        <v>0</v>
      </c>
      <c r="Q69" s="4"/>
      <c r="R69" s="4"/>
      <c r="S69" s="4">
        <f>SUM(Q69:R69)</f>
        <v>0</v>
      </c>
      <c r="T69" s="4">
        <f>P69-M69+S69</f>
        <v>0</v>
      </c>
      <c r="U69" s="4">
        <f>N69-T69</f>
        <v>160000</v>
      </c>
      <c r="V69" s="4"/>
      <c r="W69" s="4">
        <f>U69-V69-Y69-Z69</f>
        <v>160000</v>
      </c>
      <c r="X69" s="4"/>
      <c r="Y69" s="4"/>
      <c r="Z69" s="3"/>
      <c r="AA69" s="323" t="s">
        <v>520</v>
      </c>
      <c r="AB69" s="3">
        <v>610000</v>
      </c>
      <c r="AC69" s="198"/>
      <c r="AD69" s="4">
        <v>160000</v>
      </c>
      <c r="AE69" s="4"/>
      <c r="AF69" s="4"/>
      <c r="AG69" s="4"/>
      <c r="AH69" s="4"/>
      <c r="AI69" s="4"/>
      <c r="AJ69" s="4"/>
      <c r="AK69" s="4"/>
      <c r="AL69" s="4">
        <f t="shared" si="21"/>
        <v>160000</v>
      </c>
      <c r="AM69" s="4"/>
      <c r="AN69" s="4">
        <f t="shared" si="11"/>
        <v>160000</v>
      </c>
      <c r="AO69" s="4">
        <f t="shared" si="12"/>
        <v>0</v>
      </c>
      <c r="AP69" s="499"/>
      <c r="AQ69" s="499">
        <f t="shared" si="13"/>
        <v>160000</v>
      </c>
      <c r="AR69" s="499"/>
      <c r="AS69" s="4"/>
      <c r="AT69" s="4"/>
      <c r="AU69" s="499"/>
      <c r="AV69" s="499">
        <f t="shared" si="14"/>
        <v>0</v>
      </c>
      <c r="AW69" s="499"/>
      <c r="AX69" s="4"/>
      <c r="AY69" s="4"/>
      <c r="AZ69" s="499"/>
      <c r="BA69" s="499">
        <f t="shared" si="15"/>
        <v>0</v>
      </c>
      <c r="BB69" s="499"/>
      <c r="BC69" s="499"/>
      <c r="BD69" s="499"/>
      <c r="BE69" s="29"/>
      <c r="BF69" s="29"/>
      <c r="BG69" s="29"/>
      <c r="BH69" s="29"/>
      <c r="BI69" s="28"/>
    </row>
    <row r="70" spans="1:62" s="5" customFormat="1" ht="19.95" customHeight="1">
      <c r="A70" s="3">
        <f t="shared" si="16"/>
        <v>64</v>
      </c>
      <c r="B70" s="39">
        <v>2096</v>
      </c>
      <c r="C70" s="3" t="s">
        <v>521</v>
      </c>
      <c r="D70" s="4">
        <f>1715000-500000</f>
        <v>1215000</v>
      </c>
      <c r="E70" s="4"/>
      <c r="F70" s="4">
        <f>D70-E70</f>
        <v>1215000</v>
      </c>
      <c r="G70" s="4"/>
      <c r="H70" s="4"/>
      <c r="I70" s="4"/>
      <c r="J70" s="4"/>
      <c r="K70" s="4">
        <f t="shared" si="20"/>
        <v>0</v>
      </c>
      <c r="L70" s="4">
        <f>K70+H70</f>
        <v>0</v>
      </c>
      <c r="M70" s="4">
        <f>P70+S70</f>
        <v>0</v>
      </c>
      <c r="N70" s="4">
        <f>1715000-500000</f>
        <v>1215000</v>
      </c>
      <c r="O70" s="4">
        <f>D70-L70-M70-N70</f>
        <v>0</v>
      </c>
      <c r="P70" s="4">
        <f>G70-L70</f>
        <v>0</v>
      </c>
      <c r="Q70" s="4"/>
      <c r="R70" s="4"/>
      <c r="S70" s="4">
        <f>SUM(Q70:R70)</f>
        <v>0</v>
      </c>
      <c r="T70" s="4">
        <f>P70-M70+S70</f>
        <v>0</v>
      </c>
      <c r="U70" s="4">
        <f>N70-T70</f>
        <v>1215000</v>
      </c>
      <c r="V70" s="4">
        <f>500000-500000</f>
        <v>0</v>
      </c>
      <c r="W70" s="4">
        <f>U70-V70-Y70-Z70</f>
        <v>1215000</v>
      </c>
      <c r="X70" s="4"/>
      <c r="Y70" s="4"/>
      <c r="Z70" s="3"/>
      <c r="AA70" s="323" t="s">
        <v>778</v>
      </c>
      <c r="AB70" s="3">
        <v>930000</v>
      </c>
      <c r="AC70" s="376">
        <v>100000</v>
      </c>
      <c r="AD70" s="4">
        <v>200000</v>
      </c>
      <c r="AE70" s="4">
        <v>500000</v>
      </c>
      <c r="AF70" s="4"/>
      <c r="AG70" s="4"/>
      <c r="AH70" s="4"/>
      <c r="AI70" s="4"/>
      <c r="AJ70" s="4"/>
      <c r="AK70" s="4">
        <v>415000</v>
      </c>
      <c r="AL70" s="4">
        <f t="shared" si="21"/>
        <v>1215000</v>
      </c>
      <c r="AM70" s="4"/>
      <c r="AN70" s="4">
        <f t="shared" si="11"/>
        <v>1215000</v>
      </c>
      <c r="AO70" s="4">
        <f t="shared" si="12"/>
        <v>0</v>
      </c>
      <c r="AP70" s="499"/>
      <c r="AQ70" s="499">
        <f t="shared" si="13"/>
        <v>1215000</v>
      </c>
      <c r="AR70" s="499"/>
      <c r="AS70" s="4"/>
      <c r="AT70" s="4"/>
      <c r="AU70" s="499"/>
      <c r="AV70" s="499">
        <f t="shared" si="14"/>
        <v>0</v>
      </c>
      <c r="AW70" s="499"/>
      <c r="AX70" s="4"/>
      <c r="AY70" s="4"/>
      <c r="AZ70" s="499"/>
      <c r="BA70" s="499">
        <f t="shared" si="15"/>
        <v>0</v>
      </c>
      <c r="BB70" s="499"/>
      <c r="BC70" s="499"/>
      <c r="BD70" s="499"/>
      <c r="BE70" s="29"/>
      <c r="BF70" s="29"/>
      <c r="BG70" s="29"/>
      <c r="BH70" s="29"/>
      <c r="BI70" s="28"/>
    </row>
    <row r="71" spans="1:62" s="6" customFormat="1" ht="19.95" customHeight="1">
      <c r="A71" s="8">
        <f>A70</f>
        <v>64</v>
      </c>
      <c r="B71" s="8"/>
      <c r="C71" s="204" t="s">
        <v>687</v>
      </c>
      <c r="D71" s="9">
        <f t="shared" ref="D71:AM71" si="22">SUM(D7:D70)</f>
        <v>659008945</v>
      </c>
      <c r="E71" s="9">
        <f t="shared" si="22"/>
        <v>632243945</v>
      </c>
      <c r="F71" s="9">
        <f t="shared" si="22"/>
        <v>26765000</v>
      </c>
      <c r="G71" s="9">
        <f t="shared" si="22"/>
        <v>507684741</v>
      </c>
      <c r="H71" s="9">
        <f t="shared" si="22"/>
        <v>432359545.21999997</v>
      </c>
      <c r="I71" s="9">
        <f t="shared" si="22"/>
        <v>18484399.039999999</v>
      </c>
      <c r="J71" s="9">
        <f t="shared" si="22"/>
        <v>36617167.289999999</v>
      </c>
      <c r="K71" s="9">
        <f t="shared" si="22"/>
        <v>55101566.330000006</v>
      </c>
      <c r="L71" s="9">
        <f t="shared" si="22"/>
        <v>487461111.55000001</v>
      </c>
      <c r="M71" s="9">
        <f t="shared" si="22"/>
        <v>22273629.449999984</v>
      </c>
      <c r="N71" s="9">
        <f t="shared" si="22"/>
        <v>49991300</v>
      </c>
      <c r="O71" s="9">
        <f t="shared" si="22"/>
        <v>99282904</v>
      </c>
      <c r="P71" s="9">
        <f t="shared" si="22"/>
        <v>20223629.449999988</v>
      </c>
      <c r="Q71" s="9">
        <f t="shared" si="22"/>
        <v>2590000</v>
      </c>
      <c r="R71" s="9">
        <f t="shared" si="22"/>
        <v>0</v>
      </c>
      <c r="S71" s="9">
        <f t="shared" si="22"/>
        <v>2590000</v>
      </c>
      <c r="T71" s="9">
        <f t="shared" si="22"/>
        <v>540000</v>
      </c>
      <c r="U71" s="9">
        <f t="shared" si="22"/>
        <v>49451300</v>
      </c>
      <c r="V71" s="9">
        <f t="shared" si="22"/>
        <v>25230000</v>
      </c>
      <c r="W71" s="9">
        <f t="shared" si="22"/>
        <v>15000000</v>
      </c>
      <c r="X71" s="9">
        <f t="shared" si="22"/>
        <v>0</v>
      </c>
      <c r="Y71" s="9">
        <f t="shared" si="22"/>
        <v>0</v>
      </c>
      <c r="Z71" s="9">
        <f t="shared" si="22"/>
        <v>9221300</v>
      </c>
      <c r="AA71" s="9">
        <f t="shared" si="22"/>
        <v>0</v>
      </c>
      <c r="AB71" s="9">
        <f t="shared" si="22"/>
        <v>52109500</v>
      </c>
      <c r="AC71" s="9">
        <f t="shared" si="22"/>
        <v>800000</v>
      </c>
      <c r="AD71" s="9">
        <f t="shared" si="22"/>
        <v>17625000</v>
      </c>
      <c r="AE71" s="9">
        <f t="shared" si="22"/>
        <v>4260000</v>
      </c>
      <c r="AF71" s="9">
        <f t="shared" si="22"/>
        <v>3350000</v>
      </c>
      <c r="AG71" s="9">
        <f t="shared" si="22"/>
        <v>4350000</v>
      </c>
      <c r="AH71" s="9">
        <f t="shared" si="22"/>
        <v>420000</v>
      </c>
      <c r="AI71" s="9">
        <f t="shared" si="22"/>
        <v>-450000</v>
      </c>
      <c r="AJ71" s="9">
        <f t="shared" si="22"/>
        <v>3300000</v>
      </c>
      <c r="AK71" s="9">
        <f t="shared" si="22"/>
        <v>5135000</v>
      </c>
      <c r="AL71" s="9">
        <f t="shared" si="22"/>
        <v>38790000</v>
      </c>
      <c r="AM71" s="9">
        <f t="shared" si="22"/>
        <v>0</v>
      </c>
      <c r="AN71" s="9">
        <f>SUM(AN7:AN70)</f>
        <v>38790000</v>
      </c>
      <c r="AO71" s="9">
        <f>SUM(AO7:AO70)</f>
        <v>10661300</v>
      </c>
      <c r="AP71" s="9">
        <f t="shared" ref="AP71:BD71" si="23">SUM(AP7:AP70)</f>
        <v>24680000</v>
      </c>
      <c r="AQ71" s="9">
        <f t="shared" si="23"/>
        <v>14000000</v>
      </c>
      <c r="AR71" s="9">
        <f t="shared" si="23"/>
        <v>0</v>
      </c>
      <c r="AS71" s="9">
        <f t="shared" si="23"/>
        <v>0</v>
      </c>
      <c r="AT71" s="9">
        <f t="shared" si="23"/>
        <v>110000</v>
      </c>
      <c r="AU71" s="9">
        <f t="shared" si="23"/>
        <v>0</v>
      </c>
      <c r="AV71" s="9">
        <f t="shared" si="23"/>
        <v>0</v>
      </c>
      <c r="AW71" s="9">
        <f t="shared" si="23"/>
        <v>0</v>
      </c>
      <c r="AX71" s="9">
        <f t="shared" si="23"/>
        <v>0</v>
      </c>
      <c r="AY71" s="9">
        <f t="shared" si="23"/>
        <v>0</v>
      </c>
      <c r="AZ71" s="9">
        <f t="shared" si="23"/>
        <v>550000</v>
      </c>
      <c r="BA71" s="9">
        <f t="shared" si="23"/>
        <v>1000000</v>
      </c>
      <c r="BB71" s="9">
        <f t="shared" si="23"/>
        <v>0</v>
      </c>
      <c r="BC71" s="9">
        <f t="shared" si="23"/>
        <v>0</v>
      </c>
      <c r="BD71" s="9">
        <f t="shared" si="23"/>
        <v>9111300</v>
      </c>
      <c r="BE71" s="29"/>
      <c r="BF71" s="30"/>
      <c r="BG71" s="30"/>
      <c r="BH71" s="30"/>
      <c r="BI71" s="30"/>
      <c r="BJ71" s="27"/>
    </row>
    <row r="72" spans="1:62" s="29" customFormat="1" hidden="1">
      <c r="B72" s="19"/>
      <c r="C72" s="19"/>
      <c r="D72" s="25"/>
      <c r="E72" s="25"/>
      <c r="F72" s="25"/>
      <c r="G72" s="25"/>
      <c r="H72" s="25"/>
      <c r="I72" s="25"/>
      <c r="J72" s="25"/>
      <c r="K72" s="25"/>
      <c r="L72" s="22">
        <f>H71+K71</f>
        <v>487461111.54999995</v>
      </c>
      <c r="M72" s="22">
        <f>P71+S71-T71</f>
        <v>22273629.449999988</v>
      </c>
      <c r="N72" s="46"/>
      <c r="O72" s="25"/>
      <c r="P72" s="22">
        <f>G71-L71</f>
        <v>20223629.449999988</v>
      </c>
      <c r="Q72" s="25"/>
      <c r="R72" s="25"/>
      <c r="S72" s="25"/>
      <c r="T72" s="25"/>
      <c r="U72" s="22">
        <f>N71-T71</f>
        <v>49451300</v>
      </c>
      <c r="V72" s="47"/>
      <c r="W72" s="47"/>
      <c r="X72" s="47"/>
      <c r="Y72" s="47"/>
      <c r="Z72" s="47"/>
      <c r="AA72" s="45"/>
      <c r="AB72" s="19"/>
      <c r="AC72" s="210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31"/>
      <c r="AO72" s="351"/>
      <c r="AP72" s="351"/>
      <c r="AQ72" s="352"/>
      <c r="AR72" s="357"/>
      <c r="AS72" s="31"/>
      <c r="AT72" s="351"/>
      <c r="AU72" s="351"/>
      <c r="AV72" s="352"/>
      <c r="AW72" s="357"/>
      <c r="AX72" s="31"/>
      <c r="AY72" s="351"/>
      <c r="AZ72" s="351"/>
      <c r="BA72" s="352"/>
      <c r="BB72" s="351"/>
      <c r="BC72" s="352"/>
      <c r="BD72" s="357"/>
    </row>
    <row r="73" spans="1:62" s="29" customFormat="1">
      <c r="B73" s="19"/>
      <c r="C73" s="14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19"/>
      <c r="V73" s="19"/>
      <c r="W73" s="19"/>
      <c r="X73" s="19"/>
      <c r="Y73" s="19"/>
      <c r="Z73" s="19"/>
      <c r="AA73" s="37"/>
      <c r="AB73" s="19"/>
      <c r="AC73" s="210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31"/>
      <c r="AO73" s="351"/>
      <c r="AP73" s="351"/>
      <c r="AQ73" s="352"/>
      <c r="AR73" s="357"/>
      <c r="AS73" s="31"/>
      <c r="AT73" s="351"/>
      <c r="AU73" s="351"/>
      <c r="AV73" s="352"/>
      <c r="AW73" s="357"/>
      <c r="AX73" s="31"/>
      <c r="AY73" s="351"/>
      <c r="AZ73" s="351"/>
      <c r="BA73" s="352"/>
      <c r="BB73" s="351"/>
      <c r="BC73" s="352"/>
      <c r="BD73" s="357"/>
    </row>
    <row r="74" spans="1:62" s="29" customFormat="1">
      <c r="B74" s="19"/>
      <c r="C74" s="19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192"/>
      <c r="Q74" s="25"/>
      <c r="R74" s="25"/>
      <c r="S74" s="25"/>
      <c r="T74" s="25"/>
      <c r="U74" s="19"/>
      <c r="V74" s="19"/>
      <c r="W74" s="19"/>
      <c r="X74" s="19"/>
      <c r="Y74" s="19"/>
      <c r="Z74" s="19"/>
      <c r="AA74" s="37"/>
      <c r="AB74" s="19"/>
      <c r="AC74" s="210"/>
      <c r="AD74" s="191"/>
      <c r="AE74" s="191"/>
      <c r="AF74" s="191"/>
      <c r="AG74" s="191"/>
      <c r="AH74" s="191"/>
      <c r="AI74" s="191"/>
      <c r="AJ74" s="191"/>
      <c r="AK74" s="192">
        <f>SUM(AC71:AK71)</f>
        <v>38790000</v>
      </c>
      <c r="AL74" s="191"/>
      <c r="AM74" s="191"/>
      <c r="AN74" s="31"/>
      <c r="AO74" s="351"/>
      <c r="AP74" s="351"/>
      <c r="AQ74" s="352"/>
      <c r="AR74" s="357"/>
      <c r="AS74" s="31"/>
      <c r="AT74" s="351"/>
      <c r="AU74" s="351"/>
      <c r="AV74" s="352"/>
      <c r="AW74" s="357"/>
      <c r="AX74" s="31"/>
      <c r="AY74" s="351"/>
      <c r="AZ74" s="351"/>
      <c r="BA74" s="352"/>
      <c r="BB74" s="351"/>
      <c r="BC74" s="352"/>
      <c r="BD74" s="357"/>
    </row>
    <row r="75" spans="1:62">
      <c r="N75" s="25"/>
      <c r="O75" s="25"/>
      <c r="P75" s="25"/>
      <c r="Q75" s="25"/>
      <c r="R75" s="25"/>
      <c r="S75" s="25"/>
      <c r="T75" s="25"/>
      <c r="U75" s="19"/>
      <c r="AK75" s="192">
        <f>AL71-AK74</f>
        <v>0</v>
      </c>
    </row>
    <row r="76" spans="1:62">
      <c r="N76" s="25"/>
      <c r="O76" s="25"/>
      <c r="P76" s="25"/>
      <c r="Q76" s="25"/>
      <c r="R76" s="25"/>
      <c r="S76" s="25"/>
      <c r="T76" s="25"/>
      <c r="U76" s="19"/>
    </row>
    <row r="77" spans="1:62">
      <c r="N77" s="25"/>
      <c r="O77" s="25"/>
      <c r="P77" s="25"/>
      <c r="Q77" s="25"/>
      <c r="R77" s="25"/>
      <c r="S77" s="25"/>
      <c r="T77" s="25"/>
      <c r="U77" s="19"/>
    </row>
    <row r="78" spans="1:62" ht="15.6" hidden="1">
      <c r="N78" s="25"/>
      <c r="O78" s="25"/>
      <c r="P78" s="25"/>
      <c r="Q78" s="25"/>
      <c r="R78" s="25"/>
      <c r="S78" s="25"/>
      <c r="T78" s="25"/>
      <c r="U78" s="19"/>
      <c r="AA78" s="79" t="s">
        <v>522</v>
      </c>
    </row>
    <row r="79" spans="1:62">
      <c r="N79" s="25"/>
      <c r="O79" s="25"/>
      <c r="P79" s="25"/>
      <c r="Q79" s="25"/>
      <c r="R79" s="25"/>
      <c r="S79" s="25"/>
      <c r="T79" s="25"/>
      <c r="U79" s="19"/>
    </row>
    <row r="80" spans="1:62" s="16" customFormat="1">
      <c r="A80" s="37"/>
      <c r="B80" s="14"/>
      <c r="C80" s="14"/>
      <c r="N80" s="25"/>
      <c r="O80" s="25"/>
      <c r="P80" s="25"/>
      <c r="Q80" s="25"/>
      <c r="R80" s="25"/>
      <c r="S80" s="25"/>
      <c r="T80" s="25"/>
      <c r="U80" s="19"/>
      <c r="V80" s="14"/>
      <c r="W80" s="14"/>
      <c r="X80" s="14"/>
      <c r="Y80" s="14"/>
      <c r="Z80" s="14"/>
      <c r="AA80" s="37"/>
      <c r="AB80" s="14"/>
      <c r="AC80" s="210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31"/>
      <c r="AO80" s="351"/>
      <c r="AP80" s="351"/>
      <c r="AQ80" s="352"/>
      <c r="AR80" s="365"/>
      <c r="AS80" s="31"/>
      <c r="AT80" s="351"/>
      <c r="AU80" s="351"/>
      <c r="AV80" s="352"/>
      <c r="AW80" s="365"/>
      <c r="AX80" s="31"/>
      <c r="AY80" s="351"/>
      <c r="AZ80" s="351"/>
      <c r="BA80" s="352"/>
      <c r="BB80" s="351"/>
      <c r="BC80" s="352"/>
      <c r="BD80" s="365"/>
      <c r="BE80" s="19"/>
      <c r="BF80" s="19"/>
      <c r="BG80" s="25"/>
      <c r="BH80" s="25"/>
      <c r="BI80" s="25"/>
    </row>
    <row r="81" spans="14:61">
      <c r="N81" s="25"/>
      <c r="O81" s="25"/>
      <c r="P81" s="25"/>
      <c r="Q81" s="25"/>
      <c r="R81" s="25"/>
      <c r="S81" s="25"/>
      <c r="T81" s="25"/>
      <c r="U81" s="19"/>
    </row>
    <row r="82" spans="14:61">
      <c r="N82" s="25"/>
      <c r="O82" s="25"/>
      <c r="P82" s="25"/>
      <c r="Q82" s="25"/>
      <c r="R82" s="25"/>
      <c r="S82" s="25"/>
      <c r="T82" s="25"/>
      <c r="U82" s="19"/>
    </row>
    <row r="83" spans="14:61">
      <c r="N83" s="25"/>
      <c r="O83" s="25"/>
      <c r="P83" s="25"/>
      <c r="Q83" s="25"/>
      <c r="R83" s="25"/>
      <c r="S83" s="25"/>
      <c r="T83" s="25"/>
      <c r="U83" s="19"/>
    </row>
    <row r="84" spans="14:61">
      <c r="N84" s="25"/>
      <c r="O84" s="25"/>
      <c r="P84" s="25"/>
      <c r="Q84" s="25"/>
      <c r="R84" s="25"/>
      <c r="S84" s="25"/>
      <c r="T84" s="25"/>
      <c r="U84" s="19"/>
    </row>
    <row r="85" spans="14:61">
      <c r="N85" s="25"/>
      <c r="O85" s="25"/>
      <c r="P85" s="25"/>
      <c r="Q85" s="25"/>
      <c r="R85" s="25"/>
      <c r="S85" s="25"/>
      <c r="T85" s="25"/>
      <c r="U85" s="19"/>
    </row>
    <row r="86" spans="14:61">
      <c r="N86" s="25"/>
      <c r="O86" s="25"/>
      <c r="P86" s="25"/>
      <c r="Q86" s="25"/>
      <c r="R86" s="25"/>
      <c r="S86" s="25"/>
      <c r="T86" s="25"/>
      <c r="U86" s="19"/>
    </row>
    <row r="87" spans="14:61">
      <c r="N87" s="25"/>
      <c r="O87" s="25"/>
      <c r="P87" s="25"/>
      <c r="Q87" s="25"/>
      <c r="R87" s="25"/>
      <c r="S87" s="25"/>
      <c r="T87" s="25"/>
      <c r="U87" s="19"/>
    </row>
    <row r="89" spans="14:61">
      <c r="S89" s="42"/>
    </row>
    <row r="90" spans="14:61">
      <c r="S90" s="42"/>
    </row>
    <row r="91" spans="14:61">
      <c r="S91" s="42"/>
    </row>
    <row r="92" spans="14:61">
      <c r="S92" s="42"/>
      <c r="BI92" s="25"/>
    </row>
    <row r="93" spans="14:61">
      <c r="S93" s="42"/>
    </row>
    <row r="95" spans="14:61">
      <c r="S95" s="42"/>
    </row>
    <row r="96" spans="14:61">
      <c r="BI96" s="25"/>
    </row>
    <row r="97" spans="20:21">
      <c r="T97" s="14"/>
      <c r="U97" s="16"/>
    </row>
    <row r="98" spans="20:21">
      <c r="U98" s="16"/>
    </row>
  </sheetData>
  <sheetProtection formatCells="0" formatColumns="0" formatRows="0" insertColumns="0" insertRows="0" insertHyperlinks="0" deleteColumns="0" deleteRows="0" sort="0" autoFilter="0" pivotTables="0"/>
  <mergeCells count="6">
    <mergeCell ref="AZ4:BD4"/>
    <mergeCell ref="A4:C4"/>
    <mergeCell ref="T4:Z4"/>
    <mergeCell ref="AP4:AT4"/>
    <mergeCell ref="AL4:AN4"/>
    <mergeCell ref="AU4:AY4"/>
  </mergeCells>
  <conditionalFormatting sqref="AA5">
    <cfRule type="cellIs" dxfId="22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3"/>
  <sheetViews>
    <sheetView showZeros="0" rightToLeft="1" tabSelected="1" zoomScaleNormal="100" workbookViewId="0">
      <pane xSplit="3" ySplit="5" topLeftCell="D6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4.5546875" style="333" customWidth="1"/>
    <col min="2" max="2" width="5.44140625" style="191" customWidth="1"/>
    <col min="3" max="3" width="29.33203125" style="191" customWidth="1"/>
    <col min="4" max="4" width="9.44140625" style="192" hidden="1" customWidth="1"/>
    <col min="5" max="5" width="11" style="192" hidden="1" customWidth="1"/>
    <col min="6" max="6" width="9" style="192" hidden="1" customWidth="1"/>
    <col min="7" max="10" width="12.6640625" style="192" hidden="1" customWidth="1"/>
    <col min="11" max="11" width="11.33203125" style="192" hidden="1" customWidth="1"/>
    <col min="12" max="12" width="9.33203125" style="192" hidden="1" customWidth="1"/>
    <col min="13" max="13" width="7.33203125" style="192" hidden="1" customWidth="1"/>
    <col min="14" max="14" width="9.109375" style="192" hidden="1" customWidth="1"/>
    <col min="15" max="15" width="7" style="192" hidden="1" customWidth="1"/>
    <col min="16" max="17" width="11.109375" style="192" hidden="1" customWidth="1"/>
    <col min="18" max="19" width="12" style="192" hidden="1" customWidth="1"/>
    <col min="20" max="20" width="6.88671875" style="192" customWidth="1"/>
    <col min="21" max="21" width="9.44140625" style="191" customWidth="1"/>
    <col min="22" max="22" width="7.5546875" style="191" customWidth="1"/>
    <col min="23" max="23" width="10.109375" style="191" customWidth="1"/>
    <col min="24" max="24" width="5.6640625" style="191" hidden="1" customWidth="1"/>
    <col min="25" max="25" width="5.5546875" style="191" customWidth="1"/>
    <col min="26" max="26" width="6.5546875" style="191" customWidth="1"/>
    <col min="27" max="27" width="43" style="333" hidden="1" customWidth="1"/>
    <col min="28" max="28" width="7.88671875" style="191" hidden="1" customWidth="1"/>
    <col min="29" max="36" width="12.6640625" style="330" hidden="1" customWidth="1"/>
    <col min="37" max="37" width="9.77734375" style="330" hidden="1" customWidth="1"/>
    <col min="38" max="38" width="12.6640625" style="330" hidden="1" customWidth="1"/>
    <col min="39" max="39" width="12.6640625" style="191" hidden="1" customWidth="1"/>
    <col min="40" max="40" width="12.6640625" style="191" customWidth="1"/>
    <col min="41" max="41" width="11" style="342" customWidth="1"/>
    <col min="42" max="43" width="9.109375" style="191" customWidth="1"/>
    <col min="44" max="44" width="9.109375" style="191" hidden="1" customWidth="1"/>
    <col min="45" max="45" width="9.109375" style="191" customWidth="1"/>
    <col min="46" max="46" width="11.6640625" style="191" customWidth="1"/>
    <col min="47" max="47" width="12.6640625" style="342" hidden="1" customWidth="1"/>
    <col min="48" max="50" width="9.109375" style="191" hidden="1" customWidth="1"/>
    <col min="51" max="51" width="12.6640625" style="191" hidden="1" customWidth="1"/>
    <col min="52" max="53" width="12.6640625" style="342" hidden="1" customWidth="1"/>
    <col min="54" max="56" width="9.109375" style="191" hidden="1" customWidth="1"/>
    <col min="57" max="16384" width="9.109375" style="191"/>
  </cols>
  <sheetData>
    <row r="1" spans="1:56" s="331" customFormat="1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O1" s="342"/>
      <c r="AU1" s="342"/>
      <c r="AZ1" s="342"/>
      <c r="BA1" s="342"/>
    </row>
    <row r="2" spans="1:56">
      <c r="A2" s="86" t="s">
        <v>1004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</row>
    <row r="3" spans="1:56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</row>
    <row r="4" spans="1:56" ht="13.8">
      <c r="A4" s="484"/>
      <c r="B4" s="500"/>
      <c r="C4" s="501"/>
      <c r="T4" s="836" t="s">
        <v>111</v>
      </c>
      <c r="U4" s="836"/>
      <c r="V4" s="836"/>
      <c r="W4" s="836"/>
      <c r="X4" s="836"/>
      <c r="Y4" s="836"/>
      <c r="Z4" s="836"/>
      <c r="AA4" s="208"/>
      <c r="AB4" s="211"/>
      <c r="AC4" s="544" t="s">
        <v>327</v>
      </c>
      <c r="AD4" s="544"/>
      <c r="AE4" s="544"/>
      <c r="AF4" s="544"/>
      <c r="AG4" s="544"/>
      <c r="AH4" s="544"/>
      <c r="AI4" s="544"/>
      <c r="AJ4" s="544"/>
      <c r="AK4" s="544"/>
      <c r="AL4" s="831" t="s">
        <v>327</v>
      </c>
      <c r="AM4" s="831"/>
      <c r="AN4" s="831"/>
      <c r="AO4" s="542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6" s="366" customFormat="1" ht="69">
      <c r="A5" s="221" t="s">
        <v>0</v>
      </c>
      <c r="B5" s="221" t="s">
        <v>1</v>
      </c>
      <c r="C5" s="221" t="s">
        <v>2</v>
      </c>
      <c r="D5" s="221" t="s">
        <v>3</v>
      </c>
      <c r="E5" s="221" t="s">
        <v>4</v>
      </c>
      <c r="F5" s="221" t="s">
        <v>5</v>
      </c>
      <c r="G5" s="221" t="s">
        <v>6</v>
      </c>
      <c r="H5" s="221" t="s">
        <v>7</v>
      </c>
      <c r="I5" s="221" t="s">
        <v>9</v>
      </c>
      <c r="J5" s="221" t="s">
        <v>215</v>
      </c>
      <c r="K5" s="221" t="s">
        <v>10</v>
      </c>
      <c r="L5" s="221" t="s">
        <v>11</v>
      </c>
      <c r="M5" s="10" t="s">
        <v>402</v>
      </c>
      <c r="N5" s="221" t="s">
        <v>403</v>
      </c>
      <c r="O5" s="221" t="s">
        <v>404</v>
      </c>
      <c r="P5" s="221" t="s">
        <v>12</v>
      </c>
      <c r="Q5" s="221" t="s">
        <v>405</v>
      </c>
      <c r="R5" s="221" t="s">
        <v>406</v>
      </c>
      <c r="S5" s="221" t="s">
        <v>407</v>
      </c>
      <c r="T5" s="221" t="s">
        <v>408</v>
      </c>
      <c r="U5" s="221" t="s">
        <v>409</v>
      </c>
      <c r="V5" s="221" t="s">
        <v>13</v>
      </c>
      <c r="W5" s="221" t="s">
        <v>14</v>
      </c>
      <c r="X5" s="221" t="s">
        <v>15</v>
      </c>
      <c r="Y5" s="221" t="s">
        <v>354</v>
      </c>
      <c r="Z5" s="221" t="s">
        <v>105</v>
      </c>
      <c r="AA5" s="18" t="s">
        <v>410</v>
      </c>
      <c r="AB5" s="221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6" s="202" customFormat="1" ht="18.75" customHeight="1">
      <c r="A6" s="198"/>
      <c r="B6" s="198"/>
      <c r="C6" s="198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8"/>
      <c r="AA6" s="340"/>
      <c r="AB6" s="198"/>
      <c r="AC6" s="391"/>
      <c r="AD6" s="391"/>
      <c r="AE6" s="391"/>
      <c r="AF6" s="391"/>
      <c r="AG6" s="391"/>
      <c r="AH6" s="391"/>
      <c r="AI6" s="391"/>
      <c r="AJ6" s="391"/>
      <c r="AK6" s="391"/>
      <c r="AL6" s="391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</row>
    <row r="7" spans="1:56" s="202" customFormat="1" ht="25.05" customHeight="1">
      <c r="A7" s="198">
        <v>1</v>
      </c>
      <c r="B7" s="198">
        <v>1621</v>
      </c>
      <c r="C7" s="198" t="s">
        <v>66</v>
      </c>
      <c r="D7" s="199">
        <f>1950000+3000000-2650000</f>
        <v>2300000</v>
      </c>
      <c r="E7" s="199">
        <v>1950000</v>
      </c>
      <c r="F7" s="199">
        <f>D7-E7</f>
        <v>350000</v>
      </c>
      <c r="G7" s="199">
        <v>1800000</v>
      </c>
      <c r="H7" s="199">
        <v>1716864.69</v>
      </c>
      <c r="I7" s="199"/>
      <c r="J7" s="199">
        <v>83114.960000000006</v>
      </c>
      <c r="K7" s="199">
        <f>SUM(I7:J7)</f>
        <v>83114.960000000006</v>
      </c>
      <c r="L7" s="199">
        <f>H7+K7</f>
        <v>1799979.65</v>
      </c>
      <c r="M7" s="199">
        <f>P7+S7</f>
        <v>20.350000000093132</v>
      </c>
      <c r="N7" s="199">
        <f>1500000-1000000</f>
        <v>500000</v>
      </c>
      <c r="O7" s="199">
        <f>D7-L7-M7-N7</f>
        <v>0</v>
      </c>
      <c r="P7" s="199">
        <f>G7-L7</f>
        <v>20.350000000093132</v>
      </c>
      <c r="Q7" s="199"/>
      <c r="R7" s="199"/>
      <c r="S7" s="199">
        <f>SUM(Q7:R7)</f>
        <v>0</v>
      </c>
      <c r="T7" s="199">
        <f>P7-M7+S7</f>
        <v>0</v>
      </c>
      <c r="U7" s="199">
        <f>N7-T7</f>
        <v>500000</v>
      </c>
      <c r="V7" s="199"/>
      <c r="W7" s="199">
        <f>U7-V7-Y7-Z7</f>
        <v>500000</v>
      </c>
      <c r="X7" s="199"/>
      <c r="Y7" s="199"/>
      <c r="Z7" s="198"/>
      <c r="AA7" s="341" t="s">
        <v>896</v>
      </c>
      <c r="AB7" s="198">
        <v>723000</v>
      </c>
      <c r="AC7" s="199"/>
      <c r="AD7" s="199"/>
      <c r="AE7" s="199">
        <v>500000</v>
      </c>
      <c r="AF7" s="199"/>
      <c r="AG7" s="199"/>
      <c r="AH7" s="199"/>
      <c r="AI7" s="199"/>
      <c r="AJ7" s="199"/>
      <c r="AK7" s="199"/>
      <c r="AL7" s="199">
        <f>SUM(AC7:AK7)</f>
        <v>500000</v>
      </c>
      <c r="AM7" s="199"/>
      <c r="AN7" s="199">
        <f>AM7+AL7</f>
        <v>500000</v>
      </c>
      <c r="AO7" s="199">
        <f>U7-AN7</f>
        <v>0</v>
      </c>
      <c r="AP7" s="198"/>
      <c r="AQ7" s="199">
        <f>AN7-AP7-AR7-AS7-AT7</f>
        <v>500000</v>
      </c>
      <c r="AR7" s="198"/>
      <c r="AS7" s="198"/>
      <c r="AT7" s="199"/>
      <c r="AU7" s="199"/>
      <c r="AV7" s="199">
        <f>AM7-AU7-AW7-AX7-AY7</f>
        <v>0</v>
      </c>
      <c r="AW7" s="198"/>
      <c r="AX7" s="198"/>
      <c r="AY7" s="199"/>
      <c r="AZ7" s="199"/>
      <c r="BA7" s="199">
        <f>AO7-AZ7-BB7-BC7-BD7</f>
        <v>0</v>
      </c>
      <c r="BB7" s="198"/>
      <c r="BC7" s="198"/>
      <c r="BD7" s="198"/>
    </row>
    <row r="8" spans="1:56" s="202" customFormat="1" ht="27.6">
      <c r="A8" s="198">
        <f>A7+1</f>
        <v>2</v>
      </c>
      <c r="B8" s="188">
        <v>1858</v>
      </c>
      <c r="C8" s="188" t="s">
        <v>970</v>
      </c>
      <c r="D8" s="199">
        <f>75000-40000</f>
        <v>35000</v>
      </c>
      <c r="E8" s="199">
        <v>75000</v>
      </c>
      <c r="F8" s="199">
        <f>D8-E8</f>
        <v>-40000</v>
      </c>
      <c r="G8" s="199">
        <v>75000</v>
      </c>
      <c r="H8" s="199">
        <v>29836</v>
      </c>
      <c r="I8" s="199"/>
      <c r="J8" s="199"/>
      <c r="K8" s="199">
        <f>SUM(I8:J8)</f>
        <v>0</v>
      </c>
      <c r="L8" s="199">
        <f>H8+K8</f>
        <v>29836</v>
      </c>
      <c r="M8" s="199">
        <f>P8+S8-40000</f>
        <v>5164</v>
      </c>
      <c r="N8" s="199"/>
      <c r="O8" s="199">
        <f>D8-L8-M8-N8</f>
        <v>0</v>
      </c>
      <c r="P8" s="199">
        <f>G8-L8</f>
        <v>45164</v>
      </c>
      <c r="Q8" s="199"/>
      <c r="R8" s="199"/>
      <c r="S8" s="199">
        <f>SUM(Q8:R8)</f>
        <v>0</v>
      </c>
      <c r="T8" s="199">
        <f>P8-M8+S8</f>
        <v>40000</v>
      </c>
      <c r="U8" s="199">
        <f>N8-T8</f>
        <v>-40000</v>
      </c>
      <c r="V8" s="199"/>
      <c r="W8" s="199">
        <f>U8-V8-Y8-Z8</f>
        <v>-40000</v>
      </c>
      <c r="X8" s="199"/>
      <c r="Y8" s="199"/>
      <c r="Z8" s="198"/>
      <c r="AA8" s="199"/>
      <c r="AB8" s="198">
        <v>720000</v>
      </c>
      <c r="AC8" s="199"/>
      <c r="AD8" s="199"/>
      <c r="AE8" s="199">
        <v>-27000</v>
      </c>
      <c r="AF8" s="199"/>
      <c r="AG8" s="199"/>
      <c r="AH8" s="199"/>
      <c r="AI8" s="199"/>
      <c r="AJ8" s="199"/>
      <c r="AK8" s="199"/>
      <c r="AL8" s="199">
        <f>SUM(AC8:AK8)</f>
        <v>-27000</v>
      </c>
      <c r="AM8" s="199"/>
      <c r="AN8" s="199">
        <f>AM8+AL8</f>
        <v>-27000</v>
      </c>
      <c r="AO8" s="199">
        <f>U8-AN8</f>
        <v>-13000</v>
      </c>
      <c r="AP8" s="198"/>
      <c r="AQ8" s="199">
        <f>AN8-AP8-AR8-AS8-AT8</f>
        <v>-27000</v>
      </c>
      <c r="AR8" s="198"/>
      <c r="AS8" s="198"/>
      <c r="AT8" s="199"/>
      <c r="AU8" s="199"/>
      <c r="AV8" s="199">
        <f>AM8-AU8-AW8-AX8-AY8</f>
        <v>0</v>
      </c>
      <c r="AW8" s="198"/>
      <c r="AX8" s="198"/>
      <c r="AY8" s="199"/>
      <c r="AZ8" s="199"/>
      <c r="BA8" s="199">
        <f>AO8-AZ8-BB8-BC8-BD8</f>
        <v>-13000</v>
      </c>
      <c r="BB8" s="198"/>
      <c r="BC8" s="198"/>
      <c r="BD8" s="198"/>
    </row>
    <row r="9" spans="1:56" s="202" customFormat="1" ht="25.05" customHeight="1">
      <c r="A9" s="198">
        <f>A8+1</f>
        <v>3</v>
      </c>
      <c r="B9" s="198">
        <v>2005</v>
      </c>
      <c r="C9" s="198" t="s">
        <v>220</v>
      </c>
      <c r="D9" s="199">
        <v>300000</v>
      </c>
      <c r="E9" s="199">
        <v>200000</v>
      </c>
      <c r="F9" s="199">
        <f>D9-E9</f>
        <v>100000</v>
      </c>
      <c r="G9" s="199">
        <v>200000</v>
      </c>
      <c r="H9" s="199">
        <v>130263.57</v>
      </c>
      <c r="I9" s="199"/>
      <c r="J9" s="199">
        <v>52167</v>
      </c>
      <c r="K9" s="199">
        <f>SUM(I9:J9)</f>
        <v>52167</v>
      </c>
      <c r="L9" s="199">
        <f>H9+K9</f>
        <v>182430.57</v>
      </c>
      <c r="M9" s="199">
        <f>P9+S9</f>
        <v>17569.429999999993</v>
      </c>
      <c r="N9" s="199">
        <v>100000</v>
      </c>
      <c r="O9" s="199">
        <f>D9-L9-M9-N9</f>
        <v>0</v>
      </c>
      <c r="P9" s="199">
        <f>G9-L9</f>
        <v>17569.429999999993</v>
      </c>
      <c r="Q9" s="199"/>
      <c r="R9" s="199"/>
      <c r="S9" s="199">
        <f>SUM(Q9:R9)</f>
        <v>0</v>
      </c>
      <c r="T9" s="199">
        <f>P9-M9+S9</f>
        <v>0</v>
      </c>
      <c r="U9" s="199">
        <f>N9-T9</f>
        <v>100000</v>
      </c>
      <c r="V9" s="199"/>
      <c r="W9" s="199">
        <f>U9-V9-Y9-Z9</f>
        <v>100000</v>
      </c>
      <c r="X9" s="199"/>
      <c r="Y9" s="199"/>
      <c r="Z9" s="198"/>
      <c r="AA9" s="341" t="s">
        <v>858</v>
      </c>
      <c r="AB9" s="198">
        <v>720000</v>
      </c>
      <c r="AC9" s="199">
        <v>100000</v>
      </c>
      <c r="AD9" s="199"/>
      <c r="AE9" s="199"/>
      <c r="AF9" s="199"/>
      <c r="AG9" s="199"/>
      <c r="AH9" s="199"/>
      <c r="AI9" s="199"/>
      <c r="AJ9" s="199"/>
      <c r="AK9" s="199"/>
      <c r="AL9" s="199">
        <f>SUM(AC9:AK9)</f>
        <v>100000</v>
      </c>
      <c r="AM9" s="199"/>
      <c r="AN9" s="199">
        <f>AM9+AL9</f>
        <v>100000</v>
      </c>
      <c r="AO9" s="199">
        <f>U9-AN9</f>
        <v>0</v>
      </c>
      <c r="AP9" s="198"/>
      <c r="AQ9" s="199">
        <f>AN9-AP9-AR9-AS9-AT9</f>
        <v>100000</v>
      </c>
      <c r="AR9" s="198"/>
      <c r="AS9" s="198"/>
      <c r="AT9" s="199"/>
      <c r="AU9" s="199"/>
      <c r="AV9" s="199">
        <f>AM9-AU9-AW9-AX9-AY9</f>
        <v>0</v>
      </c>
      <c r="AW9" s="198"/>
      <c r="AX9" s="198"/>
      <c r="AY9" s="199"/>
      <c r="AZ9" s="199"/>
      <c r="BA9" s="199">
        <f>AO9-AZ9-BB9-BC9-BD9</f>
        <v>0</v>
      </c>
      <c r="BB9" s="198"/>
      <c r="BC9" s="198"/>
      <c r="BD9" s="198"/>
    </row>
    <row r="10" spans="1:56" s="202" customFormat="1" ht="25.05" customHeight="1">
      <c r="A10" s="198">
        <f>A9+1</f>
        <v>4</v>
      </c>
      <c r="B10" s="188">
        <v>2093</v>
      </c>
      <c r="C10" s="188" t="s">
        <v>1265</v>
      </c>
      <c r="D10" s="199">
        <v>100000</v>
      </c>
      <c r="E10" s="199"/>
      <c r="F10" s="199">
        <f>D10-E10</f>
        <v>100000</v>
      </c>
      <c r="G10" s="199"/>
      <c r="H10" s="199"/>
      <c r="I10" s="199"/>
      <c r="J10" s="199"/>
      <c r="K10" s="199">
        <f>SUM(I10:J10)</f>
        <v>0</v>
      </c>
      <c r="L10" s="199">
        <f>H10+K10</f>
        <v>0</v>
      </c>
      <c r="M10" s="199">
        <f>P10+S10</f>
        <v>0</v>
      </c>
      <c r="N10" s="199">
        <v>100000</v>
      </c>
      <c r="O10" s="199">
        <f>D10-L10-M10-N10</f>
        <v>0</v>
      </c>
      <c r="P10" s="199">
        <f>G10-L10</f>
        <v>0</v>
      </c>
      <c r="Q10" s="199"/>
      <c r="R10" s="199"/>
      <c r="S10" s="199">
        <f>SUM(Q10:R10)</f>
        <v>0</v>
      </c>
      <c r="T10" s="199">
        <f>P10-M10+S10</f>
        <v>0</v>
      </c>
      <c r="U10" s="199">
        <f>N10-T10</f>
        <v>100000</v>
      </c>
      <c r="V10" s="199"/>
      <c r="W10" s="199">
        <f>U10-V10-Y10-Z10</f>
        <v>100000</v>
      </c>
      <c r="X10" s="199"/>
      <c r="Y10" s="199"/>
      <c r="Z10" s="198"/>
      <c r="AA10" s="368" t="s">
        <v>638</v>
      </c>
      <c r="AB10" s="198">
        <v>720000</v>
      </c>
      <c r="AC10" s="199"/>
      <c r="AD10" s="199"/>
      <c r="AE10" s="199">
        <v>100000</v>
      </c>
      <c r="AF10" s="199"/>
      <c r="AG10" s="199"/>
      <c r="AH10" s="199"/>
      <c r="AI10" s="199"/>
      <c r="AJ10" s="199"/>
      <c r="AK10" s="199"/>
      <c r="AL10" s="199">
        <f>SUM(AC10:AK10)</f>
        <v>100000</v>
      </c>
      <c r="AM10" s="199"/>
      <c r="AN10" s="199">
        <f>AM10+AL10</f>
        <v>100000</v>
      </c>
      <c r="AO10" s="199">
        <f>U10-AN10</f>
        <v>0</v>
      </c>
      <c r="AP10" s="198"/>
      <c r="AQ10" s="199">
        <f>AN10-AP10-AR10-AS10-AT10</f>
        <v>100000</v>
      </c>
      <c r="AR10" s="198"/>
      <c r="AS10" s="198"/>
      <c r="AT10" s="199"/>
      <c r="AU10" s="199"/>
      <c r="AV10" s="199">
        <f>AM10-AU10-AW10-AX10-AY10</f>
        <v>0</v>
      </c>
      <c r="AW10" s="198"/>
      <c r="AX10" s="198"/>
      <c r="AY10" s="199"/>
      <c r="AZ10" s="199"/>
      <c r="BA10" s="199">
        <f>AO10-AZ10-BB10-BC10-BD10</f>
        <v>0</v>
      </c>
      <c r="BB10" s="198"/>
      <c r="BC10" s="198"/>
      <c r="BD10" s="198"/>
    </row>
    <row r="11" spans="1:56" s="202" customFormat="1" ht="25.05" customHeight="1">
      <c r="A11" s="198">
        <f>A10+1</f>
        <v>5</v>
      </c>
      <c r="B11" s="347">
        <v>2094</v>
      </c>
      <c r="C11" s="198" t="s">
        <v>523</v>
      </c>
      <c r="D11" s="199">
        <f>1500000-500000</f>
        <v>1000000</v>
      </c>
      <c r="E11" s="199"/>
      <c r="F11" s="199">
        <f>D11-E11</f>
        <v>1000000</v>
      </c>
      <c r="G11" s="199"/>
      <c r="H11" s="199"/>
      <c r="I11" s="199"/>
      <c r="J11" s="199"/>
      <c r="K11" s="199">
        <f>SUM(I11:J11)</f>
        <v>0</v>
      </c>
      <c r="L11" s="199">
        <f>H11+K11</f>
        <v>0</v>
      </c>
      <c r="M11" s="199">
        <f>P11+S11</f>
        <v>0</v>
      </c>
      <c r="N11" s="199">
        <v>1000000</v>
      </c>
      <c r="O11" s="199">
        <f>D11-L11-M11-N11</f>
        <v>0</v>
      </c>
      <c r="P11" s="199">
        <f>G11-L11</f>
        <v>0</v>
      </c>
      <c r="Q11" s="199"/>
      <c r="R11" s="199"/>
      <c r="S11" s="199">
        <f>SUM(Q11:R11)</f>
        <v>0</v>
      </c>
      <c r="T11" s="199">
        <f>P11-M11+S11</f>
        <v>0</v>
      </c>
      <c r="U11" s="199">
        <f>N11-T11</f>
        <v>1000000</v>
      </c>
      <c r="V11" s="199"/>
      <c r="W11" s="199">
        <f>U11-V11-Y11-Z11</f>
        <v>1000000</v>
      </c>
      <c r="X11" s="199"/>
      <c r="Y11" s="199"/>
      <c r="Z11" s="198"/>
      <c r="AA11" s="341" t="s">
        <v>639</v>
      </c>
      <c r="AB11" s="198">
        <v>720000</v>
      </c>
      <c r="AC11" s="337">
        <f>100000-100000</f>
        <v>0</v>
      </c>
      <c r="AD11" s="199"/>
      <c r="AE11" s="199"/>
      <c r="AF11" s="199">
        <v>100000</v>
      </c>
      <c r="AG11" s="199"/>
      <c r="AH11" s="199"/>
      <c r="AI11" s="199"/>
      <c r="AJ11" s="199"/>
      <c r="AK11" s="199">
        <v>900000</v>
      </c>
      <c r="AL11" s="199">
        <f>SUM(AC11:AK11)</f>
        <v>1000000</v>
      </c>
      <c r="AM11" s="199"/>
      <c r="AN11" s="199">
        <f>AM11+AL11</f>
        <v>1000000</v>
      </c>
      <c r="AO11" s="199">
        <f>U11-AN11</f>
        <v>0</v>
      </c>
      <c r="AP11" s="198"/>
      <c r="AQ11" s="199">
        <f>AN11-AP11-AR11-AS11-AT11</f>
        <v>1000000</v>
      </c>
      <c r="AR11" s="198"/>
      <c r="AS11" s="198"/>
      <c r="AT11" s="199"/>
      <c r="AU11" s="199"/>
      <c r="AV11" s="199">
        <f>AM11-AU11-AW11-AX11-AY11</f>
        <v>0</v>
      </c>
      <c r="AW11" s="198"/>
      <c r="AX11" s="198"/>
      <c r="AY11" s="199"/>
      <c r="AZ11" s="199"/>
      <c r="BA11" s="199">
        <f>AO11-AZ11-BB11-BC11-BD11</f>
        <v>0</v>
      </c>
      <c r="BB11" s="198"/>
      <c r="BC11" s="198"/>
      <c r="BD11" s="198"/>
    </row>
    <row r="12" spans="1:56" s="203" customFormat="1" ht="25.05" customHeight="1">
      <c r="A12" s="204">
        <f>A11</f>
        <v>5</v>
      </c>
      <c r="B12" s="204"/>
      <c r="C12" s="204" t="s">
        <v>686</v>
      </c>
      <c r="D12" s="206">
        <f t="shared" ref="D12:AM12" si="0">SUM(D7:D11)</f>
        <v>3735000</v>
      </c>
      <c r="E12" s="206">
        <f t="shared" si="0"/>
        <v>2225000</v>
      </c>
      <c r="F12" s="206">
        <f t="shared" si="0"/>
        <v>1510000</v>
      </c>
      <c r="G12" s="206">
        <f t="shared" si="0"/>
        <v>2075000</v>
      </c>
      <c r="H12" s="206">
        <f t="shared" si="0"/>
        <v>1876964.26</v>
      </c>
      <c r="I12" s="206">
        <f t="shared" si="0"/>
        <v>0</v>
      </c>
      <c r="J12" s="206">
        <f t="shared" si="0"/>
        <v>135281.96000000002</v>
      </c>
      <c r="K12" s="206">
        <f t="shared" si="0"/>
        <v>135281.96000000002</v>
      </c>
      <c r="L12" s="206">
        <f t="shared" si="0"/>
        <v>2012246.22</v>
      </c>
      <c r="M12" s="206">
        <f t="shared" si="0"/>
        <v>22753.780000000086</v>
      </c>
      <c r="N12" s="206">
        <f t="shared" si="0"/>
        <v>1700000</v>
      </c>
      <c r="O12" s="206">
        <f t="shared" si="0"/>
        <v>0</v>
      </c>
      <c r="P12" s="206">
        <f t="shared" si="0"/>
        <v>62753.780000000086</v>
      </c>
      <c r="Q12" s="206">
        <f t="shared" si="0"/>
        <v>0</v>
      </c>
      <c r="R12" s="206">
        <f t="shared" si="0"/>
        <v>0</v>
      </c>
      <c r="S12" s="206">
        <f t="shared" si="0"/>
        <v>0</v>
      </c>
      <c r="T12" s="206">
        <f t="shared" si="0"/>
        <v>40000</v>
      </c>
      <c r="U12" s="206">
        <f t="shared" si="0"/>
        <v>1660000</v>
      </c>
      <c r="V12" s="206">
        <f t="shared" si="0"/>
        <v>0</v>
      </c>
      <c r="W12" s="206">
        <f t="shared" si="0"/>
        <v>1660000</v>
      </c>
      <c r="X12" s="206">
        <f t="shared" si="0"/>
        <v>0</v>
      </c>
      <c r="Y12" s="206">
        <f t="shared" si="0"/>
        <v>0</v>
      </c>
      <c r="Z12" s="206">
        <f t="shared" si="0"/>
        <v>0</v>
      </c>
      <c r="AA12" s="206">
        <f t="shared" si="0"/>
        <v>0</v>
      </c>
      <c r="AB12" s="206">
        <f t="shared" si="0"/>
        <v>3603000</v>
      </c>
      <c r="AC12" s="206">
        <f t="shared" ref="AC12:AJ12" si="1">SUM(AC7:AC11)</f>
        <v>100000</v>
      </c>
      <c r="AD12" s="206">
        <f t="shared" si="1"/>
        <v>0</v>
      </c>
      <c r="AE12" s="206">
        <f t="shared" si="1"/>
        <v>573000</v>
      </c>
      <c r="AF12" s="206">
        <f t="shared" si="1"/>
        <v>100000</v>
      </c>
      <c r="AG12" s="206">
        <f t="shared" si="1"/>
        <v>0</v>
      </c>
      <c r="AH12" s="206">
        <f t="shared" si="1"/>
        <v>0</v>
      </c>
      <c r="AI12" s="206">
        <f t="shared" si="1"/>
        <v>0</v>
      </c>
      <c r="AJ12" s="206">
        <f t="shared" si="1"/>
        <v>0</v>
      </c>
      <c r="AK12" s="206">
        <f t="shared" si="0"/>
        <v>900000</v>
      </c>
      <c r="AL12" s="206">
        <f t="shared" si="0"/>
        <v>1673000</v>
      </c>
      <c r="AM12" s="206">
        <f t="shared" si="0"/>
        <v>0</v>
      </c>
      <c r="AN12" s="206">
        <f t="shared" ref="AN12:BD12" si="2">SUM(AN7:AN11)</f>
        <v>1673000</v>
      </c>
      <c r="AO12" s="206">
        <f t="shared" si="2"/>
        <v>-13000</v>
      </c>
      <c r="AP12" s="206">
        <f t="shared" si="2"/>
        <v>0</v>
      </c>
      <c r="AQ12" s="206">
        <f t="shared" si="2"/>
        <v>1673000</v>
      </c>
      <c r="AR12" s="206">
        <f t="shared" si="2"/>
        <v>0</v>
      </c>
      <c r="AS12" s="206">
        <f t="shared" si="2"/>
        <v>0</v>
      </c>
      <c r="AT12" s="206">
        <f t="shared" si="2"/>
        <v>0</v>
      </c>
      <c r="AU12" s="206">
        <f t="shared" si="2"/>
        <v>0</v>
      </c>
      <c r="AV12" s="206">
        <f t="shared" si="2"/>
        <v>0</v>
      </c>
      <c r="AW12" s="206">
        <f t="shared" si="2"/>
        <v>0</v>
      </c>
      <c r="AX12" s="206">
        <f t="shared" si="2"/>
        <v>0</v>
      </c>
      <c r="AY12" s="206">
        <f t="shared" si="2"/>
        <v>0</v>
      </c>
      <c r="AZ12" s="206">
        <f t="shared" si="2"/>
        <v>0</v>
      </c>
      <c r="BA12" s="206">
        <f t="shared" si="2"/>
        <v>-13000</v>
      </c>
      <c r="BB12" s="206">
        <f t="shared" si="2"/>
        <v>0</v>
      </c>
      <c r="BC12" s="206">
        <f t="shared" si="2"/>
        <v>0</v>
      </c>
      <c r="BD12" s="206">
        <f t="shared" si="2"/>
        <v>0</v>
      </c>
    </row>
    <row r="13" spans="1:56" s="342" customFormat="1" hidden="1">
      <c r="B13" s="348"/>
      <c r="C13" s="348"/>
      <c r="D13" s="349"/>
      <c r="E13" s="349"/>
      <c r="F13" s="349"/>
      <c r="G13" s="349"/>
      <c r="H13" s="349"/>
      <c r="I13" s="349"/>
      <c r="J13" s="349"/>
      <c r="K13" s="349"/>
      <c r="L13" s="22">
        <f>H12+K12</f>
        <v>2012246.22</v>
      </c>
      <c r="M13" s="22">
        <f>P12+S12-T12</f>
        <v>22753.780000000086</v>
      </c>
      <c r="N13" s="46"/>
      <c r="O13" s="25"/>
      <c r="P13" s="22">
        <f>G12-L12</f>
        <v>62753.780000000028</v>
      </c>
      <c r="Q13" s="25"/>
      <c r="R13" s="25"/>
      <c r="S13" s="25"/>
      <c r="T13" s="25"/>
      <c r="U13" s="22">
        <f>N12-T12</f>
        <v>1660000</v>
      </c>
      <c r="V13" s="47"/>
      <c r="W13" s="47"/>
      <c r="X13" s="47"/>
      <c r="Y13" s="47"/>
      <c r="Z13" s="47"/>
      <c r="AA13" s="333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</row>
  </sheetData>
  <sheetProtection formatCells="0" formatColumns="0" formatRows="0" insertColumns="0" insertRows="0" insertHyperlinks="0" deleteColumns="0" deleteRows="0" sort="0" autoFilter="0" pivotTables="0"/>
  <mergeCells count="5">
    <mergeCell ref="AP4:AT4"/>
    <mergeCell ref="AU4:AY4"/>
    <mergeCell ref="AZ4:BD4"/>
    <mergeCell ref="T4:Z4"/>
    <mergeCell ref="AL4:AN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4"/>
  <sheetViews>
    <sheetView showZeros="0" rightToLeft="1" tabSelected="1" zoomScaleNormal="100" workbookViewId="0">
      <pane xSplit="3" ySplit="5" topLeftCell="D6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5.33203125" style="37" customWidth="1"/>
    <col min="2" max="2" width="4.88671875" style="14" customWidth="1"/>
    <col min="3" max="3" width="32.77734375" style="20" customWidth="1"/>
    <col min="4" max="4" width="10.33203125" style="16" hidden="1" customWidth="1"/>
    <col min="5" max="5" width="10.44140625" style="16" hidden="1" customWidth="1"/>
    <col min="6" max="6" width="9.33203125" style="16" hidden="1" customWidth="1"/>
    <col min="7" max="10" width="12.6640625" style="16" hidden="1" customWidth="1"/>
    <col min="11" max="11" width="11.33203125" style="16" hidden="1" customWidth="1"/>
    <col min="12" max="12" width="8.88671875" style="16" hidden="1" customWidth="1"/>
    <col min="13" max="13" width="9.88671875" style="16" hidden="1" customWidth="1"/>
    <col min="14" max="14" width="10.6640625" style="16" hidden="1" customWidth="1"/>
    <col min="15" max="15" width="8.5546875" style="16" hidden="1" customWidth="1"/>
    <col min="16" max="17" width="11.109375" style="16" hidden="1" customWidth="1"/>
    <col min="18" max="19" width="12" style="16" hidden="1" customWidth="1"/>
    <col min="20" max="20" width="11.21875" style="16" customWidth="1"/>
    <col min="21" max="21" width="12.77734375" style="14" customWidth="1"/>
    <col min="22" max="22" width="9.6640625" style="14" customWidth="1"/>
    <col min="23" max="23" width="12.77734375" style="14" customWidth="1"/>
    <col min="24" max="24" width="12.77734375" style="14" hidden="1" customWidth="1"/>
    <col min="25" max="25" width="9.77734375" style="14" customWidth="1"/>
    <col min="26" max="26" width="12.77734375" style="14" customWidth="1"/>
    <col min="27" max="27" width="12.77734375" style="37" hidden="1" customWidth="1"/>
    <col min="28" max="28" width="12.77734375" style="14" hidden="1" customWidth="1"/>
    <col min="29" max="39" width="12.77734375" style="507" hidden="1" customWidth="1"/>
    <col min="40" max="40" width="12.77734375" style="37" customWidth="1"/>
    <col min="41" max="41" width="9.77734375" style="14" customWidth="1"/>
    <col min="42" max="42" width="8.6640625" style="14" customWidth="1"/>
    <col min="43" max="43" width="10.5546875" style="14" customWidth="1"/>
    <col min="44" max="44" width="12.77734375" style="14" hidden="1" customWidth="1"/>
    <col min="45" max="45" width="8.33203125" style="14" customWidth="1"/>
    <col min="46" max="46" width="10.44140625" style="14" customWidth="1"/>
    <col min="47" max="52" width="12.6640625" style="14" hidden="1" customWidth="1"/>
    <col min="53" max="53" width="11.21875" style="14" hidden="1" customWidth="1"/>
    <col min="54" max="55" width="12.6640625" style="14" hidden="1" customWidth="1"/>
    <col min="56" max="56" width="11" style="14" hidden="1" customWidth="1"/>
    <col min="57" max="57" width="9.109375" style="14"/>
    <col min="58" max="58" width="12.6640625" style="31" customWidth="1"/>
    <col min="59" max="16384" width="9.109375" style="14"/>
  </cols>
  <sheetData>
    <row r="1" spans="1:58" s="508" customFormat="1" ht="18">
      <c r="A1" s="502"/>
      <c r="B1" s="502"/>
      <c r="C1" s="503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502"/>
      <c r="S1" s="502"/>
      <c r="T1" s="502"/>
      <c r="U1" s="502"/>
      <c r="V1" s="502"/>
      <c r="W1" s="502"/>
      <c r="X1" s="504"/>
      <c r="Y1" s="504"/>
      <c r="Z1" s="505"/>
      <c r="AA1" s="506"/>
      <c r="AB1" s="506"/>
      <c r="AC1" s="507"/>
      <c r="AD1" s="507"/>
      <c r="AE1" s="507"/>
      <c r="AF1" s="507"/>
      <c r="AG1" s="507"/>
      <c r="AH1" s="507"/>
      <c r="AI1" s="507"/>
      <c r="AJ1" s="507"/>
      <c r="AK1" s="507"/>
      <c r="AL1" s="507"/>
      <c r="AM1" s="507"/>
      <c r="AN1" s="505"/>
      <c r="AO1" s="506"/>
      <c r="AP1" s="505"/>
      <c r="AR1" s="505"/>
      <c r="AU1" s="505"/>
      <c r="AX1" s="505"/>
      <c r="BB1" s="505"/>
      <c r="BF1" s="31"/>
    </row>
    <row r="2" spans="1:58" s="508" customFormat="1" ht="18">
      <c r="A2" s="86" t="s">
        <v>1005</v>
      </c>
      <c r="B2" s="502"/>
      <c r="C2" s="503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9"/>
      <c r="Y2" s="509"/>
      <c r="Z2" s="509"/>
      <c r="AA2" s="507"/>
      <c r="AB2" s="507"/>
      <c r="AC2" s="507"/>
      <c r="AD2" s="507"/>
      <c r="AE2" s="507"/>
      <c r="AF2" s="507"/>
      <c r="AG2" s="507"/>
      <c r="AH2" s="507"/>
      <c r="AI2" s="507"/>
      <c r="AJ2" s="507"/>
      <c r="AK2" s="507"/>
      <c r="AL2" s="507"/>
      <c r="AM2" s="507"/>
      <c r="AN2" s="509"/>
      <c r="AO2" s="507"/>
      <c r="AP2" s="509"/>
      <c r="AR2" s="509"/>
      <c r="AU2" s="509"/>
      <c r="AX2" s="509"/>
      <c r="BB2" s="509"/>
      <c r="BF2" s="31"/>
    </row>
    <row r="3" spans="1:58" s="508" customFormat="1" ht="18">
      <c r="A3" s="502"/>
      <c r="B3" s="502"/>
      <c r="C3" s="503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9"/>
      <c r="Y3" s="509"/>
      <c r="Z3" s="509"/>
      <c r="AA3" s="507"/>
      <c r="AB3" s="507"/>
      <c r="AC3" s="507"/>
      <c r="AD3" s="507"/>
      <c r="AE3" s="507"/>
      <c r="AF3" s="507"/>
      <c r="AG3" s="507"/>
      <c r="AH3" s="507"/>
      <c r="AI3" s="507"/>
      <c r="AJ3" s="507"/>
      <c r="AK3" s="507"/>
      <c r="AL3" s="507"/>
      <c r="AM3" s="507"/>
      <c r="AN3" s="509"/>
      <c r="AO3" s="507"/>
      <c r="AP3" s="509"/>
      <c r="AR3" s="509"/>
      <c r="AU3" s="509"/>
      <c r="AX3" s="509"/>
      <c r="BB3" s="509"/>
      <c r="BF3" s="31"/>
    </row>
    <row r="4" spans="1:58">
      <c r="A4" s="493"/>
      <c r="B4" s="494"/>
      <c r="C4" s="510"/>
      <c r="T4" s="832" t="s">
        <v>111</v>
      </c>
      <c r="U4" s="833"/>
      <c r="V4" s="833"/>
      <c r="W4" s="833"/>
      <c r="X4" s="833"/>
      <c r="Y4" s="833"/>
      <c r="Z4" s="834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2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8" s="31" customFormat="1" ht="86.25" customHeight="1">
      <c r="A5" s="221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402</v>
      </c>
      <c r="N5" s="18" t="s">
        <v>403</v>
      </c>
      <c r="O5" s="18" t="s">
        <v>404</v>
      </c>
      <c r="P5" s="18" t="s">
        <v>12</v>
      </c>
      <c r="Q5" s="18" t="s">
        <v>405</v>
      </c>
      <c r="R5" s="18" t="s">
        <v>406</v>
      </c>
      <c r="S5" s="18" t="s">
        <v>407</v>
      </c>
      <c r="T5" s="18" t="s">
        <v>408</v>
      </c>
      <c r="U5" s="18" t="s">
        <v>409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492" t="s">
        <v>410</v>
      </c>
      <c r="AB5" s="18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8" s="49" customFormat="1" ht="18.75" customHeight="1">
      <c r="A6" s="44"/>
      <c r="B6" s="44"/>
      <c r="C6" s="44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369"/>
      <c r="AB6" s="44"/>
      <c r="AC6" s="511"/>
      <c r="AD6" s="511"/>
      <c r="AE6" s="511"/>
      <c r="AF6" s="511"/>
      <c r="AG6" s="511"/>
      <c r="AH6" s="511"/>
      <c r="AI6" s="511"/>
      <c r="AJ6" s="511"/>
      <c r="AK6" s="511"/>
      <c r="AL6" s="511"/>
      <c r="AM6" s="511"/>
      <c r="AN6" s="512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F6" s="31"/>
    </row>
    <row r="7" spans="1:58" s="5" customFormat="1" ht="19.95" customHeight="1">
      <c r="A7" s="3">
        <f t="shared" ref="A7:A29" si="0">1+A6</f>
        <v>1</v>
      </c>
      <c r="B7" s="3">
        <v>1710</v>
      </c>
      <c r="C7" s="3" t="s">
        <v>69</v>
      </c>
      <c r="D7" s="4">
        <f>1700000-65137-500000</f>
        <v>1134863</v>
      </c>
      <c r="E7" s="4">
        <v>1700000</v>
      </c>
      <c r="F7" s="4">
        <f t="shared" ref="F7:F25" si="1">D7-E7</f>
        <v>-565137</v>
      </c>
      <c r="G7" s="4">
        <v>1634863</v>
      </c>
      <c r="H7" s="4">
        <v>938551.23</v>
      </c>
      <c r="I7" s="4"/>
      <c r="J7" s="4"/>
      <c r="K7" s="4">
        <f t="shared" ref="K7:K25" si="2">I7+J7</f>
        <v>0</v>
      </c>
      <c r="L7" s="4">
        <f t="shared" ref="L7:L25" si="3">H7+K7</f>
        <v>938551.23</v>
      </c>
      <c r="M7" s="4">
        <f>P7+S7-500000</f>
        <v>196311.77000000002</v>
      </c>
      <c r="N7" s="4"/>
      <c r="O7" s="4">
        <f t="shared" ref="O7:O25" si="4">D7-L7-M7-N7</f>
        <v>0</v>
      </c>
      <c r="P7" s="4">
        <f t="shared" ref="P7:P25" si="5">G7-L7</f>
        <v>696311.77</v>
      </c>
      <c r="Q7" s="4"/>
      <c r="R7" s="4"/>
      <c r="S7" s="4">
        <f t="shared" ref="S7:S25" si="6">SUM(Q7:R7)</f>
        <v>0</v>
      </c>
      <c r="T7" s="4">
        <f t="shared" ref="T7:T25" si="7">P7-M7+S7</f>
        <v>500000</v>
      </c>
      <c r="U7" s="4">
        <f t="shared" ref="U7:U25" si="8">N7-T7</f>
        <v>-500000</v>
      </c>
      <c r="V7" s="4"/>
      <c r="W7" s="4">
        <f t="shared" ref="W7:W25" si="9">U7-V7-Y7-Z7</f>
        <v>-500000</v>
      </c>
      <c r="X7" s="4"/>
      <c r="Y7" s="4"/>
      <c r="Z7" s="250"/>
      <c r="AA7" s="323"/>
      <c r="AB7" s="3">
        <v>810000</v>
      </c>
      <c r="AC7" s="511"/>
      <c r="AD7" s="4">
        <v>-500000</v>
      </c>
      <c r="AE7" s="4"/>
      <c r="AF7" s="4"/>
      <c r="AG7" s="4"/>
      <c r="AH7" s="4"/>
      <c r="AI7" s="4"/>
      <c r="AJ7" s="4"/>
      <c r="AK7" s="4"/>
      <c r="AL7" s="4">
        <f>SUM(AC7:AK7)</f>
        <v>-500000</v>
      </c>
      <c r="AM7" s="4"/>
      <c r="AN7" s="4">
        <f>AL7+AM7</f>
        <v>-500000</v>
      </c>
      <c r="AO7" s="4">
        <f>U7-AN7</f>
        <v>0</v>
      </c>
      <c r="AP7" s="4"/>
      <c r="AQ7" s="4">
        <f>AN7-AP7-AR7-AS7-AT7</f>
        <v>-500000</v>
      </c>
      <c r="AR7" s="4"/>
      <c r="AS7" s="4"/>
      <c r="AT7" s="4"/>
      <c r="AU7" s="4"/>
      <c r="AV7" s="4">
        <f>AM7-AU7-AW7-AX7-AY7</f>
        <v>0</v>
      </c>
      <c r="AW7" s="4"/>
      <c r="AX7" s="4"/>
      <c r="AY7" s="4"/>
      <c r="AZ7" s="4"/>
      <c r="BA7" s="4">
        <f>AO7-AZ7-BB7-BC7-BD7</f>
        <v>0</v>
      </c>
      <c r="BB7" s="4"/>
      <c r="BC7" s="4"/>
      <c r="BD7" s="4"/>
      <c r="BF7" s="31"/>
    </row>
    <row r="8" spans="1:58" s="5" customFormat="1" ht="29.4" customHeight="1">
      <c r="A8" s="3">
        <f t="shared" si="0"/>
        <v>2</v>
      </c>
      <c r="B8" s="188">
        <v>1740</v>
      </c>
      <c r="C8" s="188" t="s">
        <v>1263</v>
      </c>
      <c r="D8" s="4">
        <v>280000</v>
      </c>
      <c r="E8" s="4">
        <v>280000</v>
      </c>
      <c r="F8" s="4">
        <f t="shared" si="1"/>
        <v>0</v>
      </c>
      <c r="G8" s="4">
        <v>280000</v>
      </c>
      <c r="H8" s="4">
        <v>150312</v>
      </c>
      <c r="I8" s="4"/>
      <c r="J8" s="4">
        <v>113020.48</v>
      </c>
      <c r="K8" s="4">
        <f t="shared" si="2"/>
        <v>113020.48</v>
      </c>
      <c r="L8" s="4">
        <f t="shared" si="3"/>
        <v>263332.47999999998</v>
      </c>
      <c r="M8" s="4">
        <f t="shared" ref="M8:M25" si="10">P8+S8</f>
        <v>16667.520000000019</v>
      </c>
      <c r="N8" s="4"/>
      <c r="O8" s="4">
        <f t="shared" si="4"/>
        <v>0</v>
      </c>
      <c r="P8" s="4">
        <f t="shared" si="5"/>
        <v>16667.520000000019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0</v>
      </c>
      <c r="V8" s="4"/>
      <c r="W8" s="4">
        <f t="shared" si="9"/>
        <v>0</v>
      </c>
      <c r="X8" s="4"/>
      <c r="Y8" s="4"/>
      <c r="Z8" s="250"/>
      <c r="AA8" s="361"/>
      <c r="AB8" s="3">
        <v>810000</v>
      </c>
      <c r="AC8" s="511"/>
      <c r="AD8" s="4"/>
      <c r="AE8" s="4"/>
      <c r="AF8" s="4"/>
      <c r="AG8" s="4"/>
      <c r="AH8" s="4"/>
      <c r="AI8" s="4"/>
      <c r="AJ8" s="4"/>
      <c r="AK8" s="4"/>
      <c r="AL8" s="4">
        <f t="shared" ref="AL8:AL29" si="11">SUM(AC8:AK8)</f>
        <v>0</v>
      </c>
      <c r="AM8" s="4"/>
      <c r="AN8" s="4">
        <f t="shared" ref="AN8:AN29" si="12">AL8+AM8</f>
        <v>0</v>
      </c>
      <c r="AO8" s="4">
        <f t="shared" ref="AO8:AO29" si="13">U8-AN8</f>
        <v>0</v>
      </c>
      <c r="AP8" s="4"/>
      <c r="AQ8" s="4">
        <f t="shared" ref="AQ8:AQ29" si="14">AN8-AP8-AR8-AS8-AT8</f>
        <v>0</v>
      </c>
      <c r="AR8" s="4"/>
      <c r="AS8" s="4"/>
      <c r="AT8" s="4"/>
      <c r="AU8" s="4"/>
      <c r="AV8" s="4">
        <f t="shared" ref="AV8:AV29" si="15">AM8-AU8-AW8-AX8-AY8</f>
        <v>0</v>
      </c>
      <c r="AW8" s="4"/>
      <c r="AX8" s="4"/>
      <c r="AY8" s="4"/>
      <c r="AZ8" s="4"/>
      <c r="BA8" s="4">
        <f t="shared" ref="BA8:BA29" si="16">AO8-AZ8-BB8-BC8-BD8</f>
        <v>0</v>
      </c>
      <c r="BB8" s="4"/>
      <c r="BC8" s="4"/>
      <c r="BD8" s="4"/>
      <c r="BF8" s="31"/>
    </row>
    <row r="9" spans="1:58" s="5" customFormat="1" ht="30.6" customHeight="1">
      <c r="A9" s="3">
        <f t="shared" si="0"/>
        <v>3</v>
      </c>
      <c r="B9" s="188">
        <v>1775</v>
      </c>
      <c r="C9" s="188" t="s">
        <v>971</v>
      </c>
      <c r="D9" s="4">
        <v>465000</v>
      </c>
      <c r="E9" s="4">
        <v>465000</v>
      </c>
      <c r="F9" s="4">
        <f t="shared" si="1"/>
        <v>0</v>
      </c>
      <c r="G9" s="4">
        <v>465000</v>
      </c>
      <c r="H9" s="4">
        <v>461980.11</v>
      </c>
      <c r="I9" s="4"/>
      <c r="J9" s="4"/>
      <c r="K9" s="4">
        <f t="shared" si="2"/>
        <v>0</v>
      </c>
      <c r="L9" s="4">
        <f t="shared" si="3"/>
        <v>461980.11</v>
      </c>
      <c r="M9" s="4">
        <f t="shared" si="10"/>
        <v>3019.890000000014</v>
      </c>
      <c r="N9" s="4"/>
      <c r="O9" s="4">
        <f t="shared" si="4"/>
        <v>0</v>
      </c>
      <c r="P9" s="4">
        <f t="shared" si="5"/>
        <v>3019.890000000014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0</v>
      </c>
      <c r="V9" s="4"/>
      <c r="W9" s="4">
        <f t="shared" si="9"/>
        <v>0</v>
      </c>
      <c r="X9" s="4"/>
      <c r="Y9" s="4"/>
      <c r="Z9" s="250"/>
      <c r="AA9" s="323"/>
      <c r="AB9" s="3">
        <v>760000</v>
      </c>
      <c r="AC9" s="511"/>
      <c r="AD9" s="4"/>
      <c r="AE9" s="4"/>
      <c r="AF9" s="4"/>
      <c r="AG9" s="4"/>
      <c r="AH9" s="4"/>
      <c r="AI9" s="4"/>
      <c r="AJ9" s="4"/>
      <c r="AK9" s="4"/>
      <c r="AL9" s="4">
        <f t="shared" si="11"/>
        <v>0</v>
      </c>
      <c r="AM9" s="4"/>
      <c r="AN9" s="4">
        <f t="shared" si="12"/>
        <v>0</v>
      </c>
      <c r="AO9" s="4">
        <f t="shared" si="13"/>
        <v>0</v>
      </c>
      <c r="AP9" s="4"/>
      <c r="AQ9" s="4">
        <f t="shared" si="14"/>
        <v>0</v>
      </c>
      <c r="AR9" s="4"/>
      <c r="AS9" s="4"/>
      <c r="AT9" s="4"/>
      <c r="AU9" s="4"/>
      <c r="AV9" s="4">
        <f t="shared" si="15"/>
        <v>0</v>
      </c>
      <c r="AW9" s="4"/>
      <c r="AX9" s="4"/>
      <c r="AY9" s="4"/>
      <c r="AZ9" s="4"/>
      <c r="BA9" s="4">
        <f t="shared" si="16"/>
        <v>0</v>
      </c>
      <c r="BB9" s="4"/>
      <c r="BC9" s="4"/>
      <c r="BD9" s="4"/>
      <c r="BF9" s="31"/>
    </row>
    <row r="10" spans="1:58" s="5" customFormat="1" ht="19.95" customHeight="1">
      <c r="A10" s="3">
        <f t="shared" si="0"/>
        <v>4</v>
      </c>
      <c r="B10" s="3">
        <v>1776</v>
      </c>
      <c r="C10" s="3" t="s">
        <v>70</v>
      </c>
      <c r="D10" s="4">
        <f>665000+315000+30000-95000</f>
        <v>915000</v>
      </c>
      <c r="E10" s="4">
        <v>665000</v>
      </c>
      <c r="F10" s="4">
        <f t="shared" si="1"/>
        <v>250000</v>
      </c>
      <c r="G10" s="4">
        <v>665000</v>
      </c>
      <c r="H10" s="4">
        <v>299107</v>
      </c>
      <c r="I10" s="4"/>
      <c r="J10" s="4">
        <v>223110.35</v>
      </c>
      <c r="K10" s="4">
        <f t="shared" si="2"/>
        <v>223110.35</v>
      </c>
      <c r="L10" s="4">
        <f t="shared" si="3"/>
        <v>522217.35</v>
      </c>
      <c r="M10" s="4">
        <f t="shared" si="10"/>
        <v>142782.65000000002</v>
      </c>
      <c r="N10" s="4">
        <f>'[3]אומדן - סיכום'!E24-95000</f>
        <v>250000</v>
      </c>
      <c r="O10" s="4">
        <f t="shared" si="4"/>
        <v>0</v>
      </c>
      <c r="P10" s="4">
        <f t="shared" si="5"/>
        <v>142782.65000000002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250000</v>
      </c>
      <c r="V10" s="4"/>
      <c r="W10" s="4">
        <f t="shared" si="9"/>
        <v>250000</v>
      </c>
      <c r="X10" s="4"/>
      <c r="Y10" s="4"/>
      <c r="Z10" s="250"/>
      <c r="AA10" s="39" t="s">
        <v>524</v>
      </c>
      <c r="AB10" s="3">
        <v>810000</v>
      </c>
      <c r="AC10" s="511"/>
      <c r="AD10" s="4">
        <v>250000</v>
      </c>
      <c r="AE10" s="4"/>
      <c r="AF10" s="4"/>
      <c r="AG10" s="4"/>
      <c r="AH10" s="4"/>
      <c r="AI10" s="4"/>
      <c r="AJ10" s="4"/>
      <c r="AK10" s="4"/>
      <c r="AL10" s="4">
        <f t="shared" si="11"/>
        <v>250000</v>
      </c>
      <c r="AM10" s="4"/>
      <c r="AN10" s="4">
        <f t="shared" si="12"/>
        <v>250000</v>
      </c>
      <c r="AO10" s="4">
        <f t="shared" si="13"/>
        <v>0</v>
      </c>
      <c r="AP10" s="4"/>
      <c r="AQ10" s="4">
        <f t="shared" si="14"/>
        <v>250000</v>
      </c>
      <c r="AR10" s="4"/>
      <c r="AS10" s="4"/>
      <c r="AT10" s="4"/>
      <c r="AU10" s="4"/>
      <c r="AV10" s="4">
        <f t="shared" si="15"/>
        <v>0</v>
      </c>
      <c r="AW10" s="4"/>
      <c r="AX10" s="4"/>
      <c r="AY10" s="4"/>
      <c r="AZ10" s="4"/>
      <c r="BA10" s="4">
        <f t="shared" si="16"/>
        <v>0</v>
      </c>
      <c r="BB10" s="4"/>
      <c r="BC10" s="4"/>
      <c r="BD10" s="4"/>
      <c r="BF10" s="31"/>
    </row>
    <row r="11" spans="1:58" s="5" customFormat="1" ht="27.6">
      <c r="A11" s="3">
        <f t="shared" si="0"/>
        <v>5</v>
      </c>
      <c r="B11" s="188">
        <v>1810</v>
      </c>
      <c r="C11" s="188" t="s">
        <v>972</v>
      </c>
      <c r="D11" s="4">
        <v>950000</v>
      </c>
      <c r="E11" s="4">
        <v>950000</v>
      </c>
      <c r="F11" s="4">
        <f t="shared" si="1"/>
        <v>0</v>
      </c>
      <c r="G11" s="4">
        <v>950000</v>
      </c>
      <c r="H11" s="4">
        <v>938543.42</v>
      </c>
      <c r="I11" s="4"/>
      <c r="J11" s="4"/>
      <c r="K11" s="4">
        <f t="shared" si="2"/>
        <v>0</v>
      </c>
      <c r="L11" s="4">
        <f t="shared" si="3"/>
        <v>938543.42</v>
      </c>
      <c r="M11" s="4">
        <f t="shared" si="10"/>
        <v>11456.579999999958</v>
      </c>
      <c r="N11" s="4"/>
      <c r="O11" s="4">
        <f t="shared" si="4"/>
        <v>0</v>
      </c>
      <c r="P11" s="4">
        <f t="shared" si="5"/>
        <v>11456.579999999958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/>
      <c r="W11" s="4">
        <f t="shared" si="9"/>
        <v>0</v>
      </c>
      <c r="X11" s="4"/>
      <c r="Y11" s="4"/>
      <c r="Z11" s="250"/>
      <c r="AA11" s="323"/>
      <c r="AB11" s="3">
        <v>810000</v>
      </c>
      <c r="AC11" s="511"/>
      <c r="AD11" s="4"/>
      <c r="AE11" s="4"/>
      <c r="AF11" s="4"/>
      <c r="AG11" s="4"/>
      <c r="AH11" s="4"/>
      <c r="AI11" s="4"/>
      <c r="AJ11" s="4"/>
      <c r="AK11" s="4"/>
      <c r="AL11" s="4">
        <f t="shared" si="11"/>
        <v>0</v>
      </c>
      <c r="AM11" s="4"/>
      <c r="AN11" s="4">
        <f t="shared" si="12"/>
        <v>0</v>
      </c>
      <c r="AO11" s="4">
        <f t="shared" si="13"/>
        <v>0</v>
      </c>
      <c r="AP11" s="4"/>
      <c r="AQ11" s="4">
        <f t="shared" si="14"/>
        <v>0</v>
      </c>
      <c r="AR11" s="4"/>
      <c r="AS11" s="4"/>
      <c r="AT11" s="4"/>
      <c r="AU11" s="4"/>
      <c r="AV11" s="4">
        <f t="shared" si="15"/>
        <v>0</v>
      </c>
      <c r="AW11" s="4"/>
      <c r="AX11" s="4"/>
      <c r="AY11" s="4"/>
      <c r="AZ11" s="4"/>
      <c r="BA11" s="4">
        <f t="shared" si="16"/>
        <v>0</v>
      </c>
      <c r="BB11" s="4"/>
      <c r="BC11" s="4"/>
      <c r="BD11" s="4"/>
      <c r="BF11" s="31"/>
    </row>
    <row r="12" spans="1:58" s="5" customFormat="1" ht="27.6">
      <c r="A12" s="3">
        <f t="shared" si="0"/>
        <v>6</v>
      </c>
      <c r="B12" s="3">
        <v>1817</v>
      </c>
      <c r="C12" s="3" t="s">
        <v>973</v>
      </c>
      <c r="D12" s="4">
        <f>640000+230000-230000</f>
        <v>640000</v>
      </c>
      <c r="E12" s="4">
        <v>640000</v>
      </c>
      <c r="F12" s="4">
        <f t="shared" si="1"/>
        <v>0</v>
      </c>
      <c r="G12" s="4">
        <v>640000</v>
      </c>
      <c r="H12" s="4">
        <v>562553.87</v>
      </c>
      <c r="I12" s="4"/>
      <c r="J12" s="4">
        <v>32511.63</v>
      </c>
      <c r="K12" s="4">
        <f t="shared" si="2"/>
        <v>32511.63</v>
      </c>
      <c r="L12" s="4">
        <f t="shared" si="3"/>
        <v>595065.5</v>
      </c>
      <c r="M12" s="4">
        <f t="shared" si="10"/>
        <v>44934.5</v>
      </c>
      <c r="N12" s="4">
        <f>230000-230000</f>
        <v>0</v>
      </c>
      <c r="O12" s="4">
        <f t="shared" si="4"/>
        <v>0</v>
      </c>
      <c r="P12" s="4">
        <f t="shared" si="5"/>
        <v>44934.5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250"/>
      <c r="AA12" s="3"/>
      <c r="AB12" s="3">
        <v>810000</v>
      </c>
      <c r="AC12" s="511"/>
      <c r="AD12" s="4"/>
      <c r="AE12" s="4"/>
      <c r="AF12" s="4"/>
      <c r="AG12" s="4"/>
      <c r="AH12" s="4"/>
      <c r="AI12" s="4"/>
      <c r="AJ12" s="4"/>
      <c r="AK12" s="4"/>
      <c r="AL12" s="4">
        <f t="shared" si="11"/>
        <v>0</v>
      </c>
      <c r="AM12" s="4"/>
      <c r="AN12" s="4">
        <f t="shared" si="12"/>
        <v>0</v>
      </c>
      <c r="AO12" s="4">
        <f t="shared" si="13"/>
        <v>0</v>
      </c>
      <c r="AP12" s="4"/>
      <c r="AQ12" s="4">
        <f t="shared" si="14"/>
        <v>0</v>
      </c>
      <c r="AR12" s="4"/>
      <c r="AS12" s="4"/>
      <c r="AT12" s="4"/>
      <c r="AU12" s="4"/>
      <c r="AV12" s="4">
        <f t="shared" si="15"/>
        <v>0</v>
      </c>
      <c r="AW12" s="4"/>
      <c r="AX12" s="4"/>
      <c r="AY12" s="4"/>
      <c r="AZ12" s="4"/>
      <c r="BA12" s="4">
        <f t="shared" si="16"/>
        <v>0</v>
      </c>
      <c r="BB12" s="4"/>
      <c r="BC12" s="4"/>
      <c r="BD12" s="4"/>
      <c r="BF12" s="31"/>
    </row>
    <row r="13" spans="1:58" s="5" customFormat="1" ht="19.95" customHeight="1">
      <c r="A13" s="3">
        <f t="shared" si="0"/>
        <v>7</v>
      </c>
      <c r="B13" s="50">
        <v>1828</v>
      </c>
      <c r="C13" s="3" t="s">
        <v>210</v>
      </c>
      <c r="D13" s="4">
        <f>330000-90000</f>
        <v>240000</v>
      </c>
      <c r="E13" s="4">
        <v>330000</v>
      </c>
      <c r="F13" s="4">
        <f t="shared" si="1"/>
        <v>-90000</v>
      </c>
      <c r="G13" s="4">
        <v>240000</v>
      </c>
      <c r="H13" s="4">
        <v>188718.3</v>
      </c>
      <c r="I13" s="4"/>
      <c r="J13" s="4"/>
      <c r="K13" s="4">
        <f t="shared" si="2"/>
        <v>0</v>
      </c>
      <c r="L13" s="4">
        <f t="shared" si="3"/>
        <v>188718.3</v>
      </c>
      <c r="M13" s="4">
        <f t="shared" si="10"/>
        <v>51281.700000000012</v>
      </c>
      <c r="N13" s="4"/>
      <c r="O13" s="4">
        <f t="shared" si="4"/>
        <v>0</v>
      </c>
      <c r="P13" s="4">
        <f t="shared" si="5"/>
        <v>51281.700000000012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0</v>
      </c>
      <c r="V13" s="4"/>
      <c r="W13" s="4">
        <f t="shared" si="9"/>
        <v>0</v>
      </c>
      <c r="X13" s="4"/>
      <c r="Y13" s="4"/>
      <c r="Z13" s="250"/>
      <c r="AA13" s="323"/>
      <c r="AB13" s="3">
        <v>810000</v>
      </c>
      <c r="AC13" s="511"/>
      <c r="AD13" s="4"/>
      <c r="AE13" s="4"/>
      <c r="AF13" s="4"/>
      <c r="AG13" s="4"/>
      <c r="AH13" s="4"/>
      <c r="AI13" s="4"/>
      <c r="AJ13" s="4"/>
      <c r="AK13" s="4"/>
      <c r="AL13" s="4">
        <f t="shared" si="11"/>
        <v>0</v>
      </c>
      <c r="AM13" s="4"/>
      <c r="AN13" s="4">
        <f t="shared" si="12"/>
        <v>0</v>
      </c>
      <c r="AO13" s="4">
        <f t="shared" si="13"/>
        <v>0</v>
      </c>
      <c r="AP13" s="4"/>
      <c r="AQ13" s="4">
        <f t="shared" si="14"/>
        <v>0</v>
      </c>
      <c r="AR13" s="4"/>
      <c r="AS13" s="4"/>
      <c r="AT13" s="4"/>
      <c r="AU13" s="4"/>
      <c r="AV13" s="4">
        <f t="shared" si="15"/>
        <v>0</v>
      </c>
      <c r="AW13" s="4"/>
      <c r="AX13" s="4"/>
      <c r="AY13" s="4"/>
      <c r="AZ13" s="4"/>
      <c r="BA13" s="4">
        <f t="shared" si="16"/>
        <v>0</v>
      </c>
      <c r="BB13" s="4"/>
      <c r="BC13" s="4"/>
      <c r="BD13" s="4"/>
      <c r="BF13" s="31"/>
    </row>
    <row r="14" spans="1:58" s="5" customFormat="1" ht="19.95" customHeight="1">
      <c r="A14" s="3">
        <f t="shared" si="0"/>
        <v>8</v>
      </c>
      <c r="B14" s="323">
        <v>1930</v>
      </c>
      <c r="C14" s="3" t="s">
        <v>172</v>
      </c>
      <c r="D14" s="4">
        <f>650000+'[3]אומדן - סיכום'!E31+'[3]אומדן - סיכום'!E35-420000</f>
        <v>900000</v>
      </c>
      <c r="E14" s="4">
        <v>650000</v>
      </c>
      <c r="F14" s="4">
        <f t="shared" si="1"/>
        <v>250000</v>
      </c>
      <c r="G14" s="4">
        <v>650000</v>
      </c>
      <c r="H14" s="4">
        <v>369207.64</v>
      </c>
      <c r="I14" s="4"/>
      <c r="J14" s="4">
        <v>256996.05</v>
      </c>
      <c r="K14" s="4">
        <f t="shared" si="2"/>
        <v>256996.05</v>
      </c>
      <c r="L14" s="4">
        <f t="shared" si="3"/>
        <v>626203.68999999994</v>
      </c>
      <c r="M14" s="4">
        <f t="shared" si="10"/>
        <v>23796.310000000056</v>
      </c>
      <c r="N14" s="4">
        <f>'[3]אומדן - סיכום'!E31+'[3]אומדן - סיכום'!E35-420000</f>
        <v>250000</v>
      </c>
      <c r="O14" s="4">
        <f t="shared" si="4"/>
        <v>0</v>
      </c>
      <c r="P14" s="4">
        <f t="shared" si="5"/>
        <v>23796.310000000056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250000</v>
      </c>
      <c r="V14" s="4"/>
      <c r="W14" s="4">
        <f t="shared" si="9"/>
        <v>250000</v>
      </c>
      <c r="X14" s="4"/>
      <c r="Y14" s="4"/>
      <c r="Z14" s="250"/>
      <c r="AA14" s="3" t="s">
        <v>586</v>
      </c>
      <c r="AB14" s="3">
        <v>810000</v>
      </c>
      <c r="AC14" s="511"/>
      <c r="AD14" s="4"/>
      <c r="AE14" s="4"/>
      <c r="AF14" s="4"/>
      <c r="AG14" s="4">
        <f>250000</f>
        <v>250000</v>
      </c>
      <c r="AH14" s="4"/>
      <c r="AI14" s="4"/>
      <c r="AJ14" s="4"/>
      <c r="AK14" s="4"/>
      <c r="AL14" s="4">
        <f t="shared" si="11"/>
        <v>250000</v>
      </c>
      <c r="AM14" s="4"/>
      <c r="AN14" s="4">
        <f t="shared" si="12"/>
        <v>250000</v>
      </c>
      <c r="AO14" s="4">
        <f t="shared" si="13"/>
        <v>0</v>
      </c>
      <c r="AP14" s="4"/>
      <c r="AQ14" s="4">
        <f t="shared" si="14"/>
        <v>250000</v>
      </c>
      <c r="AR14" s="4"/>
      <c r="AS14" s="4"/>
      <c r="AT14" s="4"/>
      <c r="AU14" s="4"/>
      <c r="AV14" s="4">
        <f t="shared" si="15"/>
        <v>0</v>
      </c>
      <c r="AW14" s="4"/>
      <c r="AX14" s="4"/>
      <c r="AY14" s="4"/>
      <c r="AZ14" s="4"/>
      <c r="BA14" s="4">
        <f t="shared" si="16"/>
        <v>0</v>
      </c>
      <c r="BB14" s="4"/>
      <c r="BC14" s="4"/>
      <c r="BD14" s="4"/>
      <c r="BF14" s="31"/>
    </row>
    <row r="15" spans="1:58" s="5" customFormat="1" ht="19.95" customHeight="1">
      <c r="A15" s="3">
        <f t="shared" si="0"/>
        <v>9</v>
      </c>
      <c r="B15" s="3">
        <v>1975</v>
      </c>
      <c r="C15" s="3" t="s">
        <v>974</v>
      </c>
      <c r="D15" s="4">
        <v>975000</v>
      </c>
      <c r="E15" s="4">
        <v>975000</v>
      </c>
      <c r="F15" s="4">
        <f t="shared" si="1"/>
        <v>0</v>
      </c>
      <c r="G15" s="4">
        <v>0</v>
      </c>
      <c r="H15" s="4">
        <v>0</v>
      </c>
      <c r="I15" s="4"/>
      <c r="J15" s="4"/>
      <c r="K15" s="4">
        <f t="shared" si="2"/>
        <v>0</v>
      </c>
      <c r="L15" s="4">
        <f t="shared" si="3"/>
        <v>0</v>
      </c>
      <c r="M15" s="4">
        <f t="shared" si="10"/>
        <v>0</v>
      </c>
      <c r="N15" s="4">
        <v>975000</v>
      </c>
      <c r="O15" s="4">
        <f t="shared" si="4"/>
        <v>0</v>
      </c>
      <c r="P15" s="4">
        <f t="shared" si="5"/>
        <v>0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975000</v>
      </c>
      <c r="V15" s="4"/>
      <c r="W15" s="4">
        <f t="shared" si="9"/>
        <v>975000</v>
      </c>
      <c r="X15" s="4"/>
      <c r="Y15" s="4"/>
      <c r="Z15" s="250"/>
      <c r="AA15" s="3" t="s">
        <v>779</v>
      </c>
      <c r="AB15" s="3">
        <v>810000</v>
      </c>
      <c r="AC15" s="511"/>
      <c r="AD15" s="4">
        <v>300000</v>
      </c>
      <c r="AE15" s="4"/>
      <c r="AF15" s="4"/>
      <c r="AG15" s="4"/>
      <c r="AH15" s="4">
        <v>675000</v>
      </c>
      <c r="AI15" s="4"/>
      <c r="AJ15" s="4"/>
      <c r="AK15" s="4"/>
      <c r="AL15" s="4">
        <f t="shared" si="11"/>
        <v>975000</v>
      </c>
      <c r="AM15" s="4"/>
      <c r="AN15" s="4">
        <f t="shared" si="12"/>
        <v>975000</v>
      </c>
      <c r="AO15" s="4">
        <f t="shared" si="13"/>
        <v>0</v>
      </c>
      <c r="AP15" s="4"/>
      <c r="AQ15" s="4">
        <f t="shared" si="14"/>
        <v>975000</v>
      </c>
      <c r="AR15" s="4"/>
      <c r="AS15" s="4"/>
      <c r="AT15" s="4"/>
      <c r="AU15" s="4"/>
      <c r="AV15" s="4">
        <f t="shared" si="15"/>
        <v>0</v>
      </c>
      <c r="AW15" s="4"/>
      <c r="AX15" s="4"/>
      <c r="AY15" s="4"/>
      <c r="AZ15" s="4"/>
      <c r="BA15" s="4">
        <f t="shared" si="16"/>
        <v>0</v>
      </c>
      <c r="BB15" s="4"/>
      <c r="BC15" s="4"/>
      <c r="BD15" s="4"/>
      <c r="BF15" s="31"/>
    </row>
    <row r="16" spans="1:58" s="5" customFormat="1" ht="19.95" customHeight="1">
      <c r="A16" s="3">
        <f t="shared" si="0"/>
        <v>10</v>
      </c>
      <c r="B16" s="3">
        <v>1976</v>
      </c>
      <c r="C16" s="3" t="s">
        <v>194</v>
      </c>
      <c r="D16" s="4">
        <f>E16+'[3]אומדן - סיכום'!E73-300000</f>
        <v>644100</v>
      </c>
      <c r="E16" s="4">
        <v>644100</v>
      </c>
      <c r="F16" s="4">
        <f t="shared" si="1"/>
        <v>0</v>
      </c>
      <c r="G16" s="4">
        <v>644100</v>
      </c>
      <c r="H16" s="4">
        <v>339244.14</v>
      </c>
      <c r="I16" s="4"/>
      <c r="J16" s="4"/>
      <c r="K16" s="4">
        <f t="shared" si="2"/>
        <v>0</v>
      </c>
      <c r="L16" s="4">
        <f t="shared" si="3"/>
        <v>339244.14</v>
      </c>
      <c r="M16" s="4">
        <f t="shared" si="10"/>
        <v>304855.86</v>
      </c>
      <c r="N16" s="4">
        <f>'[3]אומדן - סיכום'!E73-300000</f>
        <v>0</v>
      </c>
      <c r="O16" s="4">
        <f t="shared" si="4"/>
        <v>0</v>
      </c>
      <c r="P16" s="4">
        <f t="shared" si="5"/>
        <v>304855.86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0</v>
      </c>
      <c r="V16" s="4"/>
      <c r="W16" s="4">
        <f t="shared" si="9"/>
        <v>0</v>
      </c>
      <c r="X16" s="4"/>
      <c r="Y16" s="4"/>
      <c r="Z16" s="250"/>
      <c r="AA16" s="39" t="s">
        <v>531</v>
      </c>
      <c r="AB16" s="3">
        <v>810000</v>
      </c>
      <c r="AC16" s="511"/>
      <c r="AD16" s="4"/>
      <c r="AE16" s="4"/>
      <c r="AF16" s="4"/>
      <c r="AG16" s="4"/>
      <c r="AH16" s="4"/>
      <c r="AI16" s="4"/>
      <c r="AJ16" s="4"/>
      <c r="AK16" s="4"/>
      <c r="AL16" s="4">
        <f t="shared" si="11"/>
        <v>0</v>
      </c>
      <c r="AM16" s="4"/>
      <c r="AN16" s="4">
        <f t="shared" si="12"/>
        <v>0</v>
      </c>
      <c r="AO16" s="4">
        <f t="shared" si="13"/>
        <v>0</v>
      </c>
      <c r="AP16" s="4"/>
      <c r="AQ16" s="4">
        <f t="shared" si="14"/>
        <v>0</v>
      </c>
      <c r="AR16" s="4"/>
      <c r="AS16" s="4"/>
      <c r="AT16" s="4"/>
      <c r="AU16" s="4"/>
      <c r="AV16" s="4">
        <f t="shared" si="15"/>
        <v>0</v>
      </c>
      <c r="AW16" s="4"/>
      <c r="AX16" s="4"/>
      <c r="AY16" s="4"/>
      <c r="AZ16" s="4"/>
      <c r="BA16" s="4">
        <f t="shared" si="16"/>
        <v>0</v>
      </c>
      <c r="BB16" s="4"/>
      <c r="BC16" s="4"/>
      <c r="BD16" s="4"/>
      <c r="BF16" s="31"/>
    </row>
    <row r="17" spans="1:58" s="5" customFormat="1" ht="19.95" customHeight="1">
      <c r="A17" s="3">
        <f t="shared" si="0"/>
        <v>11</v>
      </c>
      <c r="B17" s="3">
        <v>1977</v>
      </c>
      <c r="C17" s="3" t="s">
        <v>195</v>
      </c>
      <c r="D17" s="4">
        <v>44100</v>
      </c>
      <c r="E17" s="4">
        <v>44100</v>
      </c>
      <c r="F17" s="4">
        <f t="shared" si="1"/>
        <v>0</v>
      </c>
      <c r="G17" s="4">
        <v>44100</v>
      </c>
      <c r="H17" s="4">
        <v>0</v>
      </c>
      <c r="I17" s="4"/>
      <c r="J17" s="4">
        <v>43348.26</v>
      </c>
      <c r="K17" s="4">
        <f t="shared" si="2"/>
        <v>43348.26</v>
      </c>
      <c r="L17" s="4">
        <f t="shared" si="3"/>
        <v>43348.26</v>
      </c>
      <c r="M17" s="4">
        <f t="shared" si="10"/>
        <v>751.73999999999796</v>
      </c>
      <c r="N17" s="4"/>
      <c r="O17" s="4">
        <f t="shared" si="4"/>
        <v>0</v>
      </c>
      <c r="P17" s="4">
        <f t="shared" si="5"/>
        <v>751.73999999999796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9"/>
        <v>0</v>
      </c>
      <c r="X17" s="4"/>
      <c r="Y17" s="4"/>
      <c r="Z17" s="250"/>
      <c r="AA17" s="323"/>
      <c r="AB17" s="3">
        <v>810000</v>
      </c>
      <c r="AC17" s="511"/>
      <c r="AD17" s="511"/>
      <c r="AE17" s="511"/>
      <c r="AF17" s="511"/>
      <c r="AG17" s="511"/>
      <c r="AH17" s="511"/>
      <c r="AI17" s="511"/>
      <c r="AJ17" s="511"/>
      <c r="AK17" s="511"/>
      <c r="AL17" s="486">
        <f t="shared" si="11"/>
        <v>0</v>
      </c>
      <c r="AM17" s="4"/>
      <c r="AN17" s="4">
        <f t="shared" si="12"/>
        <v>0</v>
      </c>
      <c r="AO17" s="4">
        <f t="shared" si="13"/>
        <v>0</v>
      </c>
      <c r="AP17" s="4"/>
      <c r="AQ17" s="4">
        <f t="shared" si="14"/>
        <v>0</v>
      </c>
      <c r="AR17" s="4"/>
      <c r="AS17" s="4"/>
      <c r="AT17" s="4"/>
      <c r="AU17" s="4"/>
      <c r="AV17" s="4">
        <f t="shared" si="15"/>
        <v>0</v>
      </c>
      <c r="AW17" s="4"/>
      <c r="AX17" s="4"/>
      <c r="AY17" s="4"/>
      <c r="AZ17" s="4"/>
      <c r="BA17" s="4">
        <f t="shared" si="16"/>
        <v>0</v>
      </c>
      <c r="BB17" s="4"/>
      <c r="BC17" s="4"/>
      <c r="BD17" s="4"/>
      <c r="BF17" s="31"/>
    </row>
    <row r="18" spans="1:58" s="5" customFormat="1" ht="19.95" customHeight="1">
      <c r="A18" s="3">
        <f t="shared" si="0"/>
        <v>12</v>
      </c>
      <c r="B18" s="50">
        <v>1978</v>
      </c>
      <c r="C18" s="3" t="s">
        <v>196</v>
      </c>
      <c r="D18" s="4">
        <v>73500</v>
      </c>
      <c r="E18" s="4">
        <v>73500</v>
      </c>
      <c r="F18" s="4">
        <f t="shared" si="1"/>
        <v>0</v>
      </c>
      <c r="G18" s="4">
        <v>73500</v>
      </c>
      <c r="H18" s="4">
        <v>17901</v>
      </c>
      <c r="I18" s="4"/>
      <c r="J18" s="4">
        <v>54505.62</v>
      </c>
      <c r="K18" s="4">
        <f t="shared" si="2"/>
        <v>54505.62</v>
      </c>
      <c r="L18" s="4">
        <f t="shared" si="3"/>
        <v>72406.62</v>
      </c>
      <c r="M18" s="4">
        <f t="shared" si="10"/>
        <v>1093.3800000000047</v>
      </c>
      <c r="N18" s="4"/>
      <c r="O18" s="4">
        <f t="shared" si="4"/>
        <v>0</v>
      </c>
      <c r="P18" s="4">
        <f t="shared" si="5"/>
        <v>1093.3800000000047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0</v>
      </c>
      <c r="V18" s="4"/>
      <c r="W18" s="4">
        <f t="shared" si="9"/>
        <v>0</v>
      </c>
      <c r="X18" s="4"/>
      <c r="Y18" s="4"/>
      <c r="Z18" s="250"/>
      <c r="AA18" s="323"/>
      <c r="AB18" s="3">
        <v>810000</v>
      </c>
      <c r="AC18" s="511"/>
      <c r="AD18" s="4"/>
      <c r="AE18" s="4"/>
      <c r="AF18" s="4"/>
      <c r="AG18" s="4"/>
      <c r="AH18" s="4"/>
      <c r="AI18" s="4"/>
      <c r="AJ18" s="4"/>
      <c r="AK18" s="4"/>
      <c r="AL18" s="4">
        <f t="shared" si="11"/>
        <v>0</v>
      </c>
      <c r="AM18" s="4"/>
      <c r="AN18" s="4">
        <f t="shared" si="12"/>
        <v>0</v>
      </c>
      <c r="AO18" s="4">
        <f t="shared" si="13"/>
        <v>0</v>
      </c>
      <c r="AP18" s="4"/>
      <c r="AQ18" s="4">
        <f t="shared" si="14"/>
        <v>0</v>
      </c>
      <c r="AR18" s="4"/>
      <c r="AS18" s="4"/>
      <c r="AT18" s="4"/>
      <c r="AU18" s="4"/>
      <c r="AV18" s="4">
        <f t="shared" si="15"/>
        <v>0</v>
      </c>
      <c r="AW18" s="4"/>
      <c r="AX18" s="4"/>
      <c r="AY18" s="4"/>
      <c r="AZ18" s="4"/>
      <c r="BA18" s="4">
        <f t="shared" si="16"/>
        <v>0</v>
      </c>
      <c r="BB18" s="4"/>
      <c r="BC18" s="4"/>
      <c r="BD18" s="4"/>
      <c r="BF18" s="31"/>
    </row>
    <row r="19" spans="1:58" s="5" customFormat="1" ht="19.95" customHeight="1">
      <c r="A19" s="3">
        <f t="shared" si="0"/>
        <v>13</v>
      </c>
      <c r="B19" s="50">
        <v>1987</v>
      </c>
      <c r="C19" s="3" t="s">
        <v>221</v>
      </c>
      <c r="D19" s="4">
        <v>120000</v>
      </c>
      <c r="E19" s="4">
        <v>120000</v>
      </c>
      <c r="F19" s="4">
        <f t="shared" si="1"/>
        <v>0</v>
      </c>
      <c r="G19" s="4">
        <v>120000</v>
      </c>
      <c r="H19" s="4">
        <v>0</v>
      </c>
      <c r="I19" s="4"/>
      <c r="J19" s="4"/>
      <c r="K19" s="4">
        <f t="shared" si="2"/>
        <v>0</v>
      </c>
      <c r="L19" s="4">
        <f t="shared" si="3"/>
        <v>0</v>
      </c>
      <c r="M19" s="4">
        <f t="shared" si="10"/>
        <v>120000</v>
      </c>
      <c r="N19" s="4"/>
      <c r="O19" s="4">
        <f t="shared" si="4"/>
        <v>0</v>
      </c>
      <c r="P19" s="4">
        <f t="shared" si="5"/>
        <v>120000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4"/>
      <c r="W19" s="4">
        <f t="shared" si="9"/>
        <v>0</v>
      </c>
      <c r="X19" s="4"/>
      <c r="Y19" s="4"/>
      <c r="Z19" s="250"/>
      <c r="AA19" s="323"/>
      <c r="AB19" s="3">
        <v>810000</v>
      </c>
      <c r="AC19" s="511"/>
      <c r="AD19" s="4"/>
      <c r="AE19" s="4"/>
      <c r="AF19" s="4"/>
      <c r="AG19" s="4"/>
      <c r="AH19" s="4"/>
      <c r="AI19" s="4"/>
      <c r="AJ19" s="4"/>
      <c r="AK19" s="4"/>
      <c r="AL19" s="4">
        <f t="shared" si="11"/>
        <v>0</v>
      </c>
      <c r="AM19" s="4"/>
      <c r="AN19" s="4">
        <f t="shared" si="12"/>
        <v>0</v>
      </c>
      <c r="AO19" s="4">
        <f t="shared" si="13"/>
        <v>0</v>
      </c>
      <c r="AP19" s="4"/>
      <c r="AQ19" s="4">
        <f t="shared" si="14"/>
        <v>0</v>
      </c>
      <c r="AR19" s="4"/>
      <c r="AS19" s="4"/>
      <c r="AT19" s="4"/>
      <c r="AU19" s="4"/>
      <c r="AV19" s="4">
        <f t="shared" si="15"/>
        <v>0</v>
      </c>
      <c r="AW19" s="4"/>
      <c r="AX19" s="4"/>
      <c r="AY19" s="4"/>
      <c r="AZ19" s="4"/>
      <c r="BA19" s="4">
        <f t="shared" si="16"/>
        <v>0</v>
      </c>
      <c r="BB19" s="4"/>
      <c r="BC19" s="4"/>
      <c r="BD19" s="4"/>
      <c r="BF19" s="31"/>
    </row>
    <row r="20" spans="1:58" s="5" customFormat="1" ht="19.95" customHeight="1">
      <c r="A20" s="3">
        <f t="shared" si="0"/>
        <v>14</v>
      </c>
      <c r="B20" s="50">
        <v>1990</v>
      </c>
      <c r="C20" s="3" t="s">
        <v>222</v>
      </c>
      <c r="D20" s="4">
        <v>58800</v>
      </c>
      <c r="E20" s="4">
        <v>58800</v>
      </c>
      <c r="F20" s="4">
        <f t="shared" si="1"/>
        <v>0</v>
      </c>
      <c r="G20" s="4">
        <v>58800</v>
      </c>
      <c r="H20" s="4">
        <v>32751.59</v>
      </c>
      <c r="I20" s="4"/>
      <c r="J20" s="4">
        <v>1717.56</v>
      </c>
      <c r="K20" s="4">
        <f t="shared" si="2"/>
        <v>1717.56</v>
      </c>
      <c r="L20" s="4">
        <f t="shared" si="3"/>
        <v>34469.15</v>
      </c>
      <c r="M20" s="4">
        <f t="shared" si="10"/>
        <v>24330.85</v>
      </c>
      <c r="N20" s="4"/>
      <c r="O20" s="4">
        <f t="shared" si="4"/>
        <v>0</v>
      </c>
      <c r="P20" s="4">
        <f t="shared" si="5"/>
        <v>24330.85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0</v>
      </c>
      <c r="V20" s="4"/>
      <c r="W20" s="4">
        <f t="shared" si="9"/>
        <v>0</v>
      </c>
      <c r="X20" s="4"/>
      <c r="Y20" s="4"/>
      <c r="Z20" s="250"/>
      <c r="AA20" s="323"/>
      <c r="AB20" s="3">
        <v>810000</v>
      </c>
      <c r="AC20" s="511"/>
      <c r="AD20" s="4"/>
      <c r="AE20" s="4"/>
      <c r="AF20" s="4"/>
      <c r="AG20" s="4"/>
      <c r="AH20" s="4"/>
      <c r="AI20" s="4"/>
      <c r="AJ20" s="4"/>
      <c r="AK20" s="4"/>
      <c r="AL20" s="4">
        <f t="shared" si="11"/>
        <v>0</v>
      </c>
      <c r="AM20" s="4"/>
      <c r="AN20" s="4">
        <f t="shared" si="12"/>
        <v>0</v>
      </c>
      <c r="AO20" s="4">
        <f t="shared" si="13"/>
        <v>0</v>
      </c>
      <c r="AP20" s="4"/>
      <c r="AQ20" s="4">
        <f t="shared" si="14"/>
        <v>0</v>
      </c>
      <c r="AR20" s="4"/>
      <c r="AS20" s="4"/>
      <c r="AT20" s="4"/>
      <c r="AU20" s="4"/>
      <c r="AV20" s="4">
        <f t="shared" si="15"/>
        <v>0</v>
      </c>
      <c r="AW20" s="4"/>
      <c r="AX20" s="4"/>
      <c r="AY20" s="4"/>
      <c r="AZ20" s="4"/>
      <c r="BA20" s="4">
        <f t="shared" si="16"/>
        <v>0</v>
      </c>
      <c r="BB20" s="4"/>
      <c r="BC20" s="4"/>
      <c r="BD20" s="4"/>
      <c r="BF20" s="31"/>
    </row>
    <row r="21" spans="1:58" s="5" customFormat="1" ht="27.6">
      <c r="A21" s="3">
        <f t="shared" si="0"/>
        <v>15</v>
      </c>
      <c r="B21" s="188">
        <v>2003</v>
      </c>
      <c r="C21" s="188" t="s">
        <v>1276</v>
      </c>
      <c r="D21" s="4">
        <f>250000-100000</f>
        <v>150000</v>
      </c>
      <c r="E21" s="4">
        <v>150000</v>
      </c>
      <c r="F21" s="4">
        <f t="shared" si="1"/>
        <v>0</v>
      </c>
      <c r="G21" s="4">
        <v>150000</v>
      </c>
      <c r="H21" s="4">
        <v>148935.9</v>
      </c>
      <c r="I21" s="4"/>
      <c r="J21" s="4"/>
      <c r="K21" s="4">
        <f t="shared" si="2"/>
        <v>0</v>
      </c>
      <c r="L21" s="4">
        <f t="shared" si="3"/>
        <v>148935.9</v>
      </c>
      <c r="M21" s="4">
        <f t="shared" si="10"/>
        <v>1064.1000000000058</v>
      </c>
      <c r="N21" s="4">
        <f>'[3]אומדן - סיכום'!E94-100000</f>
        <v>0</v>
      </c>
      <c r="O21" s="4">
        <f t="shared" si="4"/>
        <v>0</v>
      </c>
      <c r="P21" s="4">
        <f t="shared" si="5"/>
        <v>1064.1000000000058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0</v>
      </c>
      <c r="V21" s="4"/>
      <c r="W21" s="4">
        <f t="shared" si="9"/>
        <v>0</v>
      </c>
      <c r="X21" s="4"/>
      <c r="Y21" s="4"/>
      <c r="Z21" s="250"/>
      <c r="AA21" s="3"/>
      <c r="AB21" s="3">
        <v>810000</v>
      </c>
      <c r="AC21" s="511"/>
      <c r="AD21" s="4"/>
      <c r="AE21" s="4"/>
      <c r="AF21" s="4"/>
      <c r="AG21" s="4"/>
      <c r="AH21" s="4"/>
      <c r="AI21" s="4"/>
      <c r="AJ21" s="4"/>
      <c r="AK21" s="4"/>
      <c r="AL21" s="4">
        <f t="shared" si="11"/>
        <v>0</v>
      </c>
      <c r="AM21" s="4"/>
      <c r="AN21" s="4">
        <f t="shared" si="12"/>
        <v>0</v>
      </c>
      <c r="AO21" s="4">
        <f t="shared" si="13"/>
        <v>0</v>
      </c>
      <c r="AP21" s="4"/>
      <c r="AQ21" s="4">
        <f t="shared" si="14"/>
        <v>0</v>
      </c>
      <c r="AR21" s="4"/>
      <c r="AS21" s="4"/>
      <c r="AT21" s="4"/>
      <c r="AU21" s="4"/>
      <c r="AV21" s="4">
        <f t="shared" si="15"/>
        <v>0</v>
      </c>
      <c r="AW21" s="4"/>
      <c r="AX21" s="4"/>
      <c r="AY21" s="4"/>
      <c r="AZ21" s="4"/>
      <c r="BA21" s="4">
        <f t="shared" si="16"/>
        <v>0</v>
      </c>
      <c r="BB21" s="4"/>
      <c r="BC21" s="4"/>
      <c r="BD21" s="4"/>
      <c r="BF21" s="31"/>
    </row>
    <row r="22" spans="1:58" s="5" customFormat="1" ht="19.95" customHeight="1">
      <c r="A22" s="3">
        <f t="shared" si="0"/>
        <v>16</v>
      </c>
      <c r="B22" s="323">
        <v>2033</v>
      </c>
      <c r="C22" s="3" t="s">
        <v>525</v>
      </c>
      <c r="D22" s="4">
        <f>'[3]אומדן - סיכום'!E39+'[3]אומדן - סיכום'!E40+'[3]אומדן - סיכום'!E41-50000</f>
        <v>1000000.13398665</v>
      </c>
      <c r="E22" s="4">
        <v>950000</v>
      </c>
      <c r="F22" s="4">
        <f t="shared" si="1"/>
        <v>50000.133986650035</v>
      </c>
      <c r="G22" s="4">
        <v>500000</v>
      </c>
      <c r="H22" s="4">
        <v>0</v>
      </c>
      <c r="I22" s="4"/>
      <c r="J22" s="4"/>
      <c r="K22" s="4">
        <f t="shared" si="2"/>
        <v>0</v>
      </c>
      <c r="L22" s="4">
        <f t="shared" si="3"/>
        <v>0</v>
      </c>
      <c r="M22" s="4">
        <f t="shared" si="10"/>
        <v>500000</v>
      </c>
      <c r="N22" s="4">
        <f>'[3]אומדן - סיכום'!E41+'[3]אומדן - סיכום'!E40+'[3]אומדן - סיכום'!E39-'תקציב אגף חינוך 2019'!E25-50000</f>
        <v>500000.13398665003</v>
      </c>
      <c r="O22" s="4">
        <f t="shared" si="4"/>
        <v>0</v>
      </c>
      <c r="P22" s="4">
        <f t="shared" si="5"/>
        <v>500000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500000.13398665003</v>
      </c>
      <c r="V22" s="4"/>
      <c r="W22" s="4">
        <f t="shared" si="9"/>
        <v>500000.13398665003</v>
      </c>
      <c r="X22" s="4"/>
      <c r="Y22" s="4"/>
      <c r="Z22" s="250"/>
      <c r="AA22" s="3" t="s">
        <v>526</v>
      </c>
      <c r="AB22" s="3">
        <v>810000</v>
      </c>
      <c r="AC22" s="511"/>
      <c r="AD22" s="4">
        <v>200000</v>
      </c>
      <c r="AE22" s="4"/>
      <c r="AF22" s="4"/>
      <c r="AG22" s="4"/>
      <c r="AH22" s="4"/>
      <c r="AI22" s="4"/>
      <c r="AJ22" s="4">
        <v>300000</v>
      </c>
      <c r="AK22" s="4"/>
      <c r="AL22" s="4">
        <f t="shared" si="11"/>
        <v>500000</v>
      </c>
      <c r="AM22" s="4"/>
      <c r="AN22" s="4">
        <f t="shared" si="12"/>
        <v>500000</v>
      </c>
      <c r="AO22" s="4">
        <f t="shared" si="13"/>
        <v>0.13398665003478527</v>
      </c>
      <c r="AP22" s="4"/>
      <c r="AQ22" s="4">
        <f t="shared" si="14"/>
        <v>500000</v>
      </c>
      <c r="AR22" s="4"/>
      <c r="AS22" s="4"/>
      <c r="AT22" s="4"/>
      <c r="AU22" s="4"/>
      <c r="AV22" s="4">
        <f t="shared" si="15"/>
        <v>0</v>
      </c>
      <c r="AW22" s="4"/>
      <c r="AX22" s="4"/>
      <c r="AY22" s="4"/>
      <c r="AZ22" s="4"/>
      <c r="BA22" s="4">
        <f t="shared" si="16"/>
        <v>0.13398665003478527</v>
      </c>
      <c r="BB22" s="4"/>
      <c r="BC22" s="4"/>
      <c r="BD22" s="4"/>
      <c r="BF22" s="31"/>
    </row>
    <row r="23" spans="1:58" s="5" customFormat="1" ht="19.95" customHeight="1">
      <c r="A23" s="3">
        <f t="shared" si="0"/>
        <v>17</v>
      </c>
      <c r="B23" s="323">
        <v>2034</v>
      </c>
      <c r="C23" s="3" t="s">
        <v>527</v>
      </c>
      <c r="D23" s="4">
        <f>'[3]אומדן - סיכום'!C56-335000</f>
        <v>2000000</v>
      </c>
      <c r="E23" s="4">
        <v>1700000</v>
      </c>
      <c r="F23" s="4">
        <f t="shared" si="1"/>
        <v>300000</v>
      </c>
      <c r="G23" s="4">
        <v>1302900</v>
      </c>
      <c r="H23" s="4">
        <v>167186.23999999999</v>
      </c>
      <c r="I23" s="4"/>
      <c r="J23" s="4">
        <v>947862.31</v>
      </c>
      <c r="K23" s="4">
        <f t="shared" si="2"/>
        <v>947862.31</v>
      </c>
      <c r="L23" s="4">
        <f t="shared" si="3"/>
        <v>1115048.55</v>
      </c>
      <c r="M23" s="4">
        <f t="shared" si="10"/>
        <v>187851.44999999995</v>
      </c>
      <c r="N23" s="4">
        <f>D23-G23</f>
        <v>697100</v>
      </c>
      <c r="O23" s="4">
        <f t="shared" si="4"/>
        <v>0</v>
      </c>
      <c r="P23" s="4">
        <f t="shared" si="5"/>
        <v>187851.44999999995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697100</v>
      </c>
      <c r="V23" s="4"/>
      <c r="W23" s="4">
        <f t="shared" si="9"/>
        <v>697100</v>
      </c>
      <c r="X23" s="4"/>
      <c r="Y23" s="4"/>
      <c r="Z23" s="250"/>
      <c r="AA23" s="3" t="s">
        <v>975</v>
      </c>
      <c r="AB23" s="3">
        <v>810000</v>
      </c>
      <c r="AC23" s="511"/>
      <c r="AD23" s="4">
        <v>300000</v>
      </c>
      <c r="AE23" s="4"/>
      <c r="AF23" s="4"/>
      <c r="AG23" s="4">
        <v>397100</v>
      </c>
      <c r="AH23" s="4"/>
      <c r="AI23" s="4"/>
      <c r="AJ23" s="4"/>
      <c r="AK23" s="4"/>
      <c r="AL23" s="4">
        <f t="shared" si="11"/>
        <v>697100</v>
      </c>
      <c r="AM23" s="4"/>
      <c r="AN23" s="4">
        <f t="shared" si="12"/>
        <v>697100</v>
      </c>
      <c r="AO23" s="4">
        <f t="shared" si="13"/>
        <v>0</v>
      </c>
      <c r="AP23" s="4"/>
      <c r="AQ23" s="4">
        <f t="shared" si="14"/>
        <v>697100</v>
      </c>
      <c r="AR23" s="4"/>
      <c r="AS23" s="4"/>
      <c r="AT23" s="4"/>
      <c r="AU23" s="4"/>
      <c r="AV23" s="4">
        <f t="shared" si="15"/>
        <v>0</v>
      </c>
      <c r="AW23" s="4"/>
      <c r="AX23" s="4"/>
      <c r="AY23" s="4"/>
      <c r="AZ23" s="4"/>
      <c r="BA23" s="4">
        <f t="shared" si="16"/>
        <v>0</v>
      </c>
      <c r="BB23" s="4"/>
      <c r="BC23" s="4"/>
      <c r="BD23" s="4"/>
      <c r="BF23" s="31"/>
    </row>
    <row r="24" spans="1:58" s="5" customFormat="1" ht="19.95" customHeight="1">
      <c r="A24" s="3">
        <f>1+A23</f>
        <v>18</v>
      </c>
      <c r="B24" s="323">
        <v>2069</v>
      </c>
      <c r="C24" s="3" t="s">
        <v>528</v>
      </c>
      <c r="D24" s="4">
        <v>190000</v>
      </c>
      <c r="E24" s="4">
        <v>190000</v>
      </c>
      <c r="F24" s="4">
        <f t="shared" si="1"/>
        <v>0</v>
      </c>
      <c r="G24" s="4">
        <v>190000</v>
      </c>
      <c r="H24" s="4">
        <v>0</v>
      </c>
      <c r="I24" s="4"/>
      <c r="J24" s="4">
        <v>91340</v>
      </c>
      <c r="K24" s="4">
        <f t="shared" si="2"/>
        <v>91340</v>
      </c>
      <c r="L24" s="4">
        <f t="shared" si="3"/>
        <v>91340</v>
      </c>
      <c r="M24" s="4">
        <f t="shared" si="10"/>
        <v>98660</v>
      </c>
      <c r="N24" s="4"/>
      <c r="O24" s="4">
        <f t="shared" si="4"/>
        <v>0</v>
      </c>
      <c r="P24" s="4">
        <f t="shared" si="5"/>
        <v>98660</v>
      </c>
      <c r="Q24" s="4"/>
      <c r="R24" s="4"/>
      <c r="S24" s="4">
        <f t="shared" si="6"/>
        <v>0</v>
      </c>
      <c r="T24" s="4">
        <f t="shared" si="7"/>
        <v>0</v>
      </c>
      <c r="U24" s="4">
        <f t="shared" si="8"/>
        <v>0</v>
      </c>
      <c r="V24" s="4"/>
      <c r="W24" s="4">
        <f t="shared" si="9"/>
        <v>0</v>
      </c>
      <c r="X24" s="4"/>
      <c r="Y24" s="4"/>
      <c r="Z24" s="250"/>
      <c r="AA24" s="323"/>
      <c r="AB24" s="3">
        <v>810000</v>
      </c>
      <c r="AC24" s="511"/>
      <c r="AD24" s="4"/>
      <c r="AE24" s="4"/>
      <c r="AF24" s="4"/>
      <c r="AG24" s="4"/>
      <c r="AH24" s="4"/>
      <c r="AI24" s="4"/>
      <c r="AJ24" s="4"/>
      <c r="AK24" s="4"/>
      <c r="AL24" s="4">
        <f t="shared" si="11"/>
        <v>0</v>
      </c>
      <c r="AM24" s="4"/>
      <c r="AN24" s="4">
        <f t="shared" si="12"/>
        <v>0</v>
      </c>
      <c r="AO24" s="4">
        <f t="shared" si="13"/>
        <v>0</v>
      </c>
      <c r="AP24" s="4"/>
      <c r="AQ24" s="4">
        <f t="shared" si="14"/>
        <v>0</v>
      </c>
      <c r="AR24" s="4"/>
      <c r="AS24" s="4"/>
      <c r="AT24" s="4"/>
      <c r="AU24" s="4"/>
      <c r="AV24" s="4">
        <f t="shared" si="15"/>
        <v>0</v>
      </c>
      <c r="AW24" s="4"/>
      <c r="AX24" s="4"/>
      <c r="AY24" s="4"/>
      <c r="AZ24" s="4"/>
      <c r="BA24" s="4">
        <f t="shared" si="16"/>
        <v>0</v>
      </c>
      <c r="BB24" s="4"/>
      <c r="BC24" s="4"/>
      <c r="BD24" s="4"/>
      <c r="BF24" s="31"/>
    </row>
    <row r="25" spans="1:58" s="5" customFormat="1" ht="19.95" customHeight="1">
      <c r="A25" s="3">
        <f t="shared" si="0"/>
        <v>19</v>
      </c>
      <c r="B25" s="323">
        <v>2070</v>
      </c>
      <c r="C25" s="3" t="s">
        <v>529</v>
      </c>
      <c r="D25" s="4">
        <v>500000</v>
      </c>
      <c r="E25" s="4">
        <v>500000</v>
      </c>
      <c r="F25" s="4">
        <f t="shared" si="1"/>
        <v>0</v>
      </c>
      <c r="G25" s="4">
        <v>130000</v>
      </c>
      <c r="H25" s="4">
        <v>0</v>
      </c>
      <c r="I25" s="4"/>
      <c r="J25" s="4">
        <v>86998.39</v>
      </c>
      <c r="K25" s="4">
        <f t="shared" si="2"/>
        <v>86998.39</v>
      </c>
      <c r="L25" s="4">
        <f t="shared" si="3"/>
        <v>86998.39</v>
      </c>
      <c r="M25" s="4">
        <f t="shared" si="10"/>
        <v>43001.61</v>
      </c>
      <c r="N25" s="4">
        <f>'[3]אומדן - סיכום'!E78+'[3]אומדן - סיכום'!E77</f>
        <v>190000</v>
      </c>
      <c r="O25" s="4">
        <f t="shared" si="4"/>
        <v>180000</v>
      </c>
      <c r="P25" s="4">
        <f t="shared" si="5"/>
        <v>43001.61</v>
      </c>
      <c r="Q25" s="4"/>
      <c r="R25" s="4"/>
      <c r="S25" s="4">
        <f t="shared" si="6"/>
        <v>0</v>
      </c>
      <c r="T25" s="4">
        <f t="shared" si="7"/>
        <v>0</v>
      </c>
      <c r="U25" s="4">
        <f t="shared" si="8"/>
        <v>190000</v>
      </c>
      <c r="V25" s="4"/>
      <c r="W25" s="4">
        <f t="shared" si="9"/>
        <v>112000</v>
      </c>
      <c r="X25" s="4"/>
      <c r="Y25" s="4"/>
      <c r="Z25" s="370">
        <f>'[3]אומדן - סיכום'!E77</f>
        <v>78000</v>
      </c>
      <c r="AA25" s="3" t="s">
        <v>894</v>
      </c>
      <c r="AB25" s="3">
        <v>810000</v>
      </c>
      <c r="AC25" s="511"/>
      <c r="AD25" s="4">
        <v>190000</v>
      </c>
      <c r="AE25" s="4"/>
      <c r="AF25" s="4"/>
      <c r="AG25" s="4"/>
      <c r="AH25" s="4"/>
      <c r="AI25" s="4"/>
      <c r="AJ25" s="4"/>
      <c r="AK25" s="4"/>
      <c r="AL25" s="4">
        <f t="shared" si="11"/>
        <v>190000</v>
      </c>
      <c r="AM25" s="4"/>
      <c r="AN25" s="4">
        <f t="shared" si="12"/>
        <v>190000</v>
      </c>
      <c r="AO25" s="4">
        <f t="shared" si="13"/>
        <v>0</v>
      </c>
      <c r="AP25" s="4"/>
      <c r="AQ25" s="4">
        <f t="shared" si="14"/>
        <v>112000</v>
      </c>
      <c r="AR25" s="4"/>
      <c r="AS25" s="4"/>
      <c r="AT25" s="4">
        <v>78000</v>
      </c>
      <c r="AU25" s="4"/>
      <c r="AV25" s="4">
        <f t="shared" si="15"/>
        <v>0</v>
      </c>
      <c r="AW25" s="4"/>
      <c r="AX25" s="4"/>
      <c r="AY25" s="4"/>
      <c r="AZ25" s="4"/>
      <c r="BA25" s="4">
        <f t="shared" si="16"/>
        <v>0</v>
      </c>
      <c r="BB25" s="4"/>
      <c r="BC25" s="4"/>
      <c r="BD25" s="4"/>
      <c r="BF25" s="31"/>
    </row>
    <row r="26" spans="1:58" s="5" customFormat="1" ht="19.95" customHeight="1">
      <c r="A26" s="3">
        <f t="shared" si="0"/>
        <v>20</v>
      </c>
      <c r="B26" s="323">
        <v>2071</v>
      </c>
      <c r="C26" s="3" t="s">
        <v>530</v>
      </c>
      <c r="D26" s="4">
        <v>300000</v>
      </c>
      <c r="E26" s="4">
        <v>300000</v>
      </c>
      <c r="F26" s="4">
        <f>D26-E26</f>
        <v>0</v>
      </c>
      <c r="G26" s="4">
        <v>300000</v>
      </c>
      <c r="H26" s="4">
        <v>0</v>
      </c>
      <c r="I26" s="4"/>
      <c r="J26" s="4"/>
      <c r="K26" s="4">
        <f>I26+J26</f>
        <v>0</v>
      </c>
      <c r="L26" s="4">
        <f>H26+K26</f>
        <v>0</v>
      </c>
      <c r="M26" s="4">
        <f>P26+S26</f>
        <v>300000</v>
      </c>
      <c r="N26" s="4"/>
      <c r="O26" s="4">
        <f>D26-L26-M26-N26</f>
        <v>0</v>
      </c>
      <c r="P26" s="4">
        <f>G26-L26</f>
        <v>300000</v>
      </c>
      <c r="Q26" s="4"/>
      <c r="R26" s="4"/>
      <c r="S26" s="4">
        <f>SUM(Q26:R26)</f>
        <v>0</v>
      </c>
      <c r="T26" s="4">
        <f>P26-M26+S26</f>
        <v>0</v>
      </c>
      <c r="U26" s="4">
        <f>N26-T26</f>
        <v>0</v>
      </c>
      <c r="V26" s="4"/>
      <c r="W26" s="4">
        <f>U26-V26-Y26-Z26</f>
        <v>0</v>
      </c>
      <c r="X26" s="4"/>
      <c r="Y26" s="4"/>
      <c r="Z26" s="250"/>
      <c r="AA26" s="323"/>
      <c r="AB26" s="3">
        <v>810000</v>
      </c>
      <c r="AC26" s="511"/>
      <c r="AD26" s="4"/>
      <c r="AE26" s="4"/>
      <c r="AF26" s="4"/>
      <c r="AG26" s="4"/>
      <c r="AH26" s="4"/>
      <c r="AI26" s="4"/>
      <c r="AJ26" s="4"/>
      <c r="AK26" s="4"/>
      <c r="AL26" s="4">
        <f t="shared" si="11"/>
        <v>0</v>
      </c>
      <c r="AM26" s="4"/>
      <c r="AN26" s="4">
        <f t="shared" si="12"/>
        <v>0</v>
      </c>
      <c r="AO26" s="4">
        <f t="shared" si="13"/>
        <v>0</v>
      </c>
      <c r="AP26" s="4"/>
      <c r="AQ26" s="4">
        <f t="shared" si="14"/>
        <v>0</v>
      </c>
      <c r="AR26" s="4"/>
      <c r="AS26" s="4"/>
      <c r="AT26" s="4"/>
      <c r="AU26" s="4"/>
      <c r="AV26" s="4">
        <f t="shared" si="15"/>
        <v>0</v>
      </c>
      <c r="AW26" s="4"/>
      <c r="AX26" s="4"/>
      <c r="AY26" s="4"/>
      <c r="AZ26" s="4"/>
      <c r="BA26" s="4">
        <f t="shared" si="16"/>
        <v>0</v>
      </c>
      <c r="BB26" s="4"/>
      <c r="BC26" s="4"/>
      <c r="BD26" s="4"/>
      <c r="BF26" s="31"/>
    </row>
    <row r="27" spans="1:58" s="5" customFormat="1" ht="19.95" customHeight="1">
      <c r="A27" s="3">
        <f t="shared" si="0"/>
        <v>21</v>
      </c>
      <c r="B27" s="323">
        <v>2090</v>
      </c>
      <c r="C27" s="3" t="s">
        <v>532</v>
      </c>
      <c r="D27" s="4">
        <v>350000</v>
      </c>
      <c r="E27" s="4"/>
      <c r="F27" s="4">
        <f>D27-E27</f>
        <v>350000</v>
      </c>
      <c r="G27" s="4"/>
      <c r="H27" s="4"/>
      <c r="I27" s="4"/>
      <c r="J27" s="4"/>
      <c r="K27" s="4">
        <f>I27+J27</f>
        <v>0</v>
      </c>
      <c r="L27" s="4">
        <f>H27+K27</f>
        <v>0</v>
      </c>
      <c r="M27" s="4">
        <f>P27+S27</f>
        <v>0</v>
      </c>
      <c r="N27" s="4">
        <v>350000</v>
      </c>
      <c r="O27" s="4">
        <f>D27-L27-M27-N27</f>
        <v>0</v>
      </c>
      <c r="P27" s="4">
        <f>G27-L27</f>
        <v>0</v>
      </c>
      <c r="Q27" s="4"/>
      <c r="R27" s="4"/>
      <c r="S27" s="4">
        <f>SUM(Q27:R27)</f>
        <v>0</v>
      </c>
      <c r="T27" s="4">
        <f>P27-M27+S27</f>
        <v>0</v>
      </c>
      <c r="U27" s="4">
        <f>N27-T27</f>
        <v>350000</v>
      </c>
      <c r="V27" s="4"/>
      <c r="W27" s="4">
        <f>U27-V27-Y27-Z27</f>
        <v>350000</v>
      </c>
      <c r="X27" s="4"/>
      <c r="Y27" s="4"/>
      <c r="Z27" s="250"/>
      <c r="AA27" s="3" t="s">
        <v>780</v>
      </c>
      <c r="AB27" s="3">
        <v>810000</v>
      </c>
      <c r="AC27" s="511"/>
      <c r="AD27" s="4"/>
      <c r="AE27" s="4"/>
      <c r="AF27" s="4"/>
      <c r="AG27" s="4"/>
      <c r="AH27" s="4"/>
      <c r="AI27" s="4"/>
      <c r="AJ27" s="4">
        <v>350000</v>
      </c>
      <c r="AK27" s="4"/>
      <c r="AL27" s="4">
        <f t="shared" si="11"/>
        <v>350000</v>
      </c>
      <c r="AM27" s="4"/>
      <c r="AN27" s="4">
        <f t="shared" si="12"/>
        <v>350000</v>
      </c>
      <c r="AO27" s="4">
        <f t="shared" si="13"/>
        <v>0</v>
      </c>
      <c r="AP27" s="4"/>
      <c r="AQ27" s="4">
        <f t="shared" si="14"/>
        <v>350000</v>
      </c>
      <c r="AR27" s="4"/>
      <c r="AS27" s="4"/>
      <c r="AT27" s="4"/>
      <c r="AU27" s="4"/>
      <c r="AV27" s="4">
        <f t="shared" si="15"/>
        <v>0</v>
      </c>
      <c r="AW27" s="4"/>
      <c r="AX27" s="4"/>
      <c r="AY27" s="4"/>
      <c r="AZ27" s="4"/>
      <c r="BA27" s="4">
        <f t="shared" si="16"/>
        <v>0</v>
      </c>
      <c r="BB27" s="4"/>
      <c r="BC27" s="4"/>
      <c r="BD27" s="4"/>
      <c r="BF27" s="31"/>
    </row>
    <row r="28" spans="1:58" s="5" customFormat="1" ht="19.95" customHeight="1">
      <c r="A28" s="3">
        <f t="shared" si="0"/>
        <v>22</v>
      </c>
      <c r="B28" s="323">
        <v>2091</v>
      </c>
      <c r="C28" s="3" t="s">
        <v>533</v>
      </c>
      <c r="D28" s="4">
        <v>1500000</v>
      </c>
      <c r="E28" s="4"/>
      <c r="F28" s="4">
        <f>D28-E28</f>
        <v>1500000</v>
      </c>
      <c r="G28" s="4"/>
      <c r="H28" s="4">
        <v>0</v>
      </c>
      <c r="I28" s="4"/>
      <c r="J28" s="4"/>
      <c r="K28" s="4">
        <f>I28+J28</f>
        <v>0</v>
      </c>
      <c r="L28" s="4">
        <f>H28+K28</f>
        <v>0</v>
      </c>
      <c r="M28" s="4">
        <f>P28+S28</f>
        <v>0</v>
      </c>
      <c r="N28" s="4">
        <v>900000</v>
      </c>
      <c r="O28" s="4">
        <f>D28-L28-M28-N28</f>
        <v>600000</v>
      </c>
      <c r="P28" s="4">
        <f>G28-L28</f>
        <v>0</v>
      </c>
      <c r="Q28" s="4"/>
      <c r="R28" s="4"/>
      <c r="S28" s="4">
        <f>SUM(Q28:R28)</f>
        <v>0</v>
      </c>
      <c r="T28" s="4">
        <f>P28-M28+S28</f>
        <v>0</v>
      </c>
      <c r="U28" s="4">
        <f>N28-T28</f>
        <v>900000</v>
      </c>
      <c r="V28" s="4"/>
      <c r="W28" s="4">
        <f>U28-V28-Y28-Z28</f>
        <v>900000</v>
      </c>
      <c r="X28" s="4"/>
      <c r="Y28" s="4"/>
      <c r="Z28" s="250"/>
      <c r="AA28" s="3" t="s">
        <v>976</v>
      </c>
      <c r="AB28" s="3">
        <v>810000</v>
      </c>
      <c r="AC28" s="511"/>
      <c r="AD28" s="4">
        <v>200000</v>
      </c>
      <c r="AE28" s="4"/>
      <c r="AF28" s="4"/>
      <c r="AG28" s="4">
        <v>200000</v>
      </c>
      <c r="AH28" s="4"/>
      <c r="AI28" s="4"/>
      <c r="AJ28" s="4">
        <v>500000</v>
      </c>
      <c r="AK28" s="4"/>
      <c r="AL28" s="4">
        <f t="shared" si="11"/>
        <v>900000</v>
      </c>
      <c r="AM28" s="4"/>
      <c r="AN28" s="4">
        <f t="shared" si="12"/>
        <v>900000</v>
      </c>
      <c r="AO28" s="4">
        <f t="shared" si="13"/>
        <v>0</v>
      </c>
      <c r="AP28" s="4"/>
      <c r="AQ28" s="4">
        <f t="shared" si="14"/>
        <v>900000</v>
      </c>
      <c r="AR28" s="4"/>
      <c r="AS28" s="4"/>
      <c r="AT28" s="4"/>
      <c r="AU28" s="4"/>
      <c r="AV28" s="4">
        <f t="shared" si="15"/>
        <v>0</v>
      </c>
      <c r="AW28" s="4"/>
      <c r="AX28" s="4"/>
      <c r="AY28" s="4"/>
      <c r="AZ28" s="4"/>
      <c r="BA28" s="4">
        <f t="shared" si="16"/>
        <v>0</v>
      </c>
      <c r="BB28" s="4"/>
      <c r="BC28" s="4"/>
      <c r="BD28" s="4"/>
      <c r="BF28" s="31"/>
    </row>
    <row r="29" spans="1:58" s="5" customFormat="1" ht="19.95" customHeight="1">
      <c r="A29" s="3">
        <f t="shared" si="0"/>
        <v>23</v>
      </c>
      <c r="B29" s="39">
        <v>2092</v>
      </c>
      <c r="C29" s="3" t="s">
        <v>781</v>
      </c>
      <c r="D29" s="4">
        <v>4800000</v>
      </c>
      <c r="E29" s="4"/>
      <c r="F29" s="4">
        <f>D29-E29</f>
        <v>4800000</v>
      </c>
      <c r="G29" s="4"/>
      <c r="H29" s="4"/>
      <c r="I29" s="4"/>
      <c r="J29" s="4"/>
      <c r="K29" s="4">
        <f>I29+J29</f>
        <v>0</v>
      </c>
      <c r="L29" s="4">
        <f>H29+K29</f>
        <v>0</v>
      </c>
      <c r="M29" s="4">
        <f>P29+S29</f>
        <v>0</v>
      </c>
      <c r="N29" s="4">
        <v>4800000</v>
      </c>
      <c r="O29" s="4">
        <f>D29-L29-M29-N29</f>
        <v>0</v>
      </c>
      <c r="P29" s="4">
        <f>G29-L29</f>
        <v>0</v>
      </c>
      <c r="Q29" s="4"/>
      <c r="R29" s="4"/>
      <c r="S29" s="4">
        <f>SUM(Q29:R29)</f>
        <v>0</v>
      </c>
      <c r="T29" s="4">
        <f>P29-M29+S29</f>
        <v>0</v>
      </c>
      <c r="U29" s="4">
        <f>N29-T29</f>
        <v>4800000</v>
      </c>
      <c r="V29" s="4"/>
      <c r="W29" s="4">
        <f>U29-V29-Y29-Z29</f>
        <v>0</v>
      </c>
      <c r="X29" s="4"/>
      <c r="Y29" s="4"/>
      <c r="Z29" s="4">
        <v>4800000</v>
      </c>
      <c r="AA29" s="3" t="s">
        <v>782</v>
      </c>
      <c r="AB29" s="3">
        <v>810000</v>
      </c>
      <c r="AC29" s="511"/>
      <c r="AD29" s="4"/>
      <c r="AE29" s="4"/>
      <c r="AF29" s="4"/>
      <c r="AG29" s="4">
        <v>4800000</v>
      </c>
      <c r="AH29" s="4"/>
      <c r="AI29" s="4"/>
      <c r="AJ29" s="4"/>
      <c r="AK29" s="4"/>
      <c r="AL29" s="4">
        <f t="shared" si="11"/>
        <v>4800000</v>
      </c>
      <c r="AM29" s="4"/>
      <c r="AN29" s="4">
        <f t="shared" si="12"/>
        <v>4800000</v>
      </c>
      <c r="AO29" s="4">
        <f t="shared" si="13"/>
        <v>0</v>
      </c>
      <c r="AP29" s="4"/>
      <c r="AQ29" s="4">
        <f t="shared" si="14"/>
        <v>0</v>
      </c>
      <c r="AR29" s="4"/>
      <c r="AS29" s="4"/>
      <c r="AT29" s="4">
        <v>4800000</v>
      </c>
      <c r="AU29" s="4"/>
      <c r="AV29" s="4">
        <f t="shared" si="15"/>
        <v>0</v>
      </c>
      <c r="AW29" s="4"/>
      <c r="AX29" s="4"/>
      <c r="AY29" s="4"/>
      <c r="AZ29" s="4"/>
      <c r="BA29" s="4">
        <f t="shared" si="16"/>
        <v>0</v>
      </c>
      <c r="BB29" s="4"/>
      <c r="BC29" s="4"/>
      <c r="BD29" s="4"/>
      <c r="BF29" s="31"/>
    </row>
    <row r="30" spans="1:58" s="6" customFormat="1" ht="19.95" customHeight="1">
      <c r="A30" s="8">
        <f>A29</f>
        <v>23</v>
      </c>
      <c r="B30" s="371"/>
      <c r="C30" s="8" t="s">
        <v>572</v>
      </c>
      <c r="D30" s="9">
        <f t="shared" ref="D30:AO30" si="17">SUM(D7:D29)</f>
        <v>18230363.133986652</v>
      </c>
      <c r="E30" s="9">
        <f t="shared" si="17"/>
        <v>11385500</v>
      </c>
      <c r="F30" s="9">
        <f t="shared" si="17"/>
        <v>6844863.13398665</v>
      </c>
      <c r="G30" s="9">
        <f t="shared" si="17"/>
        <v>9038263</v>
      </c>
      <c r="H30" s="9">
        <f t="shared" si="17"/>
        <v>4614992.4400000004</v>
      </c>
      <c r="I30" s="9">
        <f t="shared" si="17"/>
        <v>0</v>
      </c>
      <c r="J30" s="9">
        <f t="shared" si="17"/>
        <v>1851410.6500000001</v>
      </c>
      <c r="K30" s="9">
        <f t="shared" si="17"/>
        <v>1851410.6500000001</v>
      </c>
      <c r="L30" s="9">
        <f t="shared" si="17"/>
        <v>6466403.0899999999</v>
      </c>
      <c r="M30" s="9">
        <f t="shared" si="17"/>
        <v>2071859.9100000001</v>
      </c>
      <c r="N30" s="9">
        <f t="shared" si="17"/>
        <v>8912100.13398665</v>
      </c>
      <c r="O30" s="9">
        <f t="shared" si="17"/>
        <v>780000</v>
      </c>
      <c r="P30" s="9">
        <f t="shared" si="17"/>
        <v>2571859.9100000006</v>
      </c>
      <c r="Q30" s="9">
        <f t="shared" si="17"/>
        <v>0</v>
      </c>
      <c r="R30" s="9">
        <f t="shared" si="17"/>
        <v>0</v>
      </c>
      <c r="S30" s="9">
        <f t="shared" si="17"/>
        <v>0</v>
      </c>
      <c r="T30" s="9">
        <f t="shared" si="17"/>
        <v>500000</v>
      </c>
      <c r="U30" s="9">
        <f t="shared" si="17"/>
        <v>8412100.13398665</v>
      </c>
      <c r="V30" s="9">
        <f t="shared" si="17"/>
        <v>0</v>
      </c>
      <c r="W30" s="9">
        <f t="shared" si="17"/>
        <v>3534100.13398665</v>
      </c>
      <c r="X30" s="9">
        <f t="shared" si="17"/>
        <v>0</v>
      </c>
      <c r="Y30" s="9">
        <f t="shared" si="17"/>
        <v>0</v>
      </c>
      <c r="Z30" s="9">
        <f t="shared" si="17"/>
        <v>4878000</v>
      </c>
      <c r="AA30" s="9">
        <f t="shared" si="17"/>
        <v>0</v>
      </c>
      <c r="AB30" s="9">
        <f t="shared" si="17"/>
        <v>18580000</v>
      </c>
      <c r="AC30" s="9">
        <f t="shared" ref="AC30:AJ30" si="18">SUM(AC7:AC29)</f>
        <v>0</v>
      </c>
      <c r="AD30" s="9">
        <f t="shared" si="18"/>
        <v>940000</v>
      </c>
      <c r="AE30" s="9">
        <f t="shared" si="18"/>
        <v>0</v>
      </c>
      <c r="AF30" s="9">
        <f t="shared" si="18"/>
        <v>0</v>
      </c>
      <c r="AG30" s="9">
        <f t="shared" si="18"/>
        <v>5647100</v>
      </c>
      <c r="AH30" s="9">
        <f t="shared" si="18"/>
        <v>675000</v>
      </c>
      <c r="AI30" s="9">
        <f t="shared" si="18"/>
        <v>0</v>
      </c>
      <c r="AJ30" s="9">
        <f t="shared" si="18"/>
        <v>1150000</v>
      </c>
      <c r="AK30" s="9">
        <f t="shared" si="17"/>
        <v>0</v>
      </c>
      <c r="AL30" s="9">
        <f t="shared" si="17"/>
        <v>8412100</v>
      </c>
      <c r="AM30" s="9">
        <f t="shared" si="17"/>
        <v>0</v>
      </c>
      <c r="AN30" s="9">
        <f t="shared" si="17"/>
        <v>8412100</v>
      </c>
      <c r="AO30" s="9">
        <f t="shared" si="17"/>
        <v>0.13398665003478527</v>
      </c>
      <c r="AP30" s="9">
        <f t="shared" ref="AP30:BD30" si="19">SUM(AP7:AP29)</f>
        <v>0</v>
      </c>
      <c r="AQ30" s="9">
        <f t="shared" si="19"/>
        <v>3534100</v>
      </c>
      <c r="AR30" s="9">
        <f t="shared" si="19"/>
        <v>0</v>
      </c>
      <c r="AS30" s="9">
        <f t="shared" si="19"/>
        <v>0</v>
      </c>
      <c r="AT30" s="9">
        <f t="shared" si="19"/>
        <v>4878000</v>
      </c>
      <c r="AU30" s="9">
        <f t="shared" si="19"/>
        <v>0</v>
      </c>
      <c r="AV30" s="9">
        <f t="shared" si="19"/>
        <v>0</v>
      </c>
      <c r="AW30" s="9">
        <f t="shared" si="19"/>
        <v>0</v>
      </c>
      <c r="AX30" s="9">
        <f t="shared" si="19"/>
        <v>0</v>
      </c>
      <c r="AY30" s="9">
        <f t="shared" si="19"/>
        <v>0</v>
      </c>
      <c r="AZ30" s="9">
        <f t="shared" si="19"/>
        <v>0</v>
      </c>
      <c r="BA30" s="9">
        <f t="shared" si="19"/>
        <v>0.13398665003478527</v>
      </c>
      <c r="BB30" s="9">
        <f t="shared" si="19"/>
        <v>0</v>
      </c>
      <c r="BC30" s="9">
        <f t="shared" si="19"/>
        <v>0</v>
      </c>
      <c r="BD30" s="9">
        <f t="shared" si="19"/>
        <v>0</v>
      </c>
      <c r="BF30" s="31"/>
    </row>
    <row r="31" spans="1:58" s="5" customFormat="1" ht="18.75" hidden="1" customHeight="1">
      <c r="A31" s="29"/>
      <c r="B31" s="14"/>
      <c r="C31" s="20"/>
      <c r="D31" s="16"/>
      <c r="E31" s="16"/>
      <c r="F31" s="16"/>
      <c r="G31" s="16"/>
      <c r="H31" s="16"/>
      <c r="I31" s="16"/>
      <c r="J31" s="16"/>
      <c r="K31" s="16"/>
      <c r="L31" s="22">
        <f>H30+K30</f>
        <v>6466403.0900000008</v>
      </c>
      <c r="M31" s="22">
        <f>P30+S30-T30</f>
        <v>2071859.9100000006</v>
      </c>
      <c r="N31" s="46"/>
      <c r="O31" s="25"/>
      <c r="P31" s="22">
        <f>G30-L30</f>
        <v>2571859.91</v>
      </c>
      <c r="Q31" s="25"/>
      <c r="R31" s="25"/>
      <c r="S31" s="25"/>
      <c r="T31" s="25"/>
      <c r="U31" s="22">
        <f>N30-T30</f>
        <v>8412100.13398665</v>
      </c>
      <c r="V31" s="14"/>
      <c r="W31" s="14"/>
      <c r="X31" s="14"/>
      <c r="Y31" s="14"/>
      <c r="Z31" s="14"/>
      <c r="AA31" s="37"/>
      <c r="AB31" s="14"/>
      <c r="AC31" s="507"/>
      <c r="AD31" s="507"/>
      <c r="AE31" s="507"/>
      <c r="AF31" s="507"/>
      <c r="AG31" s="507"/>
      <c r="AH31" s="507"/>
      <c r="AI31" s="507"/>
      <c r="AJ31" s="507"/>
      <c r="AK31" s="507"/>
      <c r="AL31" s="507"/>
      <c r="AM31" s="507"/>
      <c r="AN31" s="509"/>
      <c r="BF31" s="31"/>
    </row>
    <row r="34" spans="21:21">
      <c r="U34" s="16"/>
    </row>
  </sheetData>
  <sheetProtection formatCells="0" formatColumns="0" formatRows="0" insertColumns="0" insertRows="0" insertHyperlinks="0" deleteColumns="0" deleteRows="0" sort="0" autoFilter="0" pivotTables="0"/>
  <mergeCells count="5">
    <mergeCell ref="T4:Z4"/>
    <mergeCell ref="AL4:AN4"/>
    <mergeCell ref="AP4:AT4"/>
    <mergeCell ref="AU4:AY4"/>
    <mergeCell ref="AZ4:BD4"/>
  </mergeCells>
  <conditionalFormatting sqref="A1:W1 Y1:AB3 AN31 BG1:XFD3 AL1:AO3 AK31:AM1048576 AL5:AN6 AL17 BB1:BE3 A3:W3 B2:W2">
    <cfRule type="cellIs" dxfId="221" priority="35" operator="equal">
      <formula>0</formula>
    </cfRule>
  </conditionalFormatting>
  <conditionalFormatting sqref="AA5">
    <cfRule type="cellIs" dxfId="220" priority="34" operator="equal">
      <formula>0</formula>
    </cfRule>
  </conditionalFormatting>
  <conditionalFormatting sqref="X1:X3">
    <cfRule type="cellIs" dxfId="219" priority="33" operator="equal">
      <formula>0</formula>
    </cfRule>
  </conditionalFormatting>
  <conditionalFormatting sqref="AK1:AK3 AK6 AK17">
    <cfRule type="cellIs" dxfId="218" priority="32" operator="equal">
      <formula>0</formula>
    </cfRule>
  </conditionalFormatting>
  <conditionalFormatting sqref="AC31:AC1048576">
    <cfRule type="cellIs" dxfId="217" priority="31" operator="equal">
      <formula>0</formula>
    </cfRule>
  </conditionalFormatting>
  <conditionalFormatting sqref="AC1:AC25">
    <cfRule type="cellIs" dxfId="216" priority="30" operator="equal">
      <formula>0</formula>
    </cfRule>
  </conditionalFormatting>
  <conditionalFormatting sqref="AC26">
    <cfRule type="cellIs" dxfId="215" priority="29" operator="equal">
      <formula>0</formula>
    </cfRule>
  </conditionalFormatting>
  <conditionalFormatting sqref="AC27:AC29">
    <cfRule type="cellIs" dxfId="214" priority="28" operator="equal">
      <formula>0</formula>
    </cfRule>
  </conditionalFormatting>
  <conditionalFormatting sqref="AK5">
    <cfRule type="cellIs" dxfId="213" priority="27" operator="equal">
      <formula>0</formula>
    </cfRule>
  </conditionalFormatting>
  <conditionalFormatting sqref="AD31:AD1048576">
    <cfRule type="cellIs" dxfId="212" priority="26" operator="equal">
      <formula>0</formula>
    </cfRule>
  </conditionalFormatting>
  <conditionalFormatting sqref="AD1:AD3 AD6 AD17">
    <cfRule type="cellIs" dxfId="211" priority="25" operator="equal">
      <formula>0</formula>
    </cfRule>
  </conditionalFormatting>
  <conditionalFormatting sqref="AD5">
    <cfRule type="cellIs" dxfId="210" priority="24" operator="equal">
      <formula>0</formula>
    </cfRule>
  </conditionalFormatting>
  <conditionalFormatting sqref="AE31:AE1048576">
    <cfRule type="cellIs" dxfId="209" priority="23" operator="equal">
      <formula>0</formula>
    </cfRule>
  </conditionalFormatting>
  <conditionalFormatting sqref="AE1:AE3 AE6 AE17">
    <cfRule type="cellIs" dxfId="208" priority="22" operator="equal">
      <formula>0</formula>
    </cfRule>
  </conditionalFormatting>
  <conditionalFormatting sqref="AE5">
    <cfRule type="cellIs" dxfId="207" priority="21" operator="equal">
      <formula>0</formula>
    </cfRule>
  </conditionalFormatting>
  <conditionalFormatting sqref="AF31:AF1048576">
    <cfRule type="cellIs" dxfId="206" priority="20" operator="equal">
      <formula>0</formula>
    </cfRule>
  </conditionalFormatting>
  <conditionalFormatting sqref="AF1:AF3 AF6 AF17">
    <cfRule type="cellIs" dxfId="205" priority="19" operator="equal">
      <formula>0</formula>
    </cfRule>
  </conditionalFormatting>
  <conditionalFormatting sqref="AF5">
    <cfRule type="cellIs" dxfId="204" priority="18" operator="equal">
      <formula>0</formula>
    </cfRule>
  </conditionalFormatting>
  <conditionalFormatting sqref="AG31:AG1048576">
    <cfRule type="cellIs" dxfId="203" priority="17" operator="equal">
      <formula>0</formula>
    </cfRule>
  </conditionalFormatting>
  <conditionalFormatting sqref="AG1:AG3 AG6 AG17">
    <cfRule type="cellIs" dxfId="202" priority="16" operator="equal">
      <formula>0</formula>
    </cfRule>
  </conditionalFormatting>
  <conditionalFormatting sqref="AG5">
    <cfRule type="cellIs" dxfId="201" priority="15" operator="equal">
      <formula>0</formula>
    </cfRule>
  </conditionalFormatting>
  <conditionalFormatting sqref="AH31:AH1048576">
    <cfRule type="cellIs" dxfId="200" priority="14" operator="equal">
      <formula>0</formula>
    </cfRule>
  </conditionalFormatting>
  <conditionalFormatting sqref="AH1:AH3 AH6 AH17">
    <cfRule type="cellIs" dxfId="199" priority="13" operator="equal">
      <formula>0</formula>
    </cfRule>
  </conditionalFormatting>
  <conditionalFormatting sqref="AH5">
    <cfRule type="cellIs" dxfId="198" priority="12" operator="equal">
      <formula>0</formula>
    </cfRule>
  </conditionalFormatting>
  <conditionalFormatting sqref="AI31:AI1048576">
    <cfRule type="cellIs" dxfId="197" priority="11" operator="equal">
      <formula>0</formula>
    </cfRule>
  </conditionalFormatting>
  <conditionalFormatting sqref="AI1:AI3 AI6 AI17">
    <cfRule type="cellIs" dxfId="196" priority="10" operator="equal">
      <formula>0</formula>
    </cfRule>
  </conditionalFormatting>
  <conditionalFormatting sqref="AI5">
    <cfRule type="cellIs" dxfId="195" priority="9" operator="equal">
      <formula>0</formula>
    </cfRule>
  </conditionalFormatting>
  <conditionalFormatting sqref="AJ31:AJ1048576">
    <cfRule type="cellIs" dxfId="194" priority="8" operator="equal">
      <formula>0</formula>
    </cfRule>
  </conditionalFormatting>
  <conditionalFormatting sqref="AJ1:AJ3 AJ6 AJ17">
    <cfRule type="cellIs" dxfId="193" priority="7" operator="equal">
      <formula>0</formula>
    </cfRule>
  </conditionalFormatting>
  <conditionalFormatting sqref="AJ5">
    <cfRule type="cellIs" dxfId="192" priority="6" operator="equal">
      <formula>0</formula>
    </cfRule>
  </conditionalFormatting>
  <conditionalFormatting sqref="AU1:AU3 AZ1:BA3">
    <cfRule type="cellIs" dxfId="191" priority="5" operator="equal">
      <formula>0</formula>
    </cfRule>
  </conditionalFormatting>
  <conditionalFormatting sqref="AR1:AT3">
    <cfRule type="cellIs" dxfId="190" priority="4" operator="equal">
      <formula>0</formula>
    </cfRule>
  </conditionalFormatting>
  <conditionalFormatting sqref="AP1:AQ3">
    <cfRule type="cellIs" dxfId="189" priority="3" operator="equal">
      <formula>0</formula>
    </cfRule>
  </conditionalFormatting>
  <conditionalFormatting sqref="AX1:AY3">
    <cfRule type="cellIs" dxfId="188" priority="2" operator="equal">
      <formula>0</formula>
    </cfRule>
  </conditionalFormatting>
  <conditionalFormatting sqref="AV1:AW3">
    <cfRule type="cellIs" dxfId="18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0"/>
  <sheetViews>
    <sheetView showZeros="0" rightToLeft="1" tabSelected="1" zoomScaleNormal="100" workbookViewId="0">
      <pane xSplit="3" ySplit="5" topLeftCell="D6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6.33203125" style="37" customWidth="1"/>
    <col min="2" max="2" width="6.6640625" style="14" customWidth="1"/>
    <col min="3" max="3" width="31.6640625" style="14" customWidth="1"/>
    <col min="4" max="4" width="10.44140625" style="16" hidden="1" customWidth="1"/>
    <col min="5" max="5" width="12.6640625" style="16" hidden="1" customWidth="1"/>
    <col min="6" max="6" width="11.109375" style="16" hidden="1" customWidth="1"/>
    <col min="7" max="10" width="12.6640625" style="16" hidden="1" customWidth="1"/>
    <col min="11" max="11" width="11.33203125" style="16" hidden="1" customWidth="1"/>
    <col min="12" max="13" width="9.88671875" style="16" hidden="1" customWidth="1"/>
    <col min="14" max="14" width="9.33203125" style="16" hidden="1" customWidth="1"/>
    <col min="15" max="15" width="9.109375" style="16" hidden="1" customWidth="1"/>
    <col min="16" max="17" width="11.109375" style="16" hidden="1" customWidth="1"/>
    <col min="18" max="19" width="12" style="16" hidden="1" customWidth="1"/>
    <col min="20" max="20" width="10" style="16" customWidth="1"/>
    <col min="21" max="21" width="9.88671875" style="14" customWidth="1"/>
    <col min="22" max="22" width="9.109375" style="14" customWidth="1"/>
    <col min="23" max="23" width="11.88671875" style="14" customWidth="1"/>
    <col min="24" max="24" width="7.44140625" style="14" hidden="1" customWidth="1"/>
    <col min="25" max="25" width="7.44140625" style="14" customWidth="1"/>
    <col min="26" max="26" width="8.44140625" style="14" customWidth="1"/>
    <col min="27" max="27" width="34.88671875" style="37" hidden="1" customWidth="1"/>
    <col min="28" max="28" width="7.88671875" style="14" hidden="1" customWidth="1"/>
    <col min="29" max="39" width="12.6640625" style="514" hidden="1" customWidth="1"/>
    <col min="40" max="40" width="12.6640625" style="514" customWidth="1"/>
    <col min="41" max="41" width="12.6640625" style="14" customWidth="1"/>
    <col min="42" max="42" width="10.6640625" style="514" customWidth="1"/>
    <col min="43" max="43" width="12.6640625" style="14" customWidth="1"/>
    <col min="44" max="44" width="9.109375" style="14" hidden="1" customWidth="1"/>
    <col min="45" max="46" width="9.109375" style="14" customWidth="1"/>
    <col min="47" max="48" width="12.6640625" style="14" hidden="1" customWidth="1"/>
    <col min="49" max="51" width="9.109375" style="14" hidden="1" customWidth="1"/>
    <col min="52" max="52" width="9.5546875" style="14" hidden="1" customWidth="1"/>
    <col min="53" max="53" width="12.6640625" style="14" hidden="1" customWidth="1"/>
    <col min="54" max="56" width="9.109375" style="14" hidden="1" customWidth="1"/>
    <col min="57" max="57" width="9.109375" style="14"/>
    <col min="58" max="58" width="12.6640625" style="31" customWidth="1"/>
    <col min="59" max="16384" width="9.109375" style="14"/>
  </cols>
  <sheetData>
    <row r="1" spans="1:58" s="515" customFormat="1">
      <c r="A1" s="513"/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513"/>
      <c r="AA1" s="513"/>
      <c r="AB1" s="513"/>
      <c r="AC1" s="514"/>
      <c r="AD1" s="514"/>
      <c r="AE1" s="514"/>
      <c r="AF1" s="514"/>
      <c r="AG1" s="514"/>
      <c r="AH1" s="514"/>
      <c r="AI1" s="514"/>
      <c r="AJ1" s="514"/>
      <c r="AK1" s="514"/>
      <c r="AL1" s="514"/>
      <c r="AM1" s="514"/>
      <c r="AN1" s="514"/>
      <c r="AP1" s="514"/>
      <c r="BF1" s="31"/>
    </row>
    <row r="2" spans="1:58" s="515" customFormat="1">
      <c r="A2" s="513" t="s">
        <v>1006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513"/>
      <c r="AA2" s="513"/>
      <c r="AB2" s="513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514"/>
      <c r="AN2" s="514"/>
      <c r="AP2" s="514"/>
      <c r="BF2" s="31"/>
    </row>
    <row r="3" spans="1:58" s="515" customFormat="1">
      <c r="A3" s="513"/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  <c r="X3" s="513"/>
      <c r="Y3" s="513"/>
      <c r="Z3" s="513"/>
      <c r="AA3" s="513"/>
      <c r="AB3" s="513"/>
      <c r="AC3" s="514"/>
      <c r="AD3" s="514"/>
      <c r="AE3" s="514"/>
      <c r="AF3" s="514"/>
      <c r="AG3" s="514"/>
      <c r="AH3" s="514"/>
      <c r="AI3" s="514"/>
      <c r="AJ3" s="514"/>
      <c r="AK3" s="514"/>
      <c r="AL3" s="514"/>
      <c r="AM3" s="514"/>
      <c r="AN3" s="514"/>
      <c r="AP3" s="514"/>
      <c r="BF3" s="31"/>
    </row>
    <row r="4" spans="1:58" ht="18" customHeight="1">
      <c r="A4" s="493"/>
      <c r="B4" s="494"/>
      <c r="C4" s="495"/>
      <c r="T4" s="832" t="s">
        <v>111</v>
      </c>
      <c r="U4" s="833"/>
      <c r="V4" s="833"/>
      <c r="W4" s="833"/>
      <c r="X4" s="833"/>
      <c r="Y4" s="833"/>
      <c r="Z4" s="834"/>
      <c r="AC4" s="539"/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491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8" s="31" customFormat="1" ht="86.25" customHeight="1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402</v>
      </c>
      <c r="N5" s="18" t="s">
        <v>403</v>
      </c>
      <c r="O5" s="18" t="s">
        <v>404</v>
      </c>
      <c r="P5" s="18" t="s">
        <v>12</v>
      </c>
      <c r="Q5" s="18" t="s">
        <v>405</v>
      </c>
      <c r="R5" s="18" t="s">
        <v>406</v>
      </c>
      <c r="S5" s="18" t="s">
        <v>407</v>
      </c>
      <c r="T5" s="18" t="s">
        <v>408</v>
      </c>
      <c r="U5" s="18" t="s">
        <v>409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18" t="s">
        <v>410</v>
      </c>
      <c r="AB5" s="18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8" s="5" customFormat="1" ht="18.75" customHeight="1">
      <c r="A6" s="3"/>
      <c r="B6" s="3"/>
      <c r="C6" s="4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>
        <f>P6-M6+R6</f>
        <v>0</v>
      </c>
      <c r="U6" s="4">
        <f t="shared" ref="U6:U14" si="0">N6-T6</f>
        <v>0</v>
      </c>
      <c r="V6" s="4"/>
      <c r="W6" s="4"/>
      <c r="X6" s="4"/>
      <c r="Y6" s="4"/>
      <c r="Z6" s="3"/>
      <c r="AA6" s="323"/>
      <c r="AB6" s="3"/>
      <c r="AC6" s="516"/>
      <c r="AD6" s="516"/>
      <c r="AE6" s="516"/>
      <c r="AF6" s="516"/>
      <c r="AG6" s="516"/>
      <c r="AH6" s="516"/>
      <c r="AI6" s="516"/>
      <c r="AJ6" s="516"/>
      <c r="AK6" s="516"/>
      <c r="AL6" s="516"/>
      <c r="AM6" s="516"/>
      <c r="AN6" s="516"/>
      <c r="AO6" s="3"/>
      <c r="AP6" s="516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F6" s="31"/>
    </row>
    <row r="7" spans="1:58" s="5" customFormat="1" ht="19.95" customHeight="1">
      <c r="A7" s="39">
        <f>A6+1</f>
        <v>1</v>
      </c>
      <c r="B7" s="3">
        <v>1486</v>
      </c>
      <c r="C7" s="3" t="s">
        <v>977</v>
      </c>
      <c r="D7" s="4">
        <f>5700000+1350000+240365-1500000</f>
        <v>5790365</v>
      </c>
      <c r="E7" s="4">
        <f>5700000+90365</f>
        <v>5790365</v>
      </c>
      <c r="F7" s="4">
        <f t="shared" ref="F7:F14" si="1">D7-E7</f>
        <v>0</v>
      </c>
      <c r="G7" s="4">
        <f>4000000+240365</f>
        <v>4240365</v>
      </c>
      <c r="H7" s="4">
        <v>3562066.46</v>
      </c>
      <c r="I7" s="4"/>
      <c r="J7" s="4">
        <v>447130</v>
      </c>
      <c r="K7" s="4">
        <f t="shared" ref="K7:K13" si="2">I7+J7</f>
        <v>447130</v>
      </c>
      <c r="L7" s="4">
        <f t="shared" ref="L7:L13" si="3">H7+K7</f>
        <v>4009196.46</v>
      </c>
      <c r="M7" s="4">
        <f t="shared" ref="M7:M14" si="4">P7+S7</f>
        <v>481168.54000000004</v>
      </c>
      <c r="N7" s="4">
        <v>1300000</v>
      </c>
      <c r="O7" s="4">
        <f t="shared" ref="O7:O14" si="5">D7-L7-M7-N7</f>
        <v>0</v>
      </c>
      <c r="P7" s="4">
        <f t="shared" ref="P7:P14" si="6">G7-L7</f>
        <v>231168.54000000004</v>
      </c>
      <c r="Q7" s="4">
        <v>250000</v>
      </c>
      <c r="R7" s="4"/>
      <c r="S7" s="4">
        <f t="shared" ref="S7:S14" si="7">SUM(Q7:R7)</f>
        <v>250000</v>
      </c>
      <c r="T7" s="4">
        <f t="shared" ref="T7:T13" si="8">P7-M7+S7</f>
        <v>0</v>
      </c>
      <c r="U7" s="4">
        <f t="shared" si="0"/>
        <v>1300000</v>
      </c>
      <c r="V7" s="4"/>
      <c r="W7" s="4">
        <f t="shared" ref="W7:W14" si="9">U7-V7-Y7-Z7</f>
        <v>1300000</v>
      </c>
      <c r="X7" s="4"/>
      <c r="Y7" s="4"/>
      <c r="Z7" s="3"/>
      <c r="AA7" s="3" t="s">
        <v>534</v>
      </c>
      <c r="AB7" s="3">
        <v>930000</v>
      </c>
      <c r="AC7" s="4">
        <v>300000</v>
      </c>
      <c r="AD7" s="4"/>
      <c r="AE7" s="4"/>
      <c r="AF7" s="4"/>
      <c r="AG7" s="4"/>
      <c r="AH7" s="4">
        <v>200000</v>
      </c>
      <c r="AI7" s="4"/>
      <c r="AJ7" s="4">
        <v>300000</v>
      </c>
      <c r="AK7" s="4">
        <v>500000</v>
      </c>
      <c r="AL7" s="4">
        <f>SUM(AC7:AK7)</f>
        <v>1300000</v>
      </c>
      <c r="AM7" s="4"/>
      <c r="AN7" s="4">
        <f>AL7+AM7</f>
        <v>1300000</v>
      </c>
      <c r="AO7" s="4">
        <f>U7-AL7</f>
        <v>0</v>
      </c>
      <c r="AP7" s="4"/>
      <c r="AQ7" s="4">
        <f>AN7-AP7-AR7-AS7-AT7</f>
        <v>1300000</v>
      </c>
      <c r="AR7" s="3"/>
      <c r="AS7" s="3"/>
      <c r="AT7" s="3"/>
      <c r="AU7" s="4"/>
      <c r="AV7" s="4">
        <f>AM7-AU7-AW7-AX7-AY7</f>
        <v>0</v>
      </c>
      <c r="AW7" s="3"/>
      <c r="AX7" s="3"/>
      <c r="AY7" s="3"/>
      <c r="AZ7" s="4"/>
      <c r="BA7" s="4">
        <f>AO7-AZ7-BB7-BC7-BD7</f>
        <v>0</v>
      </c>
      <c r="BB7" s="3"/>
      <c r="BC7" s="3"/>
      <c r="BD7" s="3"/>
      <c r="BF7" s="31"/>
    </row>
    <row r="8" spans="1:58" s="5" customFormat="1" ht="19.95" customHeight="1">
      <c r="A8" s="39">
        <f t="shared" ref="A8:A16" si="10">A7+1</f>
        <v>2</v>
      </c>
      <c r="B8" s="3">
        <v>1582</v>
      </c>
      <c r="C8" s="3" t="s">
        <v>68</v>
      </c>
      <c r="D8" s="4">
        <v>763000</v>
      </c>
      <c r="E8" s="4">
        <v>763000</v>
      </c>
      <c r="F8" s="4">
        <f t="shared" si="1"/>
        <v>0</v>
      </c>
      <c r="G8" s="4">
        <v>763000</v>
      </c>
      <c r="H8" s="4">
        <v>618241.97</v>
      </c>
      <c r="I8" s="4"/>
      <c r="J8" s="4"/>
      <c r="K8" s="4">
        <f t="shared" si="2"/>
        <v>0</v>
      </c>
      <c r="L8" s="4">
        <f t="shared" si="3"/>
        <v>618241.97</v>
      </c>
      <c r="M8" s="4">
        <f t="shared" si="4"/>
        <v>144758.03000000003</v>
      </c>
      <c r="N8" s="4"/>
      <c r="O8" s="4">
        <f t="shared" si="5"/>
        <v>0</v>
      </c>
      <c r="P8" s="4">
        <f t="shared" si="6"/>
        <v>144758.03000000003</v>
      </c>
      <c r="Q8" s="4"/>
      <c r="R8" s="4"/>
      <c r="S8" s="4">
        <f t="shared" si="7"/>
        <v>0</v>
      </c>
      <c r="T8" s="4">
        <f t="shared" si="8"/>
        <v>0</v>
      </c>
      <c r="U8" s="4">
        <f t="shared" si="0"/>
        <v>0</v>
      </c>
      <c r="V8" s="4"/>
      <c r="W8" s="4">
        <f t="shared" si="9"/>
        <v>0</v>
      </c>
      <c r="X8" s="4"/>
      <c r="Y8" s="4"/>
      <c r="Z8" s="3"/>
      <c r="AA8" s="87"/>
      <c r="AB8" s="3">
        <v>829000</v>
      </c>
      <c r="AC8" s="4"/>
      <c r="AD8" s="4"/>
      <c r="AE8" s="4"/>
      <c r="AF8" s="4"/>
      <c r="AG8" s="4"/>
      <c r="AH8" s="4"/>
      <c r="AI8" s="4"/>
      <c r="AJ8" s="4"/>
      <c r="AK8" s="4"/>
      <c r="AL8" s="4">
        <f t="shared" ref="AL8:AL16" si="11">SUM(AC8:AK8)</f>
        <v>0</v>
      </c>
      <c r="AM8" s="4"/>
      <c r="AN8" s="4">
        <f t="shared" ref="AN8:AN16" si="12">AL8+AM8</f>
        <v>0</v>
      </c>
      <c r="AO8" s="4">
        <f t="shared" ref="AO8:AO16" si="13">U8-AL8</f>
        <v>0</v>
      </c>
      <c r="AP8" s="4"/>
      <c r="AQ8" s="4">
        <f t="shared" ref="AQ8:AQ16" si="14">AN8-AP8-AR8-AS8-AT8</f>
        <v>0</v>
      </c>
      <c r="AR8" s="3"/>
      <c r="AS8" s="3"/>
      <c r="AT8" s="3"/>
      <c r="AU8" s="4"/>
      <c r="AV8" s="4">
        <f t="shared" ref="AV8:AV16" si="15">AM8-AU8-AW8-AX8-AY8</f>
        <v>0</v>
      </c>
      <c r="AW8" s="3"/>
      <c r="AX8" s="3"/>
      <c r="AY8" s="3"/>
      <c r="AZ8" s="4"/>
      <c r="BA8" s="4">
        <f t="shared" ref="BA8:BA16" si="16">AO8-AZ8-BB8-BC8-BD8</f>
        <v>0</v>
      </c>
      <c r="BB8" s="3"/>
      <c r="BC8" s="3"/>
      <c r="BD8" s="3"/>
      <c r="BF8" s="31"/>
    </row>
    <row r="9" spans="1:58" s="5" customFormat="1" ht="19.95" customHeight="1">
      <c r="A9" s="39">
        <f t="shared" si="10"/>
        <v>3</v>
      </c>
      <c r="B9" s="3">
        <v>1678</v>
      </c>
      <c r="C9" s="3" t="s">
        <v>786</v>
      </c>
      <c r="D9" s="4">
        <f>1100000+200000</f>
        <v>1300000</v>
      </c>
      <c r="E9" s="4">
        <v>1100000</v>
      </c>
      <c r="F9" s="4">
        <f t="shared" si="1"/>
        <v>200000</v>
      </c>
      <c r="G9" s="4">
        <v>1050000</v>
      </c>
      <c r="H9" s="4">
        <v>799276.59</v>
      </c>
      <c r="I9" s="4"/>
      <c r="J9" s="4"/>
      <c r="K9" s="4">
        <f t="shared" si="2"/>
        <v>0</v>
      </c>
      <c r="L9" s="4">
        <f t="shared" si="3"/>
        <v>799276.59</v>
      </c>
      <c r="M9" s="4">
        <f t="shared" si="4"/>
        <v>250723.41000000003</v>
      </c>
      <c r="N9" s="4">
        <v>250000</v>
      </c>
      <c r="O9" s="4">
        <f t="shared" si="5"/>
        <v>0</v>
      </c>
      <c r="P9" s="4">
        <f t="shared" si="6"/>
        <v>250723.41000000003</v>
      </c>
      <c r="Q9" s="4"/>
      <c r="R9" s="4"/>
      <c r="S9" s="4">
        <f t="shared" si="7"/>
        <v>0</v>
      </c>
      <c r="T9" s="4">
        <f t="shared" si="8"/>
        <v>0</v>
      </c>
      <c r="U9" s="4">
        <f t="shared" si="0"/>
        <v>250000</v>
      </c>
      <c r="V9" s="4"/>
      <c r="W9" s="4">
        <f t="shared" si="9"/>
        <v>250000</v>
      </c>
      <c r="X9" s="4"/>
      <c r="Y9" s="4"/>
      <c r="Z9" s="3"/>
      <c r="AA9" s="3" t="s">
        <v>787</v>
      </c>
      <c r="AB9" s="3">
        <v>829000</v>
      </c>
      <c r="AC9" s="4"/>
      <c r="AD9" s="4">
        <v>250000</v>
      </c>
      <c r="AE9" s="4"/>
      <c r="AF9" s="4"/>
      <c r="AG9" s="4"/>
      <c r="AH9" s="4"/>
      <c r="AI9" s="4"/>
      <c r="AJ9" s="4"/>
      <c r="AK9" s="4"/>
      <c r="AL9" s="4">
        <f t="shared" si="11"/>
        <v>250000</v>
      </c>
      <c r="AM9" s="4"/>
      <c r="AN9" s="4">
        <f t="shared" si="12"/>
        <v>250000</v>
      </c>
      <c r="AO9" s="4">
        <f t="shared" si="13"/>
        <v>0</v>
      </c>
      <c r="AP9" s="4"/>
      <c r="AQ9" s="4">
        <f t="shared" si="14"/>
        <v>250000</v>
      </c>
      <c r="AR9" s="3"/>
      <c r="AS9" s="3"/>
      <c r="AT9" s="3"/>
      <c r="AU9" s="4"/>
      <c r="AV9" s="4">
        <f t="shared" si="15"/>
        <v>0</v>
      </c>
      <c r="AW9" s="3"/>
      <c r="AX9" s="3"/>
      <c r="AY9" s="3"/>
      <c r="AZ9" s="4"/>
      <c r="BA9" s="4">
        <f t="shared" si="16"/>
        <v>0</v>
      </c>
      <c r="BB9" s="3"/>
      <c r="BC9" s="3"/>
      <c r="BD9" s="3"/>
      <c r="BF9" s="31"/>
    </row>
    <row r="10" spans="1:58" s="5" customFormat="1" ht="27.6">
      <c r="A10" s="39">
        <f t="shared" si="10"/>
        <v>4</v>
      </c>
      <c r="B10" s="188">
        <v>1705</v>
      </c>
      <c r="C10" s="188" t="s">
        <v>1262</v>
      </c>
      <c r="D10" s="4">
        <v>220000</v>
      </c>
      <c r="E10" s="4">
        <v>220000</v>
      </c>
      <c r="F10" s="4">
        <f t="shared" si="1"/>
        <v>0</v>
      </c>
      <c r="G10" s="4">
        <v>220000</v>
      </c>
      <c r="H10" s="4">
        <v>197698.34</v>
      </c>
      <c r="I10" s="4"/>
      <c r="J10" s="4">
        <v>5499</v>
      </c>
      <c r="K10" s="4">
        <f t="shared" si="2"/>
        <v>5499</v>
      </c>
      <c r="L10" s="4">
        <f t="shared" si="3"/>
        <v>203197.34</v>
      </c>
      <c r="M10" s="4">
        <f t="shared" si="4"/>
        <v>16802.660000000003</v>
      </c>
      <c r="N10" s="4"/>
      <c r="O10" s="4">
        <f t="shared" si="5"/>
        <v>0</v>
      </c>
      <c r="P10" s="4">
        <f t="shared" si="6"/>
        <v>16802.660000000003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0"/>
        <v>0</v>
      </c>
      <c r="V10" s="4"/>
      <c r="W10" s="4">
        <f t="shared" si="9"/>
        <v>0</v>
      </c>
      <c r="X10" s="4"/>
      <c r="Y10" s="4"/>
      <c r="Z10" s="3"/>
      <c r="AA10" s="323"/>
      <c r="AB10" s="3">
        <v>828000</v>
      </c>
      <c r="AC10" s="4"/>
      <c r="AD10" s="4"/>
      <c r="AE10" s="4"/>
      <c r="AF10" s="4"/>
      <c r="AG10" s="4"/>
      <c r="AH10" s="4"/>
      <c r="AI10" s="4"/>
      <c r="AJ10" s="4"/>
      <c r="AK10" s="4"/>
      <c r="AL10" s="4">
        <f t="shared" si="11"/>
        <v>0</v>
      </c>
      <c r="AM10" s="4"/>
      <c r="AN10" s="4">
        <f t="shared" si="12"/>
        <v>0</v>
      </c>
      <c r="AO10" s="4">
        <f t="shared" si="13"/>
        <v>0</v>
      </c>
      <c r="AP10" s="4"/>
      <c r="AQ10" s="4">
        <f t="shared" si="14"/>
        <v>0</v>
      </c>
      <c r="AR10" s="3"/>
      <c r="AS10" s="3"/>
      <c r="AT10" s="3"/>
      <c r="AU10" s="4"/>
      <c r="AV10" s="4">
        <f t="shared" si="15"/>
        <v>0</v>
      </c>
      <c r="AW10" s="3"/>
      <c r="AX10" s="3"/>
      <c r="AY10" s="3"/>
      <c r="AZ10" s="4"/>
      <c r="BA10" s="4">
        <f t="shared" si="16"/>
        <v>0</v>
      </c>
      <c r="BB10" s="3"/>
      <c r="BC10" s="3"/>
      <c r="BD10" s="3"/>
      <c r="BF10" s="31"/>
    </row>
    <row r="11" spans="1:58" s="5" customFormat="1" ht="19.95" customHeight="1">
      <c r="A11" s="39">
        <f t="shared" si="10"/>
        <v>5</v>
      </c>
      <c r="B11" s="3">
        <v>1777</v>
      </c>
      <c r="C11" s="3" t="s">
        <v>71</v>
      </c>
      <c r="D11" s="4">
        <f>270000+120000</f>
        <v>390000</v>
      </c>
      <c r="E11" s="4">
        <v>270000</v>
      </c>
      <c r="F11" s="4">
        <f t="shared" si="1"/>
        <v>120000</v>
      </c>
      <c r="G11" s="4">
        <v>270000</v>
      </c>
      <c r="H11" s="4">
        <v>119709.72</v>
      </c>
      <c r="I11" s="4"/>
      <c r="J11" s="4">
        <v>28080</v>
      </c>
      <c r="K11" s="4">
        <f t="shared" si="2"/>
        <v>28080</v>
      </c>
      <c r="L11" s="4">
        <f t="shared" si="3"/>
        <v>147789.72</v>
      </c>
      <c r="M11" s="4">
        <f t="shared" si="4"/>
        <v>122210.28</v>
      </c>
      <c r="N11" s="4">
        <v>120000</v>
      </c>
      <c r="O11" s="4">
        <f t="shared" si="5"/>
        <v>0</v>
      </c>
      <c r="P11" s="4">
        <f t="shared" si="6"/>
        <v>122210.28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0"/>
        <v>120000</v>
      </c>
      <c r="V11" s="4"/>
      <c r="W11" s="4">
        <f t="shared" si="9"/>
        <v>120000</v>
      </c>
      <c r="X11" s="4"/>
      <c r="Y11" s="4"/>
      <c r="Z11" s="3"/>
      <c r="AA11" s="3" t="s">
        <v>783</v>
      </c>
      <c r="AB11" s="3">
        <v>829000</v>
      </c>
      <c r="AC11" s="4"/>
      <c r="AD11" s="4"/>
      <c r="AE11" s="4"/>
      <c r="AF11" s="4"/>
      <c r="AG11" s="4"/>
      <c r="AH11" s="4"/>
      <c r="AI11" s="4"/>
      <c r="AJ11" s="4"/>
      <c r="AK11" s="4"/>
      <c r="AL11" s="4">
        <f t="shared" si="11"/>
        <v>0</v>
      </c>
      <c r="AM11" s="4"/>
      <c r="AN11" s="4">
        <f t="shared" si="12"/>
        <v>0</v>
      </c>
      <c r="AO11" s="4">
        <f t="shared" si="13"/>
        <v>120000</v>
      </c>
      <c r="AP11" s="4"/>
      <c r="AQ11" s="4">
        <f t="shared" si="14"/>
        <v>0</v>
      </c>
      <c r="AR11" s="3"/>
      <c r="AS11" s="3"/>
      <c r="AT11" s="3"/>
      <c r="AU11" s="4"/>
      <c r="AV11" s="4">
        <f t="shared" si="15"/>
        <v>0</v>
      </c>
      <c r="AW11" s="3"/>
      <c r="AX11" s="3"/>
      <c r="AY11" s="3"/>
      <c r="AZ11" s="4"/>
      <c r="BA11" s="4">
        <f t="shared" si="16"/>
        <v>120000</v>
      </c>
      <c r="BB11" s="3"/>
      <c r="BC11" s="3"/>
      <c r="BD11" s="3"/>
      <c r="BF11" s="31"/>
    </row>
    <row r="12" spans="1:58" s="5" customFormat="1" ht="19.95" customHeight="1">
      <c r="A12" s="39">
        <f t="shared" si="10"/>
        <v>6</v>
      </c>
      <c r="B12" s="3">
        <v>1890</v>
      </c>
      <c r="C12" s="3" t="s">
        <v>978</v>
      </c>
      <c r="D12" s="4">
        <f>800000+400000-100000</f>
        <v>1100000</v>
      </c>
      <c r="E12" s="4">
        <v>800000</v>
      </c>
      <c r="F12" s="4">
        <f t="shared" si="1"/>
        <v>300000</v>
      </c>
      <c r="G12" s="4">
        <v>800000</v>
      </c>
      <c r="H12" s="4">
        <v>799864.38</v>
      </c>
      <c r="I12" s="4"/>
      <c r="J12" s="4"/>
      <c r="K12" s="4">
        <f t="shared" si="2"/>
        <v>0</v>
      </c>
      <c r="L12" s="4">
        <f t="shared" si="3"/>
        <v>799864.38</v>
      </c>
      <c r="M12" s="4">
        <f t="shared" si="4"/>
        <v>135.61999999999534</v>
      </c>
      <c r="N12" s="4">
        <f>200000+100000</f>
        <v>300000</v>
      </c>
      <c r="O12" s="4">
        <f t="shared" si="5"/>
        <v>0</v>
      </c>
      <c r="P12" s="4">
        <f t="shared" si="6"/>
        <v>135.61999999999534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0"/>
        <v>300000</v>
      </c>
      <c r="V12" s="4"/>
      <c r="W12" s="4">
        <f t="shared" si="9"/>
        <v>300000</v>
      </c>
      <c r="X12" s="4"/>
      <c r="Y12" s="4"/>
      <c r="Z12" s="3"/>
      <c r="AA12" s="3" t="s">
        <v>784</v>
      </c>
      <c r="AB12" s="3">
        <v>829000</v>
      </c>
      <c r="AC12" s="4"/>
      <c r="AD12" s="4">
        <v>300000</v>
      </c>
      <c r="AE12" s="4"/>
      <c r="AF12" s="4"/>
      <c r="AG12" s="4"/>
      <c r="AH12" s="4"/>
      <c r="AI12" s="4"/>
      <c r="AJ12" s="4"/>
      <c r="AK12" s="4"/>
      <c r="AL12" s="4">
        <f t="shared" si="11"/>
        <v>300000</v>
      </c>
      <c r="AM12" s="4"/>
      <c r="AN12" s="4">
        <f t="shared" si="12"/>
        <v>300000</v>
      </c>
      <c r="AO12" s="4">
        <f t="shared" si="13"/>
        <v>0</v>
      </c>
      <c r="AP12" s="4"/>
      <c r="AQ12" s="4">
        <f t="shared" si="14"/>
        <v>300000</v>
      </c>
      <c r="AR12" s="3"/>
      <c r="AS12" s="3"/>
      <c r="AT12" s="3"/>
      <c r="AU12" s="4"/>
      <c r="AV12" s="4">
        <f t="shared" si="15"/>
        <v>0</v>
      </c>
      <c r="AW12" s="3"/>
      <c r="AX12" s="3"/>
      <c r="AY12" s="3"/>
      <c r="AZ12" s="4"/>
      <c r="BA12" s="4">
        <f t="shared" si="16"/>
        <v>0</v>
      </c>
      <c r="BB12" s="3"/>
      <c r="BC12" s="3"/>
      <c r="BD12" s="3"/>
      <c r="BF12" s="31"/>
    </row>
    <row r="13" spans="1:58" s="5" customFormat="1" ht="19.95" customHeight="1">
      <c r="A13" s="39">
        <f t="shared" si="10"/>
        <v>7</v>
      </c>
      <c r="B13" s="323">
        <v>2004</v>
      </c>
      <c r="C13" s="3" t="s">
        <v>223</v>
      </c>
      <c r="D13" s="4">
        <v>735000</v>
      </c>
      <c r="E13" s="4">
        <v>735000</v>
      </c>
      <c r="F13" s="4">
        <f t="shared" si="1"/>
        <v>0</v>
      </c>
      <c r="G13" s="4">
        <f>235000+180000</f>
        <v>415000</v>
      </c>
      <c r="H13" s="4">
        <v>227061.5</v>
      </c>
      <c r="I13" s="4"/>
      <c r="J13" s="4"/>
      <c r="K13" s="4">
        <f t="shared" si="2"/>
        <v>0</v>
      </c>
      <c r="L13" s="4">
        <f t="shared" si="3"/>
        <v>227061.5</v>
      </c>
      <c r="M13" s="4">
        <f t="shared" si="4"/>
        <v>187938.5</v>
      </c>
      <c r="N13" s="4">
        <v>200000</v>
      </c>
      <c r="O13" s="4">
        <f t="shared" si="5"/>
        <v>120000</v>
      </c>
      <c r="P13" s="4">
        <f t="shared" si="6"/>
        <v>187938.5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0"/>
        <v>200000</v>
      </c>
      <c r="V13" s="4"/>
      <c r="W13" s="4">
        <f t="shared" si="9"/>
        <v>200000</v>
      </c>
      <c r="X13" s="4"/>
      <c r="Y13" s="4"/>
      <c r="Z13" s="3"/>
      <c r="AA13" s="3" t="s">
        <v>897</v>
      </c>
      <c r="AB13" s="3">
        <v>829000</v>
      </c>
      <c r="AC13" s="4"/>
      <c r="AD13" s="4"/>
      <c r="AE13" s="4"/>
      <c r="AF13" s="4"/>
      <c r="AG13" s="4"/>
      <c r="AH13" s="4"/>
      <c r="AI13" s="4"/>
      <c r="AJ13" s="4">
        <v>120000</v>
      </c>
      <c r="AK13" s="4">
        <v>80000</v>
      </c>
      <c r="AL13" s="4">
        <f t="shared" si="11"/>
        <v>200000</v>
      </c>
      <c r="AM13" s="4"/>
      <c r="AN13" s="4">
        <f t="shared" si="12"/>
        <v>200000</v>
      </c>
      <c r="AO13" s="4">
        <f t="shared" si="13"/>
        <v>0</v>
      </c>
      <c r="AP13" s="4"/>
      <c r="AQ13" s="4">
        <f t="shared" si="14"/>
        <v>200000</v>
      </c>
      <c r="AR13" s="3"/>
      <c r="AS13" s="3"/>
      <c r="AT13" s="3"/>
      <c r="AU13" s="4"/>
      <c r="AV13" s="4">
        <f t="shared" si="15"/>
        <v>0</v>
      </c>
      <c r="AW13" s="3"/>
      <c r="AX13" s="3"/>
      <c r="AY13" s="3"/>
      <c r="AZ13" s="4"/>
      <c r="BA13" s="4">
        <f t="shared" si="16"/>
        <v>0</v>
      </c>
      <c r="BB13" s="3"/>
      <c r="BC13" s="3"/>
      <c r="BD13" s="3"/>
      <c r="BF13" s="31"/>
    </row>
    <row r="14" spans="1:58" s="5" customFormat="1" ht="19.95" customHeight="1">
      <c r="A14" s="39">
        <f t="shared" si="10"/>
        <v>8</v>
      </c>
      <c r="B14" s="3">
        <v>2031</v>
      </c>
      <c r="C14" s="3" t="s">
        <v>535</v>
      </c>
      <c r="D14" s="4">
        <v>2700000</v>
      </c>
      <c r="E14" s="4">
        <v>2700000</v>
      </c>
      <c r="F14" s="4">
        <f t="shared" si="1"/>
        <v>0</v>
      </c>
      <c r="G14" s="4">
        <v>50000</v>
      </c>
      <c r="H14" s="4">
        <v>0</v>
      </c>
      <c r="I14" s="4"/>
      <c r="J14" s="4">
        <v>8199</v>
      </c>
      <c r="K14" s="4">
        <f>SUM(I14:J14)</f>
        <v>8199</v>
      </c>
      <c r="L14" s="4">
        <f>K14+H14</f>
        <v>8199</v>
      </c>
      <c r="M14" s="4">
        <f t="shared" si="4"/>
        <v>2691801</v>
      </c>
      <c r="N14" s="4"/>
      <c r="O14" s="4">
        <f t="shared" si="5"/>
        <v>0</v>
      </c>
      <c r="P14" s="4">
        <f t="shared" si="6"/>
        <v>41801</v>
      </c>
      <c r="Q14" s="4">
        <f>2700000-50000</f>
        <v>2650000</v>
      </c>
      <c r="R14" s="4"/>
      <c r="S14" s="4">
        <f t="shared" si="7"/>
        <v>2650000</v>
      </c>
      <c r="T14" s="4"/>
      <c r="U14" s="4">
        <f t="shared" si="0"/>
        <v>0</v>
      </c>
      <c r="V14" s="4"/>
      <c r="W14" s="4">
        <f t="shared" si="9"/>
        <v>0</v>
      </c>
      <c r="X14" s="4"/>
      <c r="Y14" s="4"/>
      <c r="Z14" s="3"/>
      <c r="AA14" s="323"/>
      <c r="AB14" s="3">
        <v>826000</v>
      </c>
      <c r="AC14" s="4"/>
      <c r="AD14" s="4"/>
      <c r="AE14" s="4"/>
      <c r="AF14" s="4"/>
      <c r="AG14" s="4"/>
      <c r="AH14" s="4"/>
      <c r="AI14" s="4"/>
      <c r="AJ14" s="4"/>
      <c r="AK14" s="4"/>
      <c r="AL14" s="4">
        <f t="shared" si="11"/>
        <v>0</v>
      </c>
      <c r="AM14" s="4"/>
      <c r="AN14" s="4">
        <f t="shared" si="12"/>
        <v>0</v>
      </c>
      <c r="AO14" s="4">
        <f t="shared" si="13"/>
        <v>0</v>
      </c>
      <c r="AP14" s="4"/>
      <c r="AQ14" s="4">
        <f t="shared" si="14"/>
        <v>0</v>
      </c>
      <c r="AR14" s="3"/>
      <c r="AS14" s="3"/>
      <c r="AT14" s="3"/>
      <c r="AU14" s="4"/>
      <c r="AV14" s="4">
        <f t="shared" si="15"/>
        <v>0</v>
      </c>
      <c r="AW14" s="3"/>
      <c r="AX14" s="3"/>
      <c r="AY14" s="3"/>
      <c r="AZ14" s="4"/>
      <c r="BA14" s="4">
        <f t="shared" si="16"/>
        <v>0</v>
      </c>
      <c r="BB14" s="3"/>
      <c r="BC14" s="3"/>
      <c r="BD14" s="3"/>
      <c r="BF14" s="31"/>
    </row>
    <row r="15" spans="1:58" s="5" customFormat="1" ht="19.95" customHeight="1">
      <c r="A15" s="39">
        <f t="shared" si="10"/>
        <v>9</v>
      </c>
      <c r="B15" s="323">
        <v>2060</v>
      </c>
      <c r="C15" s="3" t="s">
        <v>785</v>
      </c>
      <c r="D15" s="4">
        <v>1465000</v>
      </c>
      <c r="E15" s="4">
        <v>1465000</v>
      </c>
      <c r="F15" s="4">
        <f>D15-E15</f>
        <v>0</v>
      </c>
      <c r="G15" s="4">
        <v>520000</v>
      </c>
      <c r="H15" s="4">
        <v>0</v>
      </c>
      <c r="I15" s="4"/>
      <c r="J15" s="4">
        <v>172082.71</v>
      </c>
      <c r="K15" s="4">
        <f>I15+J15</f>
        <v>172082.71</v>
      </c>
      <c r="L15" s="4">
        <f>H15+K15</f>
        <v>172082.71</v>
      </c>
      <c r="M15" s="4">
        <f>P15+S15</f>
        <v>347917.29000000004</v>
      </c>
      <c r="N15" s="4">
        <v>600000</v>
      </c>
      <c r="O15" s="4">
        <f>D15-L15-M15-N15</f>
        <v>345000</v>
      </c>
      <c r="P15" s="4">
        <f>G15-L15</f>
        <v>347917.29000000004</v>
      </c>
      <c r="Q15" s="4">
        <v>0</v>
      </c>
      <c r="R15" s="4"/>
      <c r="S15" s="4">
        <f>SUM(Q15:R15)</f>
        <v>0</v>
      </c>
      <c r="T15" s="4">
        <f>P15-M15+S15</f>
        <v>0</v>
      </c>
      <c r="U15" s="4">
        <f>N15-T15</f>
        <v>600000</v>
      </c>
      <c r="V15" s="4">
        <f>500000-500000</f>
        <v>0</v>
      </c>
      <c r="W15" s="4">
        <f>U15-V15-Y15-Z15</f>
        <v>600000</v>
      </c>
      <c r="X15" s="4"/>
      <c r="Y15" s="4"/>
      <c r="Z15" s="3"/>
      <c r="AA15" s="3" t="s">
        <v>979</v>
      </c>
      <c r="AB15" s="3">
        <v>829000</v>
      </c>
      <c r="AC15" s="4">
        <v>300000</v>
      </c>
      <c r="AD15" s="4">
        <v>300000</v>
      </c>
      <c r="AE15" s="4"/>
      <c r="AF15" s="4"/>
      <c r="AG15" s="4"/>
      <c r="AH15" s="4"/>
      <c r="AI15" s="4"/>
      <c r="AJ15" s="4"/>
      <c r="AK15" s="4"/>
      <c r="AL15" s="4">
        <f t="shared" si="11"/>
        <v>600000</v>
      </c>
      <c r="AM15" s="4"/>
      <c r="AN15" s="4">
        <f t="shared" si="12"/>
        <v>600000</v>
      </c>
      <c r="AO15" s="4">
        <f t="shared" si="13"/>
        <v>0</v>
      </c>
      <c r="AP15" s="4"/>
      <c r="AQ15" s="4">
        <f t="shared" si="14"/>
        <v>600000</v>
      </c>
      <c r="AR15" s="3"/>
      <c r="AS15" s="3"/>
      <c r="AT15" s="3"/>
      <c r="AU15" s="4"/>
      <c r="AV15" s="4">
        <f t="shared" si="15"/>
        <v>0</v>
      </c>
      <c r="AW15" s="3"/>
      <c r="AX15" s="3"/>
      <c r="AY15" s="3"/>
      <c r="AZ15" s="4"/>
      <c r="BA15" s="4">
        <f t="shared" si="16"/>
        <v>0</v>
      </c>
      <c r="BB15" s="3"/>
      <c r="BC15" s="3"/>
      <c r="BD15" s="3"/>
      <c r="BF15" s="31"/>
    </row>
    <row r="16" spans="1:58" s="5" customFormat="1" ht="19.95" customHeight="1">
      <c r="A16" s="39">
        <f t="shared" si="10"/>
        <v>10</v>
      </c>
      <c r="B16" s="39">
        <v>2089</v>
      </c>
      <c r="C16" s="3" t="s">
        <v>536</v>
      </c>
      <c r="D16" s="4">
        <v>350000</v>
      </c>
      <c r="E16" s="4"/>
      <c r="F16" s="4">
        <f>D16-E16</f>
        <v>350000</v>
      </c>
      <c r="G16" s="4"/>
      <c r="H16" s="4"/>
      <c r="I16" s="4"/>
      <c r="J16" s="4"/>
      <c r="K16" s="4">
        <f>I16+J16</f>
        <v>0</v>
      </c>
      <c r="L16" s="4">
        <f>H16+K16</f>
        <v>0</v>
      </c>
      <c r="M16" s="4">
        <f>P16+S16</f>
        <v>0</v>
      </c>
      <c r="N16" s="4">
        <v>350000</v>
      </c>
      <c r="O16" s="4">
        <f>D16-L16-M16-N16</f>
        <v>0</v>
      </c>
      <c r="P16" s="4">
        <f>G16-L16</f>
        <v>0</v>
      </c>
      <c r="Q16" s="4">
        <f>E16-G16</f>
        <v>0</v>
      </c>
      <c r="R16" s="4"/>
      <c r="S16" s="4">
        <f>SUM(Q16:R16)</f>
        <v>0</v>
      </c>
      <c r="T16" s="4">
        <f>P16-M16+S16</f>
        <v>0</v>
      </c>
      <c r="U16" s="4">
        <f>N16-T16</f>
        <v>350000</v>
      </c>
      <c r="V16" s="4"/>
      <c r="W16" s="4">
        <f>U16-V16-Y16-Z16</f>
        <v>350000</v>
      </c>
      <c r="X16" s="4"/>
      <c r="Y16" s="4"/>
      <c r="Z16" s="4"/>
      <c r="AA16" s="3" t="s">
        <v>895</v>
      </c>
      <c r="AB16" s="3">
        <v>826000</v>
      </c>
      <c r="AC16" s="4"/>
      <c r="AD16" s="4"/>
      <c r="AE16" s="4"/>
      <c r="AF16" s="4"/>
      <c r="AG16" s="4"/>
      <c r="AH16" s="4"/>
      <c r="AI16" s="4"/>
      <c r="AJ16" s="4"/>
      <c r="AK16" s="4">
        <v>350000</v>
      </c>
      <c r="AL16" s="4">
        <f t="shared" si="11"/>
        <v>350000</v>
      </c>
      <c r="AM16" s="4"/>
      <c r="AN16" s="4">
        <f t="shared" si="12"/>
        <v>350000</v>
      </c>
      <c r="AO16" s="4">
        <f t="shared" si="13"/>
        <v>0</v>
      </c>
      <c r="AP16" s="4"/>
      <c r="AQ16" s="4">
        <f t="shared" si="14"/>
        <v>350000</v>
      </c>
      <c r="AR16" s="3"/>
      <c r="AS16" s="3"/>
      <c r="AT16" s="3"/>
      <c r="AU16" s="4"/>
      <c r="AV16" s="4">
        <f t="shared" si="15"/>
        <v>0</v>
      </c>
      <c r="AW16" s="3"/>
      <c r="AX16" s="3"/>
      <c r="AY16" s="3"/>
      <c r="AZ16" s="4"/>
      <c r="BA16" s="4">
        <f t="shared" si="16"/>
        <v>0</v>
      </c>
      <c r="BB16" s="3"/>
      <c r="BC16" s="3"/>
      <c r="BD16" s="3"/>
      <c r="BF16" s="31"/>
    </row>
    <row r="17" spans="1:58" s="5" customFormat="1" ht="19.95" customHeight="1">
      <c r="A17" s="41">
        <f>A16</f>
        <v>10</v>
      </c>
      <c r="B17" s="44" t="s">
        <v>59</v>
      </c>
      <c r="C17" s="204" t="s">
        <v>685</v>
      </c>
      <c r="D17" s="12">
        <f t="shared" ref="D17:Q17" si="17">SUM(D7:D16)</f>
        <v>14813365</v>
      </c>
      <c r="E17" s="12">
        <f t="shared" si="17"/>
        <v>13843365</v>
      </c>
      <c r="F17" s="12">
        <f t="shared" si="17"/>
        <v>970000</v>
      </c>
      <c r="G17" s="12">
        <f t="shared" si="17"/>
        <v>8328365</v>
      </c>
      <c r="H17" s="12">
        <f t="shared" si="17"/>
        <v>6323918.959999999</v>
      </c>
      <c r="I17" s="12">
        <f t="shared" si="17"/>
        <v>0</v>
      </c>
      <c r="J17" s="12">
        <f t="shared" si="17"/>
        <v>660990.71</v>
      </c>
      <c r="K17" s="12">
        <f t="shared" si="17"/>
        <v>660990.71</v>
      </c>
      <c r="L17" s="12">
        <f t="shared" si="17"/>
        <v>6984909.669999999</v>
      </c>
      <c r="M17" s="12">
        <f t="shared" si="17"/>
        <v>4243455.33</v>
      </c>
      <c r="N17" s="12">
        <f t="shared" si="17"/>
        <v>3120000</v>
      </c>
      <c r="O17" s="12">
        <f t="shared" si="17"/>
        <v>465000</v>
      </c>
      <c r="P17" s="12">
        <f t="shared" si="17"/>
        <v>1343455.33</v>
      </c>
      <c r="Q17" s="12">
        <f t="shared" si="17"/>
        <v>2900000</v>
      </c>
      <c r="R17" s="12">
        <f>SUM(R7:R14)</f>
        <v>0</v>
      </c>
      <c r="S17" s="12">
        <f>SUM(S7:S16)</f>
        <v>2900000</v>
      </c>
      <c r="T17" s="12">
        <f>SUM(T7:T14)</f>
        <v>0</v>
      </c>
      <c r="U17" s="12">
        <f>SUM(U7:U16)</f>
        <v>3120000</v>
      </c>
      <c r="V17" s="12">
        <f>SUM(V7:V16)</f>
        <v>0</v>
      </c>
      <c r="W17" s="12">
        <f>SUM(W7:W16)</f>
        <v>3120000</v>
      </c>
      <c r="X17" s="12">
        <f t="shared" ref="X17:BD17" si="18">SUM(X7:X16)</f>
        <v>0</v>
      </c>
      <c r="Y17" s="12">
        <f t="shared" si="18"/>
        <v>0</v>
      </c>
      <c r="Z17" s="12">
        <f t="shared" si="18"/>
        <v>0</v>
      </c>
      <c r="AA17" s="12">
        <f t="shared" si="18"/>
        <v>0</v>
      </c>
      <c r="AB17" s="12">
        <f t="shared" si="18"/>
        <v>8384000</v>
      </c>
      <c r="AC17" s="12">
        <f t="shared" si="18"/>
        <v>600000</v>
      </c>
      <c r="AD17" s="12">
        <f t="shared" si="18"/>
        <v>850000</v>
      </c>
      <c r="AE17" s="12">
        <f t="shared" si="18"/>
        <v>0</v>
      </c>
      <c r="AF17" s="12">
        <f t="shared" si="18"/>
        <v>0</v>
      </c>
      <c r="AG17" s="12">
        <f t="shared" si="18"/>
        <v>0</v>
      </c>
      <c r="AH17" s="12">
        <f t="shared" si="18"/>
        <v>200000</v>
      </c>
      <c r="AI17" s="12">
        <f t="shared" si="18"/>
        <v>0</v>
      </c>
      <c r="AJ17" s="12">
        <f t="shared" si="18"/>
        <v>420000</v>
      </c>
      <c r="AK17" s="12">
        <f t="shared" si="18"/>
        <v>930000</v>
      </c>
      <c r="AL17" s="12">
        <f t="shared" si="18"/>
        <v>3000000</v>
      </c>
      <c r="AM17" s="12">
        <f t="shared" si="18"/>
        <v>0</v>
      </c>
      <c r="AN17" s="12">
        <f>SUM(AN7:AN16)</f>
        <v>3000000</v>
      </c>
      <c r="AO17" s="12">
        <f>SUM(AO7:AO16)</f>
        <v>120000</v>
      </c>
      <c r="AP17" s="12">
        <f t="shared" si="18"/>
        <v>0</v>
      </c>
      <c r="AQ17" s="12">
        <f t="shared" si="18"/>
        <v>3000000</v>
      </c>
      <c r="AR17" s="12">
        <f t="shared" si="18"/>
        <v>0</v>
      </c>
      <c r="AS17" s="12">
        <f t="shared" si="18"/>
        <v>0</v>
      </c>
      <c r="AT17" s="12">
        <f t="shared" si="18"/>
        <v>0</v>
      </c>
      <c r="AU17" s="12">
        <f t="shared" si="18"/>
        <v>0</v>
      </c>
      <c r="AV17" s="12">
        <f>SUM(AV7:AV16)</f>
        <v>0</v>
      </c>
      <c r="AW17" s="12">
        <f>SUM(AW7:AW16)</f>
        <v>0</v>
      </c>
      <c r="AX17" s="12">
        <f>SUM(AX7:AX16)</f>
        <v>0</v>
      </c>
      <c r="AY17" s="12">
        <f>SUM(AY7:AY16)</f>
        <v>0</v>
      </c>
      <c r="AZ17" s="12">
        <f>SUM(AZ7:AZ16)</f>
        <v>0</v>
      </c>
      <c r="BA17" s="12">
        <f t="shared" si="18"/>
        <v>120000</v>
      </c>
      <c r="BB17" s="12">
        <f t="shared" si="18"/>
        <v>0</v>
      </c>
      <c r="BC17" s="12">
        <f t="shared" si="18"/>
        <v>0</v>
      </c>
      <c r="BD17" s="12">
        <f t="shared" si="18"/>
        <v>0</v>
      </c>
      <c r="BF17" s="31"/>
    </row>
    <row r="18" spans="1:58" s="5" customFormat="1" hidden="1">
      <c r="A18" s="29"/>
      <c r="B18" s="14"/>
      <c r="C18" s="14"/>
      <c r="D18" s="16"/>
      <c r="E18" s="16"/>
      <c r="F18" s="16"/>
      <c r="G18" s="16"/>
      <c r="H18" s="16"/>
      <c r="I18" s="16"/>
      <c r="J18" s="16"/>
      <c r="K18" s="16"/>
      <c r="L18" s="22">
        <f>H17+K17</f>
        <v>6984909.669999999</v>
      </c>
      <c r="M18" s="22">
        <f>P17+S17-T17</f>
        <v>4243455.33</v>
      </c>
      <c r="N18" s="46"/>
      <c r="O18" s="25"/>
      <c r="P18" s="22">
        <f>G17-L17</f>
        <v>1343455.330000001</v>
      </c>
      <c r="Q18" s="25"/>
      <c r="R18" s="25"/>
      <c r="S18" s="25"/>
      <c r="T18" s="25"/>
      <c r="U18" s="22">
        <f>N17-T17</f>
        <v>3120000</v>
      </c>
      <c r="V18" s="14"/>
      <c r="W18" s="14"/>
      <c r="X18" s="14"/>
      <c r="Y18" s="14"/>
      <c r="Z18" s="14"/>
      <c r="AA18" s="37"/>
      <c r="AB18" s="14"/>
      <c r="AC18" s="514"/>
      <c r="AD18" s="514"/>
      <c r="AE18" s="514"/>
      <c r="AF18" s="514"/>
      <c r="AG18" s="514"/>
      <c r="AH18" s="514"/>
      <c r="AI18" s="514"/>
      <c r="AJ18" s="514"/>
      <c r="AK18" s="514"/>
      <c r="AL18" s="514"/>
      <c r="AM18" s="514"/>
      <c r="AN18" s="514"/>
      <c r="AP18" s="514"/>
      <c r="BF18" s="31"/>
    </row>
    <row r="19" spans="1:58" s="5" customFormat="1">
      <c r="A19" s="29"/>
      <c r="B19" s="14"/>
      <c r="C19" s="14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4"/>
      <c r="V19" s="14"/>
      <c r="W19" s="14"/>
      <c r="X19" s="14"/>
      <c r="Y19" s="14"/>
      <c r="Z19" s="14"/>
      <c r="AA19" s="14"/>
      <c r="AB19" s="14"/>
      <c r="AC19" s="514"/>
      <c r="AD19" s="514"/>
      <c r="AE19" s="514"/>
      <c r="AF19" s="514"/>
      <c r="AG19" s="514"/>
      <c r="AH19" s="514"/>
      <c r="AI19" s="514"/>
      <c r="AJ19" s="514"/>
      <c r="AK19" s="514"/>
      <c r="AL19" s="514"/>
      <c r="AM19" s="514"/>
      <c r="AN19" s="514"/>
      <c r="AP19" s="514"/>
      <c r="BF19" s="31"/>
    </row>
    <row r="20" spans="1:58" s="5" customFormat="1">
      <c r="A20" s="29"/>
      <c r="B20" s="14"/>
      <c r="C20" s="14"/>
      <c r="D20" s="16"/>
      <c r="E20" s="16"/>
      <c r="F20" s="16"/>
      <c r="G20" s="16"/>
      <c r="H20" s="16"/>
      <c r="I20" s="16"/>
      <c r="J20" s="16"/>
      <c r="K20" s="16"/>
      <c r="L20" s="16"/>
      <c r="M20" s="25"/>
      <c r="N20" s="25"/>
      <c r="O20" s="25"/>
      <c r="P20" s="29"/>
      <c r="Q20" s="25"/>
      <c r="R20" s="25"/>
      <c r="S20" s="25"/>
      <c r="T20" s="16"/>
      <c r="U20" s="14"/>
      <c r="V20" s="14"/>
      <c r="W20" s="14"/>
      <c r="X20" s="14"/>
      <c r="Y20" s="14"/>
      <c r="Z20" s="14"/>
      <c r="AA20" s="14"/>
      <c r="AB20" s="14"/>
      <c r="AC20" s="514"/>
      <c r="AD20" s="514"/>
      <c r="AE20" s="514"/>
      <c r="AF20" s="514"/>
      <c r="AG20" s="514"/>
      <c r="AH20" s="514"/>
      <c r="AI20" s="514"/>
      <c r="AJ20" s="514"/>
      <c r="AK20" s="514"/>
      <c r="AL20" s="514"/>
      <c r="AM20" s="514"/>
      <c r="AN20" s="514"/>
      <c r="AP20" s="514"/>
      <c r="BF20" s="31"/>
    </row>
    <row r="21" spans="1:58" s="5" customFormat="1">
      <c r="A21" s="29"/>
      <c r="B21" s="14"/>
      <c r="C21" s="14"/>
      <c r="D21" s="16"/>
      <c r="E21" s="16"/>
      <c r="F21" s="16"/>
      <c r="G21" s="16"/>
      <c r="H21" s="16"/>
      <c r="I21" s="16"/>
      <c r="J21" s="16"/>
      <c r="K21" s="16"/>
      <c r="L21" s="16"/>
      <c r="M21" s="25"/>
      <c r="N21" s="25"/>
      <c r="O21" s="25"/>
      <c r="P21" s="29"/>
      <c r="Q21" s="29"/>
      <c r="R21" s="25"/>
      <c r="S21" s="29"/>
      <c r="T21" s="16"/>
      <c r="U21" s="14"/>
      <c r="V21" s="14"/>
      <c r="W21" s="14"/>
      <c r="X21" s="14"/>
      <c r="Y21" s="14"/>
      <c r="Z21" s="14"/>
      <c r="AA21" s="14"/>
      <c r="AB21" s="14"/>
      <c r="AC21" s="514"/>
      <c r="AD21" s="514"/>
      <c r="AE21" s="514"/>
      <c r="AF21" s="514"/>
      <c r="AG21" s="514"/>
      <c r="AH21" s="514"/>
      <c r="AI21" s="514"/>
      <c r="AJ21" s="514"/>
      <c r="AK21" s="514"/>
      <c r="AL21" s="514"/>
      <c r="AM21" s="514"/>
      <c r="AN21" s="514"/>
      <c r="AP21" s="514"/>
      <c r="BF21" s="31"/>
    </row>
    <row r="22" spans="1:58" s="5" customFormat="1">
      <c r="A22" s="29"/>
      <c r="B22" s="14"/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25"/>
      <c r="N22" s="25"/>
      <c r="O22" s="25"/>
      <c r="P22" s="29"/>
      <c r="Q22" s="29"/>
      <c r="R22" s="25"/>
      <c r="S22" s="29"/>
      <c r="T22" s="16"/>
      <c r="U22" s="14"/>
      <c r="V22" s="14"/>
      <c r="W22" s="14"/>
      <c r="X22" s="14"/>
      <c r="Y22" s="14"/>
      <c r="Z22" s="14"/>
      <c r="AA22" s="14"/>
      <c r="AB22" s="14"/>
      <c r="AC22" s="514"/>
      <c r="AD22" s="514"/>
      <c r="AE22" s="514"/>
      <c r="AF22" s="514"/>
      <c r="AG22" s="514"/>
      <c r="AH22" s="514"/>
      <c r="AI22" s="514"/>
      <c r="AJ22" s="514"/>
      <c r="AK22" s="514"/>
      <c r="AL22" s="514"/>
      <c r="AM22" s="514"/>
      <c r="AN22" s="514"/>
      <c r="AP22" s="514"/>
      <c r="BF22" s="31"/>
    </row>
    <row r="23" spans="1:58" s="5" customFormat="1">
      <c r="A23" s="29"/>
      <c r="B23" s="14"/>
      <c r="C23" s="14"/>
      <c r="D23" s="16"/>
      <c r="E23" s="16"/>
      <c r="F23" s="16"/>
      <c r="G23" s="16"/>
      <c r="H23" s="16"/>
      <c r="I23" s="16"/>
      <c r="J23" s="16"/>
      <c r="K23" s="16"/>
      <c r="L23" s="16"/>
      <c r="M23" s="25"/>
      <c r="N23" s="25"/>
      <c r="O23" s="25"/>
      <c r="P23" s="29"/>
      <c r="Q23" s="29"/>
      <c r="R23" s="25"/>
      <c r="S23" s="29"/>
      <c r="T23" s="16"/>
      <c r="U23" s="14"/>
      <c r="V23" s="14"/>
      <c r="W23" s="14"/>
      <c r="X23" s="14"/>
      <c r="Y23" s="14"/>
      <c r="Z23" s="14"/>
      <c r="AA23" s="14"/>
      <c r="AB23" s="14"/>
      <c r="AC23" s="514"/>
      <c r="AD23" s="514"/>
      <c r="AE23" s="514"/>
      <c r="AF23" s="514"/>
      <c r="AG23" s="514"/>
      <c r="AH23" s="514"/>
      <c r="AI23" s="514"/>
      <c r="AJ23" s="514"/>
      <c r="AK23" s="514"/>
      <c r="AL23" s="514"/>
      <c r="AM23" s="514"/>
      <c r="AN23" s="514"/>
      <c r="AP23" s="514"/>
      <c r="BF23" s="31"/>
    </row>
    <row r="24" spans="1:58" s="5" customFormat="1">
      <c r="A24" s="29"/>
      <c r="B24" s="14"/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25"/>
      <c r="N24" s="25"/>
      <c r="O24" s="51"/>
      <c r="P24" s="29"/>
      <c r="Q24" s="28"/>
      <c r="R24" s="25"/>
      <c r="S24" s="29"/>
      <c r="T24" s="16"/>
      <c r="U24" s="14"/>
      <c r="V24" s="14"/>
      <c r="W24" s="14"/>
      <c r="X24" s="14"/>
      <c r="Y24" s="14"/>
      <c r="Z24" s="14"/>
      <c r="AA24" s="37"/>
      <c r="AB24" s="14"/>
      <c r="AC24" s="514"/>
      <c r="AD24" s="514"/>
      <c r="AE24" s="514"/>
      <c r="AF24" s="514"/>
      <c r="AG24" s="514"/>
      <c r="AH24" s="514"/>
      <c r="AI24" s="514"/>
      <c r="AJ24" s="514"/>
      <c r="AK24" s="514"/>
      <c r="AL24" s="514"/>
      <c r="AM24" s="514"/>
      <c r="AN24" s="514"/>
      <c r="AP24" s="514"/>
      <c r="BF24" s="31"/>
    </row>
    <row r="25" spans="1:58" s="5" customFormat="1">
      <c r="A25" s="29"/>
      <c r="B25" s="14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25"/>
      <c r="N25" s="25"/>
      <c r="O25" s="29"/>
      <c r="P25" s="29"/>
      <c r="Q25" s="28"/>
      <c r="R25" s="29"/>
      <c r="S25" s="25"/>
      <c r="T25" s="16"/>
      <c r="U25" s="14"/>
      <c r="V25" s="14"/>
      <c r="W25" s="14"/>
      <c r="X25" s="14"/>
      <c r="Y25" s="14"/>
      <c r="Z25" s="14"/>
      <c r="AA25" s="37"/>
      <c r="AB25" s="14"/>
      <c r="AC25" s="514"/>
      <c r="AD25" s="514"/>
      <c r="AE25" s="514"/>
      <c r="AF25" s="514"/>
      <c r="AG25" s="514"/>
      <c r="AH25" s="514"/>
      <c r="AI25" s="514"/>
      <c r="AJ25" s="514"/>
      <c r="AK25" s="514"/>
      <c r="AL25" s="514"/>
      <c r="AM25" s="514"/>
      <c r="AN25" s="514"/>
      <c r="AP25" s="514"/>
      <c r="BF25" s="31"/>
    </row>
    <row r="26" spans="1:58" s="5" customFormat="1">
      <c r="A26" s="29"/>
      <c r="B26" s="14"/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25"/>
      <c r="N26" s="25"/>
      <c r="O26" s="25"/>
      <c r="P26" s="29"/>
      <c r="Q26" s="25"/>
      <c r="R26" s="25"/>
      <c r="S26" s="25"/>
      <c r="T26" s="16"/>
      <c r="U26" s="14"/>
      <c r="V26" s="14"/>
      <c r="W26" s="14"/>
      <c r="X26" s="14"/>
      <c r="Y26" s="14"/>
      <c r="Z26" s="14"/>
      <c r="AA26" s="37"/>
      <c r="AB26" s="14"/>
      <c r="AC26" s="514"/>
      <c r="AD26" s="514"/>
      <c r="AE26" s="514"/>
      <c r="AF26" s="514"/>
      <c r="AG26" s="514"/>
      <c r="AH26" s="514"/>
      <c r="AI26" s="514"/>
      <c r="AJ26" s="514"/>
      <c r="AK26" s="514"/>
      <c r="AL26" s="514"/>
      <c r="AM26" s="514"/>
      <c r="AN26" s="514"/>
      <c r="AP26" s="514"/>
      <c r="BF26" s="31"/>
    </row>
    <row r="27" spans="1:58">
      <c r="M27" s="25"/>
      <c r="N27" s="25"/>
      <c r="O27" s="25"/>
      <c r="P27" s="29"/>
      <c r="Q27" s="25"/>
      <c r="R27" s="25"/>
      <c r="S27" s="25"/>
    </row>
    <row r="28" spans="1:58">
      <c r="M28" s="25"/>
      <c r="N28" s="25"/>
      <c r="O28" s="25"/>
      <c r="P28" s="29"/>
      <c r="Q28" s="25"/>
      <c r="R28" s="25"/>
      <c r="S28" s="25"/>
    </row>
    <row r="29" spans="1:58">
      <c r="M29" s="25"/>
      <c r="N29" s="25"/>
      <c r="O29" s="25"/>
      <c r="P29" s="25"/>
      <c r="Q29" s="25"/>
      <c r="R29" s="25"/>
      <c r="S29" s="25"/>
    </row>
    <row r="30" spans="1:58">
      <c r="M30" s="25"/>
      <c r="N30" s="25"/>
      <c r="O30" s="25"/>
      <c r="P30" s="25"/>
      <c r="Q30" s="25"/>
      <c r="R30" s="25"/>
      <c r="S30" s="25"/>
    </row>
    <row r="31" spans="1:58">
      <c r="M31" s="25"/>
      <c r="N31" s="25"/>
      <c r="O31" s="25"/>
      <c r="P31" s="25"/>
      <c r="Q31" s="25"/>
      <c r="R31" s="25"/>
      <c r="S31" s="25"/>
    </row>
    <row r="32" spans="1:58">
      <c r="M32" s="25"/>
      <c r="N32" s="25"/>
      <c r="O32" s="25"/>
      <c r="P32" s="25"/>
      <c r="Q32" s="25"/>
      <c r="R32" s="25"/>
      <c r="S32" s="25"/>
    </row>
    <row r="33" spans="1:58">
      <c r="M33" s="25"/>
      <c r="N33" s="25"/>
      <c r="O33" s="25"/>
      <c r="P33" s="25"/>
      <c r="Q33" s="25"/>
      <c r="R33" s="25"/>
      <c r="S33" s="25"/>
    </row>
    <row r="34" spans="1:58" s="16" customFormat="1">
      <c r="A34" s="37"/>
      <c r="B34" s="14"/>
      <c r="C34" s="14"/>
      <c r="M34" s="25"/>
      <c r="N34" s="25"/>
      <c r="O34" s="25"/>
      <c r="P34" s="25"/>
      <c r="Q34" s="25"/>
      <c r="R34" s="25"/>
      <c r="S34" s="25"/>
      <c r="U34" s="14"/>
      <c r="V34" s="14"/>
      <c r="W34" s="14"/>
      <c r="X34" s="14"/>
      <c r="Y34" s="14"/>
      <c r="Z34" s="14"/>
      <c r="AA34" s="37"/>
      <c r="AB34" s="14"/>
      <c r="AC34" s="514"/>
      <c r="AD34" s="514"/>
      <c r="AE34" s="514"/>
      <c r="AF34" s="514"/>
      <c r="AG34" s="514"/>
      <c r="AH34" s="514"/>
      <c r="AI34" s="514"/>
      <c r="AJ34" s="514"/>
      <c r="AK34" s="514"/>
      <c r="AL34" s="514"/>
      <c r="AM34" s="514"/>
      <c r="AN34" s="514"/>
      <c r="AP34" s="514"/>
      <c r="BF34" s="31"/>
    </row>
    <row r="35" spans="1:58" s="16" customFormat="1">
      <c r="A35" s="37"/>
      <c r="B35" s="14"/>
      <c r="C35" s="14"/>
      <c r="M35" s="25"/>
      <c r="N35" s="25"/>
      <c r="O35" s="25"/>
      <c r="P35" s="25"/>
      <c r="Q35" s="25"/>
      <c r="R35" s="25"/>
      <c r="S35" s="25"/>
      <c r="U35" s="14"/>
      <c r="V35" s="14"/>
      <c r="W35" s="14"/>
      <c r="X35" s="14"/>
      <c r="Y35" s="14"/>
      <c r="Z35" s="14"/>
      <c r="AA35" s="37"/>
      <c r="AB35" s="14"/>
      <c r="AC35" s="514"/>
      <c r="AD35" s="514"/>
      <c r="AE35" s="514"/>
      <c r="AF35" s="514"/>
      <c r="AG35" s="514"/>
      <c r="AH35" s="514"/>
      <c r="AI35" s="514"/>
      <c r="AJ35" s="514"/>
      <c r="AK35" s="514"/>
      <c r="AL35" s="514"/>
      <c r="AM35" s="514"/>
      <c r="AN35" s="514"/>
      <c r="AP35" s="514"/>
      <c r="BF35" s="31"/>
    </row>
    <row r="36" spans="1:58" s="16" customFormat="1">
      <c r="A36" s="37"/>
      <c r="B36" s="14"/>
      <c r="C36" s="14"/>
      <c r="M36" s="25"/>
      <c r="N36" s="25"/>
      <c r="O36" s="25"/>
      <c r="P36" s="25"/>
      <c r="Q36" s="25"/>
      <c r="R36" s="25"/>
      <c r="S36" s="25"/>
      <c r="U36" s="14"/>
      <c r="V36" s="14"/>
      <c r="W36" s="14"/>
      <c r="X36" s="14"/>
      <c r="Y36" s="14"/>
      <c r="Z36" s="14"/>
      <c r="AA36" s="37"/>
      <c r="AB36" s="14"/>
      <c r="AC36" s="514"/>
      <c r="AD36" s="514"/>
      <c r="AE36" s="514"/>
      <c r="AF36" s="514"/>
      <c r="AG36" s="514"/>
      <c r="AH36" s="514"/>
      <c r="AI36" s="514"/>
      <c r="AJ36" s="514"/>
      <c r="AK36" s="514"/>
      <c r="AL36" s="514"/>
      <c r="AM36" s="514"/>
      <c r="AN36" s="514"/>
      <c r="AP36" s="514"/>
      <c r="BF36" s="31"/>
    </row>
    <row r="37" spans="1:58" s="16" customFormat="1">
      <c r="A37" s="37"/>
      <c r="B37" s="14"/>
      <c r="C37" s="14"/>
      <c r="M37" s="25"/>
      <c r="N37" s="25"/>
      <c r="O37" s="25"/>
      <c r="P37" s="25"/>
      <c r="Q37" s="25"/>
      <c r="R37" s="25"/>
      <c r="S37" s="25"/>
      <c r="U37" s="14"/>
      <c r="V37" s="14"/>
      <c r="W37" s="14"/>
      <c r="X37" s="14"/>
      <c r="Y37" s="14"/>
      <c r="Z37" s="14"/>
      <c r="AA37" s="37"/>
      <c r="AB37" s="14"/>
      <c r="AC37" s="514"/>
      <c r="AD37" s="514"/>
      <c r="AE37" s="514"/>
      <c r="AF37" s="514"/>
      <c r="AG37" s="514"/>
      <c r="AH37" s="514"/>
      <c r="AI37" s="514"/>
      <c r="AJ37" s="514"/>
      <c r="AK37" s="514"/>
      <c r="AL37" s="514"/>
      <c r="AM37" s="514"/>
      <c r="AN37" s="514"/>
      <c r="AP37" s="514"/>
      <c r="BF37" s="31"/>
    </row>
    <row r="38" spans="1:58" s="16" customFormat="1">
      <c r="A38" s="37"/>
      <c r="B38" s="14"/>
      <c r="C38" s="14"/>
      <c r="M38" s="25"/>
      <c r="N38" s="25"/>
      <c r="O38" s="25"/>
      <c r="P38" s="25"/>
      <c r="Q38" s="25"/>
      <c r="R38" s="25"/>
      <c r="S38" s="25"/>
      <c r="U38" s="14"/>
      <c r="V38" s="14"/>
      <c r="W38" s="14"/>
      <c r="X38" s="14"/>
      <c r="Y38" s="14"/>
      <c r="Z38" s="14"/>
      <c r="AA38" s="37"/>
      <c r="AB38" s="14"/>
      <c r="AC38" s="514"/>
      <c r="AD38" s="514"/>
      <c r="AE38" s="514"/>
      <c r="AF38" s="514"/>
      <c r="AG38" s="514"/>
      <c r="AH38" s="514"/>
      <c r="AI38" s="514"/>
      <c r="AJ38" s="514"/>
      <c r="AK38" s="514"/>
      <c r="AL38" s="514"/>
      <c r="AM38" s="514"/>
      <c r="AN38" s="514"/>
      <c r="AP38" s="514"/>
      <c r="BF38" s="31"/>
    </row>
    <row r="39" spans="1:58" s="16" customFormat="1">
      <c r="A39" s="37"/>
      <c r="B39" s="14"/>
      <c r="C39" s="14"/>
      <c r="M39" s="25"/>
      <c r="N39" s="25"/>
      <c r="O39" s="25"/>
      <c r="P39" s="25"/>
      <c r="Q39" s="25"/>
      <c r="R39" s="25"/>
      <c r="S39" s="25"/>
      <c r="U39" s="14"/>
      <c r="V39" s="14"/>
      <c r="W39" s="14"/>
      <c r="X39" s="14"/>
      <c r="Y39" s="14"/>
      <c r="Z39" s="14"/>
      <c r="AA39" s="37"/>
      <c r="AB39" s="14"/>
      <c r="AC39" s="514"/>
      <c r="AD39" s="514"/>
      <c r="AE39" s="514"/>
      <c r="AF39" s="514"/>
      <c r="AG39" s="514"/>
      <c r="AH39" s="514"/>
      <c r="AI39" s="514"/>
      <c r="AJ39" s="514"/>
      <c r="AK39" s="514"/>
      <c r="AL39" s="514"/>
      <c r="AM39" s="514"/>
      <c r="AN39" s="514"/>
      <c r="AP39" s="514"/>
      <c r="BF39" s="31"/>
    </row>
    <row r="40" spans="1:58" s="16" customFormat="1">
      <c r="A40" s="37"/>
      <c r="B40" s="14"/>
      <c r="C40" s="14"/>
      <c r="M40" s="25"/>
      <c r="N40" s="25"/>
      <c r="O40" s="25"/>
      <c r="P40" s="25"/>
      <c r="Q40" s="25"/>
      <c r="R40" s="25"/>
      <c r="S40" s="25"/>
      <c r="U40" s="14"/>
      <c r="V40" s="14"/>
      <c r="W40" s="14"/>
      <c r="X40" s="14"/>
      <c r="Y40" s="14"/>
      <c r="Z40" s="14"/>
      <c r="AA40" s="37"/>
      <c r="AB40" s="14"/>
      <c r="AC40" s="514"/>
      <c r="AD40" s="514"/>
      <c r="AE40" s="514"/>
      <c r="AF40" s="514"/>
      <c r="AG40" s="514"/>
      <c r="AH40" s="514"/>
      <c r="AI40" s="514"/>
      <c r="AJ40" s="514"/>
      <c r="AK40" s="514"/>
      <c r="AL40" s="514"/>
      <c r="AM40" s="514"/>
      <c r="AN40" s="514"/>
      <c r="AP40" s="514"/>
      <c r="BF40" s="31"/>
    </row>
  </sheetData>
  <sheetProtection formatCells="0" formatColumns="0" formatRows="0" insertColumns="0" insertRows="0" insertHyperlinks="0" deleteColumns="0" deleteRows="0" sort="0" autoFilter="0" pivotTables="0"/>
  <mergeCells count="5">
    <mergeCell ref="T4:Z4"/>
    <mergeCell ref="AL4:AN4"/>
    <mergeCell ref="AP4:AT4"/>
    <mergeCell ref="AU4:AY4"/>
    <mergeCell ref="AZ4:BD4"/>
  </mergeCells>
  <conditionalFormatting sqref="A1:A3 AK1:AM3 BG1:XFD3 AK18:AM1048576 AK6:AM6 BA1:BE3 AP5:AP6 AP18:AP1048576 AP1:AP3">
    <cfRule type="cellIs" dxfId="186" priority="28" operator="equal">
      <formula>0</formula>
    </cfRule>
  </conditionalFormatting>
  <conditionalFormatting sqref="AC4">
    <cfRule type="cellIs" dxfId="185" priority="27" operator="equal">
      <formula>0</formula>
    </cfRule>
  </conditionalFormatting>
  <conditionalFormatting sqref="AC1:AC3 AC18:AC1048576 AC6">
    <cfRule type="cellIs" dxfId="184" priority="26" operator="equal">
      <formula>0</formula>
    </cfRule>
  </conditionalFormatting>
  <conditionalFormatting sqref="AC5">
    <cfRule type="cellIs" dxfId="183" priority="25" operator="equal">
      <formula>0</formula>
    </cfRule>
  </conditionalFormatting>
  <conditionalFormatting sqref="AK5">
    <cfRule type="cellIs" dxfId="182" priority="24" operator="equal">
      <formula>0</formula>
    </cfRule>
  </conditionalFormatting>
  <conditionalFormatting sqref="AD1:AD3 AD6 AD18:AD1048576">
    <cfRule type="cellIs" dxfId="181" priority="23" operator="equal">
      <formula>0</formula>
    </cfRule>
  </conditionalFormatting>
  <conditionalFormatting sqref="AD5">
    <cfRule type="cellIs" dxfId="180" priority="22" operator="equal">
      <formula>0</formula>
    </cfRule>
  </conditionalFormatting>
  <conditionalFormatting sqref="AE1:AE3 AE6 AE18:AE1048576">
    <cfRule type="cellIs" dxfId="179" priority="21" operator="equal">
      <formula>0</formula>
    </cfRule>
  </conditionalFormatting>
  <conditionalFormatting sqref="AE5">
    <cfRule type="cellIs" dxfId="178" priority="20" operator="equal">
      <formula>0</formula>
    </cfRule>
  </conditionalFormatting>
  <conditionalFormatting sqref="AF1:AF3 AF6 AF18:AF1048576">
    <cfRule type="cellIs" dxfId="177" priority="19" operator="equal">
      <formula>0</formula>
    </cfRule>
  </conditionalFormatting>
  <conditionalFormatting sqref="AF5">
    <cfRule type="cellIs" dxfId="176" priority="18" operator="equal">
      <formula>0</formula>
    </cfRule>
  </conditionalFormatting>
  <conditionalFormatting sqref="AG1:AG3 AG6 AG18:AG1048576">
    <cfRule type="cellIs" dxfId="175" priority="17" operator="equal">
      <formula>0</formula>
    </cfRule>
  </conditionalFormatting>
  <conditionalFormatting sqref="AG5">
    <cfRule type="cellIs" dxfId="174" priority="16" operator="equal">
      <formula>0</formula>
    </cfRule>
  </conditionalFormatting>
  <conditionalFormatting sqref="AH1:AH3 AH6 AH18:AH1048576">
    <cfRule type="cellIs" dxfId="173" priority="15" operator="equal">
      <formula>0</formula>
    </cfRule>
  </conditionalFormatting>
  <conditionalFormatting sqref="AH5">
    <cfRule type="cellIs" dxfId="172" priority="14" operator="equal">
      <formula>0</formula>
    </cfRule>
  </conditionalFormatting>
  <conditionalFormatting sqref="AI1:AI3 AI6 AI18:AI1048576">
    <cfRule type="cellIs" dxfId="171" priority="13" operator="equal">
      <formula>0</formula>
    </cfRule>
  </conditionalFormatting>
  <conditionalFormatting sqref="AI5">
    <cfRule type="cellIs" dxfId="170" priority="12" operator="equal">
      <formula>0</formula>
    </cfRule>
  </conditionalFormatting>
  <conditionalFormatting sqref="AJ1:AJ3 AJ6 AJ18:AJ1048576">
    <cfRule type="cellIs" dxfId="169" priority="11" operator="equal">
      <formula>0</formula>
    </cfRule>
  </conditionalFormatting>
  <conditionalFormatting sqref="AJ5">
    <cfRule type="cellIs" dxfId="168" priority="10" operator="equal">
      <formula>0</formula>
    </cfRule>
  </conditionalFormatting>
  <conditionalFormatting sqref="AV1:AY3">
    <cfRule type="cellIs" dxfId="167" priority="9" operator="equal">
      <formula>0</formula>
    </cfRule>
  </conditionalFormatting>
  <conditionalFormatting sqref="AQ1:AT3">
    <cfRule type="cellIs" dxfId="166" priority="8" operator="equal">
      <formula>0</formula>
    </cfRule>
  </conditionalFormatting>
  <conditionalFormatting sqref="AN6 AN18:AN1048576 AN1:AN3">
    <cfRule type="cellIs" dxfId="165" priority="7" operator="equal">
      <formula>0</formula>
    </cfRule>
  </conditionalFormatting>
  <conditionalFormatting sqref="AO1:AO3">
    <cfRule type="cellIs" dxfId="164" priority="6" operator="equal">
      <formula>0</formula>
    </cfRule>
  </conditionalFormatting>
  <conditionalFormatting sqref="AL5:AN5">
    <cfRule type="cellIs" dxfId="163" priority="5" operator="equal">
      <formula>0</formula>
    </cfRule>
  </conditionalFormatting>
  <conditionalFormatting sqref="AU1:AU3">
    <cfRule type="cellIs" dxfId="162" priority="4" operator="equal">
      <formula>0</formula>
    </cfRule>
  </conditionalFormatting>
  <conditionalFormatting sqref="AU5">
    <cfRule type="cellIs" dxfId="161" priority="3" operator="equal">
      <formula>0</formula>
    </cfRule>
  </conditionalFormatting>
  <conditionalFormatting sqref="AZ1:AZ3">
    <cfRule type="cellIs" dxfId="160" priority="2" operator="equal">
      <formula>0</formula>
    </cfRule>
  </conditionalFormatting>
  <conditionalFormatting sqref="AZ5">
    <cfRule type="cellIs" dxfId="15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F63"/>
  <sheetViews>
    <sheetView showZeros="0" rightToLeft="1" tabSelected="1" zoomScaleNormal="100" workbookViewId="0">
      <pane xSplit="3" ySplit="5" topLeftCell="D24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5.33203125" style="37" customWidth="1"/>
    <col min="2" max="2" width="6.6640625" style="14" customWidth="1"/>
    <col min="3" max="3" width="28" style="14" customWidth="1"/>
    <col min="4" max="4" width="11" style="16" hidden="1" customWidth="1"/>
    <col min="5" max="5" width="11.109375" style="16" hidden="1" customWidth="1"/>
    <col min="6" max="6" width="11.6640625" style="16" hidden="1" customWidth="1"/>
    <col min="7" max="7" width="11.109375" style="16" hidden="1" customWidth="1"/>
    <col min="8" max="10" width="12.6640625" style="16" hidden="1" customWidth="1"/>
    <col min="11" max="11" width="11.33203125" style="16" hidden="1" customWidth="1"/>
    <col min="12" max="12" width="11.109375" style="16" hidden="1" customWidth="1"/>
    <col min="13" max="13" width="9.109375" style="16" hidden="1" customWidth="1"/>
    <col min="14" max="15" width="10" style="16" hidden="1" customWidth="1"/>
    <col min="16" max="17" width="11.109375" style="16" hidden="1" customWidth="1"/>
    <col min="18" max="19" width="12" style="16" hidden="1" customWidth="1"/>
    <col min="20" max="20" width="6.44140625" style="16" customWidth="1"/>
    <col min="21" max="21" width="9.44140625" style="14" customWidth="1"/>
    <col min="22" max="22" width="10.33203125" style="14" customWidth="1"/>
    <col min="23" max="23" width="9.109375" style="14" customWidth="1"/>
    <col min="24" max="24" width="5.33203125" style="14" hidden="1" customWidth="1"/>
    <col min="25" max="25" width="5.33203125" style="14" customWidth="1"/>
    <col min="26" max="26" width="9" style="14" customWidth="1"/>
    <col min="27" max="27" width="31.88671875" style="37" hidden="1" customWidth="1"/>
    <col min="28" max="28" width="7.88671875" style="14" hidden="1" customWidth="1"/>
    <col min="29" max="36" width="10.6640625" style="333" hidden="1" customWidth="1"/>
    <col min="37" max="37" width="8.77734375" style="333" hidden="1" customWidth="1"/>
    <col min="38" max="39" width="10.6640625" style="330" hidden="1" customWidth="1"/>
    <col min="40" max="40" width="10.6640625" style="333" customWidth="1"/>
    <col min="41" max="41" width="9.21875" style="19" customWidth="1"/>
    <col min="42" max="42" width="9.6640625" style="333" customWidth="1"/>
    <col min="43" max="43" width="9" style="19" customWidth="1"/>
    <col min="44" max="44" width="10.6640625" style="191" hidden="1" customWidth="1"/>
    <col min="45" max="45" width="10.6640625" style="19" customWidth="1"/>
    <col min="46" max="46" width="9" style="333" customWidth="1"/>
    <col min="47" max="47" width="10.6640625" style="19" hidden="1" customWidth="1"/>
    <col min="48" max="48" width="10.6640625" style="191" hidden="1" customWidth="1"/>
    <col min="49" max="49" width="10.6640625" style="19" hidden="1" customWidth="1"/>
    <col min="50" max="50" width="10.6640625" style="333" hidden="1" customWidth="1"/>
    <col min="51" max="51" width="10.6640625" style="19" hidden="1" customWidth="1"/>
    <col min="52" max="52" width="7.109375" style="191" hidden="1" customWidth="1"/>
    <col min="53" max="53" width="6.6640625" style="19" hidden="1" customWidth="1"/>
    <col min="54" max="54" width="10.6640625" style="191" hidden="1" customWidth="1"/>
    <col min="55" max="55" width="10.6640625" style="19" hidden="1" customWidth="1"/>
    <col min="56" max="56" width="9" style="19" hidden="1" customWidth="1"/>
    <col min="57" max="57" width="9.109375" style="14"/>
    <col min="58" max="58" width="10.6640625" style="191" customWidth="1"/>
    <col min="59" max="16384" width="9.109375" style="14"/>
  </cols>
  <sheetData>
    <row r="2" spans="1:58" s="191" customFormat="1">
      <c r="A2" s="329" t="s">
        <v>1007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3"/>
      <c r="AC2" s="333"/>
      <c r="AD2" s="333"/>
      <c r="AE2" s="333"/>
      <c r="AF2" s="333"/>
      <c r="AG2" s="333"/>
      <c r="AH2" s="333"/>
      <c r="AI2" s="333"/>
      <c r="AJ2" s="333"/>
      <c r="AK2" s="333"/>
      <c r="AL2" s="330"/>
      <c r="AM2" s="330"/>
      <c r="AN2" s="333"/>
      <c r="AP2" s="333"/>
      <c r="AT2" s="333"/>
      <c r="AX2" s="333"/>
    </row>
    <row r="3" spans="1:58" s="191" customFormat="1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33"/>
      <c r="AC3" s="333"/>
      <c r="AD3" s="333"/>
      <c r="AE3" s="333"/>
      <c r="AF3" s="333"/>
      <c r="AG3" s="333"/>
      <c r="AH3" s="333"/>
      <c r="AI3" s="333"/>
      <c r="AJ3" s="333"/>
      <c r="AK3" s="333"/>
      <c r="AL3" s="330"/>
      <c r="AM3" s="330"/>
      <c r="AN3" s="333"/>
      <c r="AP3" s="333"/>
      <c r="AT3" s="333"/>
      <c r="AX3" s="333"/>
    </row>
    <row r="4" spans="1:58" ht="13.8">
      <c r="A4" s="493"/>
      <c r="B4" s="494"/>
      <c r="C4" s="495"/>
      <c r="T4" s="832" t="s">
        <v>111</v>
      </c>
      <c r="U4" s="833"/>
      <c r="V4" s="833"/>
      <c r="W4" s="833"/>
      <c r="X4" s="833"/>
      <c r="Y4" s="833"/>
      <c r="Z4" s="834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3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8" s="31" customFormat="1" ht="86.25" customHeight="1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402</v>
      </c>
      <c r="N5" s="18" t="s">
        <v>403</v>
      </c>
      <c r="O5" s="18" t="s">
        <v>404</v>
      </c>
      <c r="P5" s="18" t="s">
        <v>12</v>
      </c>
      <c r="Q5" s="18" t="s">
        <v>405</v>
      </c>
      <c r="R5" s="18" t="s">
        <v>406</v>
      </c>
      <c r="S5" s="18" t="s">
        <v>407</v>
      </c>
      <c r="T5" s="18" t="s">
        <v>408</v>
      </c>
      <c r="U5" s="18" t="s">
        <v>409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43" t="s">
        <v>410</v>
      </c>
      <c r="AB5" s="18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  <c r="BF5" s="191"/>
    </row>
    <row r="6" spans="1:58" s="5" customFormat="1">
      <c r="A6" s="3"/>
      <c r="B6" s="3"/>
      <c r="C6" s="4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23"/>
      <c r="AB6" s="3"/>
      <c r="AC6" s="208"/>
      <c r="AD6" s="208"/>
      <c r="AE6" s="208"/>
      <c r="AF6" s="208"/>
      <c r="AG6" s="208"/>
      <c r="AH6" s="208"/>
      <c r="AI6" s="208"/>
      <c r="AJ6" s="208"/>
      <c r="AK6" s="208"/>
      <c r="AL6" s="391"/>
      <c r="AM6" s="391"/>
      <c r="AN6" s="208"/>
      <c r="AO6" s="3"/>
      <c r="AP6" s="208"/>
      <c r="AQ6" s="3"/>
      <c r="AR6" s="211"/>
      <c r="AS6" s="3"/>
      <c r="AT6" s="208"/>
      <c r="AU6" s="3"/>
      <c r="AV6" s="211"/>
      <c r="AW6" s="3"/>
      <c r="AX6" s="208"/>
      <c r="AY6" s="3"/>
      <c r="AZ6" s="211"/>
      <c r="BA6" s="3"/>
      <c r="BB6" s="211"/>
      <c r="BC6" s="3"/>
      <c r="BD6" s="3"/>
      <c r="BF6" s="191"/>
    </row>
    <row r="7" spans="1:58" s="5" customFormat="1" ht="19.95" customHeight="1">
      <c r="A7" s="3">
        <v>1</v>
      </c>
      <c r="B7" s="3">
        <v>135</v>
      </c>
      <c r="C7" s="3" t="s">
        <v>76</v>
      </c>
      <c r="D7" s="4">
        <f>4582000-3349000</f>
        <v>1233000</v>
      </c>
      <c r="E7" s="4">
        <v>4582000</v>
      </c>
      <c r="F7" s="4">
        <f t="shared" ref="F7:F45" si="0">D7-E7</f>
        <v>-3349000</v>
      </c>
      <c r="G7" s="4">
        <v>1233000</v>
      </c>
      <c r="H7" s="4">
        <v>1142424</v>
      </c>
      <c r="I7" s="4"/>
      <c r="J7" s="4">
        <v>6728</v>
      </c>
      <c r="K7" s="4">
        <f>I7+J7</f>
        <v>6728</v>
      </c>
      <c r="L7" s="4">
        <f t="shared" ref="L7:L45" si="1">H7+K7</f>
        <v>1149152</v>
      </c>
      <c r="M7" s="4">
        <f t="shared" ref="M7:M45" si="2">P7+S7</f>
        <v>83848</v>
      </c>
      <c r="N7" s="4">
        <v>0</v>
      </c>
      <c r="O7" s="4">
        <f t="shared" ref="O7:O45" si="3">D7-L7-M7-N7</f>
        <v>0</v>
      </c>
      <c r="P7" s="4">
        <f t="shared" ref="P7:P45" si="4">G7-L7</f>
        <v>83848</v>
      </c>
      <c r="Q7" s="4"/>
      <c r="R7" s="4"/>
      <c r="S7" s="4">
        <f t="shared" ref="S7:S45" si="5">SUM(Q7:R7)</f>
        <v>0</v>
      </c>
      <c r="T7" s="4">
        <f t="shared" ref="T7:T45" si="6">P7-M7+S7</f>
        <v>0</v>
      </c>
      <c r="U7" s="4">
        <f t="shared" ref="U7:U45" si="7">N7-T7</f>
        <v>0</v>
      </c>
      <c r="V7" s="11"/>
      <c r="W7" s="4">
        <f>U7-V7-Y7-Z7</f>
        <v>0</v>
      </c>
      <c r="X7" s="4"/>
      <c r="Y7" s="4"/>
      <c r="Z7" s="3"/>
      <c r="AA7" s="323"/>
      <c r="AB7" s="3">
        <v>747000</v>
      </c>
      <c r="AC7" s="4"/>
      <c r="AD7" s="4"/>
      <c r="AE7" s="4"/>
      <c r="AF7" s="4"/>
      <c r="AG7" s="4"/>
      <c r="AH7" s="4"/>
      <c r="AI7" s="4"/>
      <c r="AJ7" s="4"/>
      <c r="AK7" s="4"/>
      <c r="AL7" s="4">
        <f t="shared" ref="AL7:AL48" si="8">SUM(AC7:AK7)</f>
        <v>0</v>
      </c>
      <c r="AM7" s="4"/>
      <c r="AN7" s="4">
        <f>AL7+AM7</f>
        <v>0</v>
      </c>
      <c r="AO7" s="4">
        <f>U7-AN7</f>
        <v>0</v>
      </c>
      <c r="AP7" s="4"/>
      <c r="AQ7" s="4">
        <f>AN7-AP7-AR7-AS7-AT7</f>
        <v>0</v>
      </c>
      <c r="AR7" s="4"/>
      <c r="AS7" s="3"/>
      <c r="AT7" s="4"/>
      <c r="AU7" s="4"/>
      <c r="AV7" s="4">
        <f>AM7-AU7-AW7-AX7-AY7</f>
        <v>0</v>
      </c>
      <c r="AW7" s="3"/>
      <c r="AX7" s="4"/>
      <c r="AY7" s="4"/>
      <c r="AZ7" s="4"/>
      <c r="BA7" s="4">
        <f>AO7-AZ7-BB7-BC7-BD7</f>
        <v>0</v>
      </c>
      <c r="BB7" s="4"/>
      <c r="BC7" s="3"/>
      <c r="BD7" s="3"/>
      <c r="BF7" s="191"/>
    </row>
    <row r="8" spans="1:58" s="5" customFormat="1" ht="19.95" customHeight="1">
      <c r="A8" s="3">
        <f>A7+1</f>
        <v>2</v>
      </c>
      <c r="B8" s="3">
        <v>1134</v>
      </c>
      <c r="C8" s="3" t="s">
        <v>77</v>
      </c>
      <c r="D8" s="4">
        <v>2700000</v>
      </c>
      <c r="E8" s="4">
        <v>2700000</v>
      </c>
      <c r="F8" s="4">
        <f t="shared" si="0"/>
        <v>0</v>
      </c>
      <c r="G8" s="4">
        <v>2495000</v>
      </c>
      <c r="H8" s="4">
        <v>2297601</v>
      </c>
      <c r="I8" s="4"/>
      <c r="J8" s="4">
        <v>115724.71</v>
      </c>
      <c r="K8" s="4">
        <f>I8+J8</f>
        <v>115724.71</v>
      </c>
      <c r="L8" s="4">
        <f t="shared" si="1"/>
        <v>2413325.71</v>
      </c>
      <c r="M8" s="4">
        <f t="shared" si="2"/>
        <v>81674.290000000037</v>
      </c>
      <c r="N8" s="4">
        <v>100000</v>
      </c>
      <c r="O8" s="4">
        <f t="shared" si="3"/>
        <v>105000</v>
      </c>
      <c r="P8" s="4">
        <f t="shared" si="4"/>
        <v>81674.290000000037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100000</v>
      </c>
      <c r="V8" s="11">
        <f>U8-W8-X8-Y8-Z8</f>
        <v>0</v>
      </c>
      <c r="W8" s="4">
        <v>100000</v>
      </c>
      <c r="X8" s="4"/>
      <c r="Y8" s="4"/>
      <c r="Z8" s="3"/>
      <c r="AA8" s="323" t="s">
        <v>788</v>
      </c>
      <c r="AB8" s="3">
        <v>746000</v>
      </c>
      <c r="AC8" s="4">
        <v>50000</v>
      </c>
      <c r="AD8" s="4">
        <v>50000</v>
      </c>
      <c r="AE8" s="4"/>
      <c r="AF8" s="4"/>
      <c r="AG8" s="4"/>
      <c r="AH8" s="4"/>
      <c r="AI8" s="4"/>
      <c r="AJ8" s="4"/>
      <c r="AK8" s="4"/>
      <c r="AL8" s="4">
        <f t="shared" si="8"/>
        <v>100000</v>
      </c>
      <c r="AM8" s="4"/>
      <c r="AN8" s="4">
        <f t="shared" ref="AN8:AN48" si="9">AL8+AM8</f>
        <v>100000</v>
      </c>
      <c r="AO8" s="4">
        <f t="shared" ref="AO8:AO48" si="10">U8-AN8</f>
        <v>0</v>
      </c>
      <c r="AP8" s="4"/>
      <c r="AQ8" s="4">
        <f t="shared" ref="AQ8:AQ48" si="11">AN8-AP8-AR8-AS8-AT8</f>
        <v>100000</v>
      </c>
      <c r="AR8" s="4"/>
      <c r="AS8" s="3"/>
      <c r="AT8" s="4"/>
      <c r="AU8" s="4"/>
      <c r="AV8" s="4">
        <f t="shared" ref="AV8:AV48" si="12">AM8-AU8-AW8-AX8-AY8</f>
        <v>0</v>
      </c>
      <c r="AW8" s="3"/>
      <c r="AX8" s="4"/>
      <c r="AY8" s="4"/>
      <c r="AZ8" s="4"/>
      <c r="BA8" s="4">
        <f t="shared" ref="BA8:BA48" si="13">AO8-AZ8-BB8-BC8-BD8</f>
        <v>0</v>
      </c>
      <c r="BB8" s="4"/>
      <c r="BC8" s="3"/>
      <c r="BD8" s="3"/>
      <c r="BF8" s="191"/>
    </row>
    <row r="9" spans="1:58" s="5" customFormat="1" ht="19.95" customHeight="1">
      <c r="A9" s="3">
        <f t="shared" ref="A9:A48" si="14">A8+1</f>
        <v>3</v>
      </c>
      <c r="B9" s="3">
        <v>1165</v>
      </c>
      <c r="C9" s="3" t="s">
        <v>107</v>
      </c>
      <c r="D9" s="4">
        <f>16300000-4250000</f>
        <v>12050000</v>
      </c>
      <c r="E9" s="4">
        <v>16300000</v>
      </c>
      <c r="F9" s="4">
        <f t="shared" si="0"/>
        <v>-4250000</v>
      </c>
      <c r="G9" s="4">
        <v>12050000</v>
      </c>
      <c r="H9" s="4">
        <v>11376110</v>
      </c>
      <c r="I9" s="4"/>
      <c r="J9" s="4">
        <v>573442</v>
      </c>
      <c r="K9" s="4">
        <f>I9+J9</f>
        <v>573442</v>
      </c>
      <c r="L9" s="4">
        <f t="shared" si="1"/>
        <v>11949552</v>
      </c>
      <c r="M9" s="4">
        <f t="shared" si="2"/>
        <v>100448</v>
      </c>
      <c r="N9" s="4"/>
      <c r="O9" s="4">
        <f t="shared" si="3"/>
        <v>0</v>
      </c>
      <c r="P9" s="4">
        <f t="shared" si="4"/>
        <v>100448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1"/>
      <c r="W9" s="4">
        <f>U9-V9-Y9-Z9</f>
        <v>0</v>
      </c>
      <c r="X9" s="4"/>
      <c r="Y9" s="4"/>
      <c r="Z9" s="3"/>
      <c r="AA9" s="323" t="s">
        <v>789</v>
      </c>
      <c r="AB9" s="3">
        <v>746000</v>
      </c>
      <c r="AC9" s="4"/>
      <c r="AD9" s="4"/>
      <c r="AE9" s="4"/>
      <c r="AF9" s="4"/>
      <c r="AG9" s="4"/>
      <c r="AH9" s="4"/>
      <c r="AI9" s="4"/>
      <c r="AJ9" s="4"/>
      <c r="AK9" s="4"/>
      <c r="AL9" s="4">
        <f t="shared" si="8"/>
        <v>0</v>
      </c>
      <c r="AM9" s="4"/>
      <c r="AN9" s="4">
        <f t="shared" si="9"/>
        <v>0</v>
      </c>
      <c r="AO9" s="4">
        <f t="shared" si="10"/>
        <v>0</v>
      </c>
      <c r="AP9" s="4"/>
      <c r="AQ9" s="4">
        <f t="shared" si="11"/>
        <v>0</v>
      </c>
      <c r="AR9" s="4"/>
      <c r="AS9" s="3"/>
      <c r="AT9" s="4"/>
      <c r="AU9" s="4"/>
      <c r="AV9" s="4">
        <f t="shared" si="12"/>
        <v>0</v>
      </c>
      <c r="AW9" s="3"/>
      <c r="AX9" s="4"/>
      <c r="AY9" s="4"/>
      <c r="AZ9" s="4"/>
      <c r="BA9" s="4">
        <f t="shared" si="13"/>
        <v>0</v>
      </c>
      <c r="BB9" s="4"/>
      <c r="BC9" s="3"/>
      <c r="BD9" s="3"/>
      <c r="BF9" s="191"/>
    </row>
    <row r="10" spans="1:58" s="5" customFormat="1" ht="27.6">
      <c r="A10" s="3">
        <f t="shared" si="14"/>
        <v>4</v>
      </c>
      <c r="B10" s="3">
        <v>1166</v>
      </c>
      <c r="C10" s="3" t="s">
        <v>537</v>
      </c>
      <c r="D10" s="4">
        <f>10615000-1500000</f>
        <v>9115000</v>
      </c>
      <c r="E10" s="4">
        <v>10615000</v>
      </c>
      <c r="F10" s="4">
        <f t="shared" si="0"/>
        <v>-1500000</v>
      </c>
      <c r="G10" s="4">
        <v>9115000</v>
      </c>
      <c r="H10" s="4">
        <v>8351629</v>
      </c>
      <c r="I10" s="4"/>
      <c r="J10" s="4">
        <v>590891</v>
      </c>
      <c r="K10" s="4">
        <f>I10+J10</f>
        <v>590891</v>
      </c>
      <c r="L10" s="4">
        <f t="shared" si="1"/>
        <v>8942520</v>
      </c>
      <c r="M10" s="4">
        <f t="shared" si="2"/>
        <v>172480</v>
      </c>
      <c r="N10" s="4"/>
      <c r="O10" s="4">
        <f t="shared" si="3"/>
        <v>0</v>
      </c>
      <c r="P10" s="4">
        <f t="shared" si="4"/>
        <v>172480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4"/>
      <c r="W10" s="4">
        <f>U10-V10-Y10-Z10</f>
        <v>0</v>
      </c>
      <c r="X10" s="4"/>
      <c r="Y10" s="4"/>
      <c r="Z10" s="3"/>
      <c r="AA10" s="323" t="s">
        <v>789</v>
      </c>
      <c r="AB10" s="3">
        <v>746000</v>
      </c>
      <c r="AC10" s="4"/>
      <c r="AD10" s="4"/>
      <c r="AE10" s="4"/>
      <c r="AF10" s="4"/>
      <c r="AG10" s="4"/>
      <c r="AH10" s="4"/>
      <c r="AI10" s="4"/>
      <c r="AJ10" s="4"/>
      <c r="AK10" s="4"/>
      <c r="AL10" s="4">
        <f t="shared" si="8"/>
        <v>0</v>
      </c>
      <c r="AM10" s="4"/>
      <c r="AN10" s="4">
        <f t="shared" si="9"/>
        <v>0</v>
      </c>
      <c r="AO10" s="4">
        <f t="shared" si="10"/>
        <v>0</v>
      </c>
      <c r="AP10" s="4"/>
      <c r="AQ10" s="4">
        <f t="shared" si="11"/>
        <v>0</v>
      </c>
      <c r="AR10" s="4"/>
      <c r="AS10" s="3"/>
      <c r="AT10" s="4"/>
      <c r="AU10" s="4"/>
      <c r="AV10" s="4">
        <f t="shared" si="12"/>
        <v>0</v>
      </c>
      <c r="AW10" s="3"/>
      <c r="AX10" s="4"/>
      <c r="AY10" s="4"/>
      <c r="AZ10" s="4"/>
      <c r="BA10" s="4">
        <f t="shared" si="13"/>
        <v>0</v>
      </c>
      <c r="BB10" s="4"/>
      <c r="BC10" s="3"/>
      <c r="BD10" s="3"/>
      <c r="BF10" s="191"/>
    </row>
    <row r="11" spans="1:58" s="5" customFormat="1" ht="27.6">
      <c r="A11" s="3">
        <f t="shared" si="14"/>
        <v>5</v>
      </c>
      <c r="B11" s="188">
        <v>1192</v>
      </c>
      <c r="C11" s="188" t="s">
        <v>980</v>
      </c>
      <c r="D11" s="4">
        <f>1085000-600000</f>
        <v>485000</v>
      </c>
      <c r="E11" s="4">
        <v>1085000</v>
      </c>
      <c r="F11" s="4">
        <f t="shared" si="0"/>
        <v>-600000</v>
      </c>
      <c r="G11" s="4">
        <v>485000</v>
      </c>
      <c r="H11" s="4">
        <v>405559.85</v>
      </c>
      <c r="I11" s="4"/>
      <c r="J11" s="4"/>
      <c r="K11" s="4">
        <f>I11+J11</f>
        <v>0</v>
      </c>
      <c r="L11" s="4">
        <f t="shared" si="1"/>
        <v>405559.85</v>
      </c>
      <c r="M11" s="4">
        <f t="shared" si="2"/>
        <v>79440.150000000023</v>
      </c>
      <c r="N11" s="4"/>
      <c r="O11" s="4">
        <f t="shared" si="3"/>
        <v>0</v>
      </c>
      <c r="P11" s="4">
        <f t="shared" si="4"/>
        <v>79440.150000000023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4"/>
      <c r="W11" s="4">
        <f>U11-V11-Y11-Z11</f>
        <v>0</v>
      </c>
      <c r="X11" s="4"/>
      <c r="Y11" s="4"/>
      <c r="Z11" s="3"/>
      <c r="AA11" s="323" t="s">
        <v>790</v>
      </c>
      <c r="AB11" s="3">
        <v>810000</v>
      </c>
      <c r="AC11" s="4"/>
      <c r="AD11" s="4"/>
      <c r="AE11" s="4"/>
      <c r="AF11" s="4"/>
      <c r="AG11" s="4"/>
      <c r="AH11" s="4"/>
      <c r="AI11" s="4"/>
      <c r="AJ11" s="4"/>
      <c r="AK11" s="4"/>
      <c r="AL11" s="4">
        <f t="shared" si="8"/>
        <v>0</v>
      </c>
      <c r="AM11" s="4"/>
      <c r="AN11" s="4">
        <f t="shared" si="9"/>
        <v>0</v>
      </c>
      <c r="AO11" s="4">
        <f t="shared" si="10"/>
        <v>0</v>
      </c>
      <c r="AP11" s="4"/>
      <c r="AQ11" s="4">
        <f t="shared" si="11"/>
        <v>0</v>
      </c>
      <c r="AR11" s="4"/>
      <c r="AS11" s="3"/>
      <c r="AT11" s="4"/>
      <c r="AU11" s="4"/>
      <c r="AV11" s="4">
        <f t="shared" si="12"/>
        <v>0</v>
      </c>
      <c r="AW11" s="3"/>
      <c r="AX11" s="4"/>
      <c r="AY11" s="4"/>
      <c r="AZ11" s="4"/>
      <c r="BA11" s="4">
        <f t="shared" si="13"/>
        <v>0</v>
      </c>
      <c r="BB11" s="4"/>
      <c r="BC11" s="3"/>
      <c r="BD11" s="3"/>
      <c r="BF11" s="191"/>
    </row>
    <row r="12" spans="1:58" s="5" customFormat="1" ht="27.6">
      <c r="A12" s="3">
        <f t="shared" si="14"/>
        <v>6</v>
      </c>
      <c r="B12" s="188">
        <v>1209</v>
      </c>
      <c r="C12" s="188" t="s">
        <v>981</v>
      </c>
      <c r="D12" s="4">
        <v>940000</v>
      </c>
      <c r="E12" s="4">
        <v>940000</v>
      </c>
      <c r="F12" s="4">
        <f t="shared" si="0"/>
        <v>0</v>
      </c>
      <c r="G12" s="4">
        <v>940000</v>
      </c>
      <c r="H12" s="4">
        <v>912429</v>
      </c>
      <c r="I12" s="4"/>
      <c r="J12" s="4"/>
      <c r="K12" s="4">
        <f>SUM(I12:J12)</f>
        <v>0</v>
      </c>
      <c r="L12" s="4">
        <f t="shared" si="1"/>
        <v>912429</v>
      </c>
      <c r="M12" s="4">
        <f t="shared" si="2"/>
        <v>27571</v>
      </c>
      <c r="N12" s="4"/>
      <c r="O12" s="4">
        <f t="shared" si="3"/>
        <v>0</v>
      </c>
      <c r="P12" s="4">
        <f t="shared" si="4"/>
        <v>27571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1">
        <f>U12-W12-Y12-Z12</f>
        <v>0</v>
      </c>
      <c r="W12" s="4"/>
      <c r="X12" s="4"/>
      <c r="Y12" s="4"/>
      <c r="Z12" s="4"/>
      <c r="AA12" s="323"/>
      <c r="AB12" s="3">
        <v>870000</v>
      </c>
      <c r="AC12" s="4"/>
      <c r="AD12" s="4"/>
      <c r="AE12" s="4"/>
      <c r="AF12" s="4"/>
      <c r="AG12" s="4"/>
      <c r="AH12" s="4"/>
      <c r="AI12" s="4"/>
      <c r="AJ12" s="4"/>
      <c r="AK12" s="4"/>
      <c r="AL12" s="4">
        <f t="shared" si="8"/>
        <v>0</v>
      </c>
      <c r="AM12" s="4"/>
      <c r="AN12" s="4">
        <f t="shared" si="9"/>
        <v>0</v>
      </c>
      <c r="AO12" s="4">
        <f t="shared" si="10"/>
        <v>0</v>
      </c>
      <c r="AP12" s="4"/>
      <c r="AQ12" s="4">
        <f t="shared" si="11"/>
        <v>0</v>
      </c>
      <c r="AR12" s="4"/>
      <c r="AS12" s="3"/>
      <c r="AT12" s="4"/>
      <c r="AU12" s="4"/>
      <c r="AV12" s="4">
        <f t="shared" si="12"/>
        <v>0</v>
      </c>
      <c r="AW12" s="3"/>
      <c r="AX12" s="4"/>
      <c r="AY12" s="4"/>
      <c r="AZ12" s="4"/>
      <c r="BA12" s="4">
        <f t="shared" si="13"/>
        <v>0</v>
      </c>
      <c r="BB12" s="4"/>
      <c r="BC12" s="3"/>
      <c r="BD12" s="3"/>
      <c r="BF12" s="191"/>
    </row>
    <row r="13" spans="1:58" s="5" customFormat="1" ht="19.95" customHeight="1">
      <c r="A13" s="3">
        <f t="shared" si="14"/>
        <v>7</v>
      </c>
      <c r="B13" s="3">
        <v>1210</v>
      </c>
      <c r="C13" s="3" t="s">
        <v>81</v>
      </c>
      <c r="D13" s="4">
        <f>120000000-32000000</f>
        <v>88000000</v>
      </c>
      <c r="E13" s="4">
        <v>88000000</v>
      </c>
      <c r="F13" s="4">
        <f t="shared" si="0"/>
        <v>0</v>
      </c>
      <c r="G13" s="4">
        <v>65250000</v>
      </c>
      <c r="H13" s="4">
        <v>65137184</v>
      </c>
      <c r="I13" s="4"/>
      <c r="J13" s="4">
        <v>1</v>
      </c>
      <c r="K13" s="4">
        <f>SUM(I13:J13)</f>
        <v>1</v>
      </c>
      <c r="L13" s="4">
        <f t="shared" si="1"/>
        <v>65137185</v>
      </c>
      <c r="M13" s="4">
        <f t="shared" si="2"/>
        <v>2112815</v>
      </c>
      <c r="N13" s="4">
        <f>26350000-10000000</f>
        <v>16350000</v>
      </c>
      <c r="O13" s="4">
        <f t="shared" si="3"/>
        <v>4400000</v>
      </c>
      <c r="P13" s="4">
        <f t="shared" si="4"/>
        <v>112815</v>
      </c>
      <c r="Q13" s="4">
        <v>2000000</v>
      </c>
      <c r="R13" s="4"/>
      <c r="S13" s="4">
        <f t="shared" si="5"/>
        <v>2000000</v>
      </c>
      <c r="T13" s="4">
        <f t="shared" si="6"/>
        <v>0</v>
      </c>
      <c r="U13" s="4">
        <f t="shared" si="7"/>
        <v>16350000</v>
      </c>
      <c r="V13" s="11"/>
      <c r="W13" s="4"/>
      <c r="X13" s="4"/>
      <c r="Y13" s="4"/>
      <c r="Z13" s="4">
        <f>N13-V13-W13-Y13</f>
        <v>16350000</v>
      </c>
      <c r="AA13" s="323" t="s">
        <v>538</v>
      </c>
      <c r="AB13" s="3">
        <v>870000</v>
      </c>
      <c r="AC13" s="4"/>
      <c r="AD13" s="4">
        <v>1500000</v>
      </c>
      <c r="AE13" s="4">
        <v>1000000</v>
      </c>
      <c r="AF13" s="4"/>
      <c r="AG13" s="4">
        <v>1000000</v>
      </c>
      <c r="AH13" s="4"/>
      <c r="AI13" s="4"/>
      <c r="AJ13" s="4">
        <v>700000</v>
      </c>
      <c r="AK13" s="4">
        <v>700000</v>
      </c>
      <c r="AL13" s="4">
        <f t="shared" si="8"/>
        <v>4900000</v>
      </c>
      <c r="AM13" s="4"/>
      <c r="AN13" s="4">
        <f t="shared" si="9"/>
        <v>4900000</v>
      </c>
      <c r="AO13" s="4">
        <f t="shared" si="10"/>
        <v>11450000</v>
      </c>
      <c r="AP13" s="4"/>
      <c r="AQ13" s="4">
        <f t="shared" si="11"/>
        <v>0</v>
      </c>
      <c r="AR13" s="4"/>
      <c r="AS13" s="3"/>
      <c r="AT13" s="4">
        <v>4900000</v>
      </c>
      <c r="AU13" s="4"/>
      <c r="AV13" s="4">
        <f t="shared" si="12"/>
        <v>0</v>
      </c>
      <c r="AW13" s="3"/>
      <c r="AX13" s="4"/>
      <c r="AY13" s="4"/>
      <c r="AZ13" s="4"/>
      <c r="BA13" s="4">
        <f t="shared" si="13"/>
        <v>0</v>
      </c>
      <c r="BB13" s="4"/>
      <c r="BC13" s="3"/>
      <c r="BD13" s="4">
        <v>11450000</v>
      </c>
      <c r="BF13" s="191"/>
    </row>
    <row r="14" spans="1:58" s="5" customFormat="1" ht="27.6">
      <c r="A14" s="3">
        <f t="shared" si="14"/>
        <v>8</v>
      </c>
      <c r="B14" s="3">
        <v>1254</v>
      </c>
      <c r="C14" s="3" t="s">
        <v>539</v>
      </c>
      <c r="D14" s="4">
        <f>42000000+5000000-9010000</f>
        <v>37990000</v>
      </c>
      <c r="E14" s="4">
        <v>37000000</v>
      </c>
      <c r="F14" s="4">
        <f t="shared" si="0"/>
        <v>990000</v>
      </c>
      <c r="G14" s="4">
        <v>31990000</v>
      </c>
      <c r="H14" s="4">
        <v>30104408</v>
      </c>
      <c r="I14" s="4"/>
      <c r="J14" s="4">
        <v>1556900</v>
      </c>
      <c r="K14" s="4">
        <f t="shared" ref="K14:K45" si="15">I14+J14</f>
        <v>1556900</v>
      </c>
      <c r="L14" s="4">
        <f t="shared" si="1"/>
        <v>31661308</v>
      </c>
      <c r="M14" s="4">
        <f t="shared" si="2"/>
        <v>328692</v>
      </c>
      <c r="N14" s="4">
        <f>5000000+2000000+1000000+2500000-2500000-2000000</f>
        <v>6000000</v>
      </c>
      <c r="O14" s="4">
        <f t="shared" si="3"/>
        <v>0</v>
      </c>
      <c r="P14" s="4">
        <f t="shared" si="4"/>
        <v>328692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6000000</v>
      </c>
      <c r="V14" s="11">
        <f>U14*0.5</f>
        <v>3000000</v>
      </c>
      <c r="W14" s="4">
        <f t="shared" ref="W14:W45" si="16">U14-V14-Y14-Z14</f>
        <v>3000000</v>
      </c>
      <c r="X14" s="4"/>
      <c r="Y14" s="4"/>
      <c r="Z14" s="3"/>
      <c r="AA14" s="323" t="s">
        <v>640</v>
      </c>
      <c r="AB14" s="3">
        <v>746000</v>
      </c>
      <c r="AC14" s="4">
        <v>1000000</v>
      </c>
      <c r="AD14" s="4">
        <v>1000000</v>
      </c>
      <c r="AE14" s="4">
        <v>1000000</v>
      </c>
      <c r="AF14" s="4">
        <v>1500000</v>
      </c>
      <c r="AG14" s="4"/>
      <c r="AH14" s="4">
        <v>500000</v>
      </c>
      <c r="AI14" s="4"/>
      <c r="AJ14" s="4">
        <v>1000000</v>
      </c>
      <c r="AK14" s="4"/>
      <c r="AL14" s="4">
        <f t="shared" si="8"/>
        <v>6000000</v>
      </c>
      <c r="AM14" s="4"/>
      <c r="AN14" s="4">
        <f t="shared" si="9"/>
        <v>6000000</v>
      </c>
      <c r="AO14" s="4">
        <f t="shared" si="10"/>
        <v>0</v>
      </c>
      <c r="AP14" s="4">
        <v>3000000</v>
      </c>
      <c r="AQ14" s="4">
        <f t="shared" si="11"/>
        <v>3000000</v>
      </c>
      <c r="AR14" s="4"/>
      <c r="AS14" s="3"/>
      <c r="AT14" s="4"/>
      <c r="AU14" s="4"/>
      <c r="AV14" s="4">
        <f t="shared" si="12"/>
        <v>0</v>
      </c>
      <c r="AW14" s="3"/>
      <c r="AX14" s="4"/>
      <c r="AY14" s="4"/>
      <c r="AZ14" s="4"/>
      <c r="BA14" s="4">
        <f t="shared" si="13"/>
        <v>0</v>
      </c>
      <c r="BB14" s="4"/>
      <c r="BC14" s="3"/>
      <c r="BD14" s="3"/>
      <c r="BF14" s="191"/>
    </row>
    <row r="15" spans="1:58" s="5" customFormat="1" ht="19.95" customHeight="1">
      <c r="A15" s="3">
        <f t="shared" si="14"/>
        <v>9</v>
      </c>
      <c r="B15" s="188">
        <v>1341</v>
      </c>
      <c r="C15" s="188" t="s">
        <v>982</v>
      </c>
      <c r="D15" s="4">
        <v>550000</v>
      </c>
      <c r="E15" s="4">
        <v>550000</v>
      </c>
      <c r="F15" s="4">
        <f t="shared" si="0"/>
        <v>0</v>
      </c>
      <c r="G15" s="4">
        <v>550000</v>
      </c>
      <c r="H15" s="4">
        <v>465234.28</v>
      </c>
      <c r="I15" s="4"/>
      <c r="J15" s="4">
        <v>1711.52</v>
      </c>
      <c r="K15" s="4">
        <f t="shared" si="15"/>
        <v>1711.52</v>
      </c>
      <c r="L15" s="4">
        <f t="shared" si="1"/>
        <v>466945.80000000005</v>
      </c>
      <c r="M15" s="4">
        <f t="shared" si="2"/>
        <v>83054.199999999953</v>
      </c>
      <c r="N15" s="4"/>
      <c r="O15" s="4">
        <f t="shared" si="3"/>
        <v>0</v>
      </c>
      <c r="P15" s="4">
        <f t="shared" si="4"/>
        <v>83054.199999999953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1"/>
      <c r="W15" s="4">
        <f t="shared" si="16"/>
        <v>0</v>
      </c>
      <c r="X15" s="4"/>
      <c r="Y15" s="4"/>
      <c r="Z15" s="3"/>
      <c r="AA15" s="323"/>
      <c r="AB15" s="3">
        <v>746000</v>
      </c>
      <c r="AC15" s="4"/>
      <c r="AD15" s="4"/>
      <c r="AE15" s="4"/>
      <c r="AF15" s="4"/>
      <c r="AG15" s="4"/>
      <c r="AH15" s="4"/>
      <c r="AI15" s="4"/>
      <c r="AJ15" s="4"/>
      <c r="AK15" s="4"/>
      <c r="AL15" s="4">
        <f t="shared" si="8"/>
        <v>0</v>
      </c>
      <c r="AM15" s="4"/>
      <c r="AN15" s="4">
        <f t="shared" si="9"/>
        <v>0</v>
      </c>
      <c r="AO15" s="4">
        <f t="shared" si="10"/>
        <v>0</v>
      </c>
      <c r="AP15" s="4"/>
      <c r="AQ15" s="4">
        <f t="shared" si="11"/>
        <v>0</v>
      </c>
      <c r="AR15" s="4"/>
      <c r="AS15" s="3"/>
      <c r="AT15" s="4"/>
      <c r="AU15" s="4"/>
      <c r="AV15" s="4">
        <f t="shared" si="12"/>
        <v>0</v>
      </c>
      <c r="AW15" s="3"/>
      <c r="AX15" s="4"/>
      <c r="AY15" s="4"/>
      <c r="AZ15" s="4"/>
      <c r="BA15" s="4">
        <f t="shared" si="13"/>
        <v>0</v>
      </c>
      <c r="BB15" s="4"/>
      <c r="BC15" s="3"/>
      <c r="BD15" s="3"/>
      <c r="BF15" s="191"/>
    </row>
    <row r="16" spans="1:58" s="5" customFormat="1" ht="19.95" customHeight="1">
      <c r="A16" s="3">
        <f t="shared" si="14"/>
        <v>10</v>
      </c>
      <c r="B16" s="3">
        <v>1342</v>
      </c>
      <c r="C16" s="3" t="s">
        <v>90</v>
      </c>
      <c r="D16" s="4">
        <f>4500000-500000</f>
        <v>4000000</v>
      </c>
      <c r="E16" s="4">
        <v>4000000</v>
      </c>
      <c r="F16" s="4">
        <f t="shared" si="0"/>
        <v>0</v>
      </c>
      <c r="G16" s="4">
        <v>2700000</v>
      </c>
      <c r="H16" s="4">
        <v>1986870.56</v>
      </c>
      <c r="I16" s="4"/>
      <c r="J16" s="4">
        <v>299393.09999999998</v>
      </c>
      <c r="K16" s="4">
        <f t="shared" si="15"/>
        <v>299393.09999999998</v>
      </c>
      <c r="L16" s="4">
        <f t="shared" si="1"/>
        <v>2286263.66</v>
      </c>
      <c r="M16" s="4">
        <f t="shared" si="2"/>
        <v>663736.33999999985</v>
      </c>
      <c r="N16" s="4">
        <f>750000-250000</f>
        <v>500000</v>
      </c>
      <c r="O16" s="4">
        <f t="shared" si="3"/>
        <v>550000</v>
      </c>
      <c r="P16" s="4">
        <f t="shared" si="4"/>
        <v>413736.33999999985</v>
      </c>
      <c r="Q16" s="4">
        <v>250000</v>
      </c>
      <c r="R16" s="4"/>
      <c r="S16" s="4">
        <f t="shared" si="5"/>
        <v>250000</v>
      </c>
      <c r="T16" s="4">
        <f t="shared" si="6"/>
        <v>0</v>
      </c>
      <c r="U16" s="4">
        <f t="shared" si="7"/>
        <v>500000</v>
      </c>
      <c r="V16" s="11">
        <f>U16-W16-X16-Y16-Z16</f>
        <v>500000</v>
      </c>
      <c r="W16" s="4"/>
      <c r="X16" s="4"/>
      <c r="Y16" s="4"/>
      <c r="Z16" s="3"/>
      <c r="AA16" s="323" t="s">
        <v>540</v>
      </c>
      <c r="AB16" s="3">
        <v>746000</v>
      </c>
      <c r="AC16" s="4"/>
      <c r="AD16" s="4"/>
      <c r="AE16" s="4"/>
      <c r="AF16" s="4"/>
      <c r="AG16" s="4"/>
      <c r="AH16" s="4"/>
      <c r="AI16" s="4"/>
      <c r="AJ16" s="4"/>
      <c r="AK16" s="4">
        <v>500000</v>
      </c>
      <c r="AL16" s="4">
        <f t="shared" si="8"/>
        <v>500000</v>
      </c>
      <c r="AM16" s="4"/>
      <c r="AN16" s="4">
        <f t="shared" si="9"/>
        <v>500000</v>
      </c>
      <c r="AO16" s="4">
        <f t="shared" si="10"/>
        <v>0</v>
      </c>
      <c r="AP16" s="4">
        <v>500000</v>
      </c>
      <c r="AQ16" s="4">
        <f t="shared" si="11"/>
        <v>0</v>
      </c>
      <c r="AR16" s="4"/>
      <c r="AS16" s="3"/>
      <c r="AT16" s="4"/>
      <c r="AU16" s="4"/>
      <c r="AV16" s="4">
        <f t="shared" si="12"/>
        <v>0</v>
      </c>
      <c r="AW16" s="3"/>
      <c r="AX16" s="4"/>
      <c r="AY16" s="4"/>
      <c r="AZ16" s="4"/>
      <c r="BA16" s="4">
        <f t="shared" si="13"/>
        <v>0</v>
      </c>
      <c r="BB16" s="4"/>
      <c r="BC16" s="3"/>
      <c r="BD16" s="3"/>
      <c r="BF16" s="191"/>
    </row>
    <row r="17" spans="1:58" s="5" customFormat="1" ht="19.95" customHeight="1">
      <c r="A17" s="3">
        <f t="shared" si="14"/>
        <v>11</v>
      </c>
      <c r="B17" s="3">
        <v>1343</v>
      </c>
      <c r="C17" s="3" t="s">
        <v>91</v>
      </c>
      <c r="D17" s="4">
        <v>8320000</v>
      </c>
      <c r="E17" s="4">
        <v>8320000</v>
      </c>
      <c r="F17" s="4">
        <f t="shared" si="0"/>
        <v>0</v>
      </c>
      <c r="G17" s="4">
        <v>6020000</v>
      </c>
      <c r="H17" s="4">
        <v>4544185</v>
      </c>
      <c r="I17" s="4"/>
      <c r="J17" s="4">
        <v>1460307</v>
      </c>
      <c r="K17" s="4">
        <f t="shared" si="15"/>
        <v>1460307</v>
      </c>
      <c r="L17" s="4">
        <f t="shared" si="1"/>
        <v>6004492</v>
      </c>
      <c r="M17" s="4">
        <f t="shared" si="2"/>
        <v>15508</v>
      </c>
      <c r="N17" s="4">
        <v>1000000</v>
      </c>
      <c r="O17" s="4">
        <f t="shared" si="3"/>
        <v>1300000</v>
      </c>
      <c r="P17" s="4">
        <f t="shared" si="4"/>
        <v>15508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1000000</v>
      </c>
      <c r="V17" s="11">
        <f>U17-W17-X17-Y17-Z17</f>
        <v>1000000</v>
      </c>
      <c r="W17" s="4"/>
      <c r="X17" s="4"/>
      <c r="Y17" s="4"/>
      <c r="Z17" s="3"/>
      <c r="AA17" s="323" t="s">
        <v>541</v>
      </c>
      <c r="AB17" s="3">
        <v>746000</v>
      </c>
      <c r="AC17" s="4"/>
      <c r="AD17" s="4"/>
      <c r="AE17" s="4"/>
      <c r="AF17" s="4"/>
      <c r="AG17" s="4"/>
      <c r="AH17" s="4">
        <v>500000</v>
      </c>
      <c r="AI17" s="4"/>
      <c r="AJ17" s="4"/>
      <c r="AK17" s="4">
        <v>500000</v>
      </c>
      <c r="AL17" s="4">
        <f t="shared" si="8"/>
        <v>1000000</v>
      </c>
      <c r="AM17" s="4"/>
      <c r="AN17" s="4">
        <f t="shared" si="9"/>
        <v>1000000</v>
      </c>
      <c r="AO17" s="4">
        <f t="shared" si="10"/>
        <v>0</v>
      </c>
      <c r="AP17" s="4">
        <v>1000000</v>
      </c>
      <c r="AQ17" s="4">
        <f t="shared" si="11"/>
        <v>0</v>
      </c>
      <c r="AR17" s="4"/>
      <c r="AS17" s="3"/>
      <c r="AT17" s="4"/>
      <c r="AU17" s="4"/>
      <c r="AV17" s="4">
        <f t="shared" si="12"/>
        <v>0</v>
      </c>
      <c r="AW17" s="3"/>
      <c r="AX17" s="4"/>
      <c r="AY17" s="4"/>
      <c r="AZ17" s="4"/>
      <c r="BA17" s="4">
        <f t="shared" si="13"/>
        <v>0</v>
      </c>
      <c r="BB17" s="4"/>
      <c r="BC17" s="3"/>
      <c r="BD17" s="3"/>
      <c r="BF17" s="191"/>
    </row>
    <row r="18" spans="1:58" s="5" customFormat="1" ht="19.95" customHeight="1">
      <c r="A18" s="3">
        <f t="shared" si="14"/>
        <v>12</v>
      </c>
      <c r="B18" s="3">
        <v>1345</v>
      </c>
      <c r="C18" s="3" t="s">
        <v>791</v>
      </c>
      <c r="D18" s="4">
        <v>1739000</v>
      </c>
      <c r="E18" s="4">
        <v>1739000</v>
      </c>
      <c r="F18" s="4">
        <f t="shared" si="0"/>
        <v>0</v>
      </c>
      <c r="G18" s="4">
        <v>815000</v>
      </c>
      <c r="H18" s="4">
        <v>725760.94</v>
      </c>
      <c r="I18" s="4"/>
      <c r="J18" s="4">
        <v>60680</v>
      </c>
      <c r="K18" s="4">
        <f t="shared" si="15"/>
        <v>60680</v>
      </c>
      <c r="L18" s="4">
        <f t="shared" si="1"/>
        <v>786440.94</v>
      </c>
      <c r="M18" s="4">
        <f t="shared" si="2"/>
        <v>48559.060000000056</v>
      </c>
      <c r="N18" s="4">
        <v>80000</v>
      </c>
      <c r="O18" s="4">
        <f t="shared" si="3"/>
        <v>824000</v>
      </c>
      <c r="P18" s="4">
        <f t="shared" si="4"/>
        <v>28559.060000000056</v>
      </c>
      <c r="Q18" s="4">
        <v>20000</v>
      </c>
      <c r="R18" s="4"/>
      <c r="S18" s="4">
        <f t="shared" si="5"/>
        <v>20000</v>
      </c>
      <c r="T18" s="4">
        <f t="shared" si="6"/>
        <v>0</v>
      </c>
      <c r="U18" s="4">
        <f t="shared" si="7"/>
        <v>80000</v>
      </c>
      <c r="V18" s="11"/>
      <c r="W18" s="4">
        <f t="shared" si="16"/>
        <v>80000</v>
      </c>
      <c r="X18" s="4"/>
      <c r="Y18" s="4"/>
      <c r="Z18" s="3"/>
      <c r="AA18" s="323" t="s">
        <v>542</v>
      </c>
      <c r="AB18" s="3">
        <v>870000</v>
      </c>
      <c r="AC18" s="376">
        <v>40000</v>
      </c>
      <c r="AD18" s="4"/>
      <c r="AE18" s="4"/>
      <c r="AF18" s="4"/>
      <c r="AG18" s="4"/>
      <c r="AH18" s="4">
        <v>40000</v>
      </c>
      <c r="AI18" s="4"/>
      <c r="AJ18" s="4"/>
      <c r="AK18" s="4"/>
      <c r="AL18" s="4">
        <f t="shared" si="8"/>
        <v>80000</v>
      </c>
      <c r="AM18" s="4"/>
      <c r="AN18" s="4">
        <f t="shared" si="9"/>
        <v>80000</v>
      </c>
      <c r="AO18" s="4">
        <f t="shared" si="10"/>
        <v>0</v>
      </c>
      <c r="AP18" s="4"/>
      <c r="AQ18" s="4">
        <f t="shared" si="11"/>
        <v>80000</v>
      </c>
      <c r="AR18" s="4"/>
      <c r="AS18" s="3"/>
      <c r="AT18" s="4"/>
      <c r="AU18" s="4"/>
      <c r="AV18" s="4">
        <f t="shared" si="12"/>
        <v>0</v>
      </c>
      <c r="AW18" s="3"/>
      <c r="AX18" s="4"/>
      <c r="AY18" s="4"/>
      <c r="AZ18" s="4"/>
      <c r="BA18" s="4">
        <f t="shared" si="13"/>
        <v>0</v>
      </c>
      <c r="BB18" s="4"/>
      <c r="BC18" s="3"/>
      <c r="BD18" s="3"/>
      <c r="BF18" s="191"/>
    </row>
    <row r="19" spans="1:58" s="5" customFormat="1" ht="19.95" customHeight="1">
      <c r="A19" s="3">
        <f t="shared" si="14"/>
        <v>13</v>
      </c>
      <c r="B19" s="3">
        <v>1435</v>
      </c>
      <c r="C19" s="39" t="s">
        <v>983</v>
      </c>
      <c r="D19" s="4">
        <f>30000000-2700000</f>
        <v>27300000</v>
      </c>
      <c r="E19" s="4">
        <v>26300000</v>
      </c>
      <c r="F19" s="4">
        <f t="shared" si="0"/>
        <v>1000000</v>
      </c>
      <c r="G19" s="4">
        <f>21674320+400000+200000</f>
        <v>22274320</v>
      </c>
      <c r="H19" s="4">
        <v>20025245</v>
      </c>
      <c r="I19" s="4"/>
      <c r="J19" s="4">
        <v>2197843</v>
      </c>
      <c r="K19" s="4">
        <f t="shared" si="15"/>
        <v>2197843</v>
      </c>
      <c r="L19" s="4">
        <f t="shared" si="1"/>
        <v>22223088</v>
      </c>
      <c r="M19" s="4">
        <f t="shared" si="2"/>
        <v>51232</v>
      </c>
      <c r="N19" s="4">
        <v>4000000</v>
      </c>
      <c r="O19" s="4">
        <f t="shared" si="3"/>
        <v>1025680</v>
      </c>
      <c r="P19" s="4">
        <f t="shared" si="4"/>
        <v>51232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4000000</v>
      </c>
      <c r="V19" s="11">
        <f>3000000-3000000</f>
        <v>0</v>
      </c>
      <c r="W19" s="4">
        <f t="shared" si="16"/>
        <v>4000000</v>
      </c>
      <c r="X19" s="4"/>
      <c r="Y19" s="4"/>
      <c r="Z19" s="3"/>
      <c r="AA19" s="474" t="s">
        <v>641</v>
      </c>
      <c r="AB19" s="3">
        <v>848500</v>
      </c>
      <c r="AC19" s="376">
        <f>40000-40000</f>
        <v>0</v>
      </c>
      <c r="AD19" s="4">
        <v>1500000</v>
      </c>
      <c r="AE19" s="4">
        <v>1000000</v>
      </c>
      <c r="AF19" s="4">
        <v>1000000</v>
      </c>
      <c r="AG19" s="4"/>
      <c r="AH19" s="4"/>
      <c r="AI19" s="4"/>
      <c r="AJ19" s="4"/>
      <c r="AK19" s="4">
        <v>500000</v>
      </c>
      <c r="AL19" s="4">
        <f t="shared" si="8"/>
        <v>4000000</v>
      </c>
      <c r="AM19" s="4"/>
      <c r="AN19" s="4">
        <f t="shared" si="9"/>
        <v>4000000</v>
      </c>
      <c r="AO19" s="4">
        <f t="shared" si="10"/>
        <v>0</v>
      </c>
      <c r="AP19" s="4"/>
      <c r="AQ19" s="4">
        <f t="shared" si="11"/>
        <v>4000000</v>
      </c>
      <c r="AR19" s="4"/>
      <c r="AS19" s="3"/>
      <c r="AT19" s="4"/>
      <c r="AU19" s="4"/>
      <c r="AV19" s="4">
        <f t="shared" si="12"/>
        <v>0</v>
      </c>
      <c r="AW19" s="3"/>
      <c r="AX19" s="4"/>
      <c r="AY19" s="4"/>
      <c r="AZ19" s="4"/>
      <c r="BA19" s="4">
        <f t="shared" si="13"/>
        <v>0</v>
      </c>
      <c r="BB19" s="4"/>
      <c r="BC19" s="3"/>
      <c r="BD19" s="3"/>
      <c r="BF19" s="191"/>
    </row>
    <row r="20" spans="1:58" s="5" customFormat="1" ht="19.95" customHeight="1">
      <c r="A20" s="3">
        <f t="shared" si="14"/>
        <v>14</v>
      </c>
      <c r="B20" s="3">
        <v>1491</v>
      </c>
      <c r="C20" s="3" t="s">
        <v>92</v>
      </c>
      <c r="D20" s="4">
        <f>13700000-6830000</f>
        <v>6870000</v>
      </c>
      <c r="E20" s="4">
        <v>13700000</v>
      </c>
      <c r="F20" s="4">
        <f t="shared" si="0"/>
        <v>-6830000</v>
      </c>
      <c r="G20" s="4">
        <v>6870000</v>
      </c>
      <c r="H20" s="4">
        <v>5602803</v>
      </c>
      <c r="I20" s="4"/>
      <c r="J20" s="4">
        <v>1163977</v>
      </c>
      <c r="K20" s="4">
        <f t="shared" si="15"/>
        <v>1163977</v>
      </c>
      <c r="L20" s="4">
        <f t="shared" si="1"/>
        <v>6766780</v>
      </c>
      <c r="M20" s="4">
        <f t="shared" si="2"/>
        <v>103220</v>
      </c>
      <c r="N20" s="4"/>
      <c r="O20" s="4">
        <f t="shared" si="3"/>
        <v>0</v>
      </c>
      <c r="P20" s="4">
        <f t="shared" si="4"/>
        <v>103220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11"/>
      <c r="W20" s="4">
        <f t="shared" si="16"/>
        <v>0</v>
      </c>
      <c r="X20" s="4"/>
      <c r="Y20" s="4"/>
      <c r="Z20" s="3"/>
      <c r="AA20" s="323" t="s">
        <v>789</v>
      </c>
      <c r="AB20" s="3">
        <v>746000</v>
      </c>
      <c r="AC20" s="4"/>
      <c r="AD20" s="4"/>
      <c r="AE20" s="4"/>
      <c r="AF20" s="4"/>
      <c r="AG20" s="4"/>
      <c r="AH20" s="4"/>
      <c r="AI20" s="4"/>
      <c r="AJ20" s="4"/>
      <c r="AK20" s="4"/>
      <c r="AL20" s="4">
        <f t="shared" si="8"/>
        <v>0</v>
      </c>
      <c r="AM20" s="4"/>
      <c r="AN20" s="4">
        <f t="shared" si="9"/>
        <v>0</v>
      </c>
      <c r="AO20" s="4">
        <f t="shared" si="10"/>
        <v>0</v>
      </c>
      <c r="AP20" s="4"/>
      <c r="AQ20" s="4">
        <f t="shared" si="11"/>
        <v>0</v>
      </c>
      <c r="AR20" s="4"/>
      <c r="AS20" s="3"/>
      <c r="AT20" s="4"/>
      <c r="AU20" s="4"/>
      <c r="AV20" s="4">
        <f t="shared" si="12"/>
        <v>0</v>
      </c>
      <c r="AW20" s="3"/>
      <c r="AX20" s="4"/>
      <c r="AY20" s="4"/>
      <c r="AZ20" s="4"/>
      <c r="BA20" s="4">
        <f t="shared" si="13"/>
        <v>0</v>
      </c>
      <c r="BB20" s="4"/>
      <c r="BC20" s="3"/>
      <c r="BD20" s="3"/>
      <c r="BF20" s="191"/>
    </row>
    <row r="21" spans="1:58" s="5" customFormat="1" ht="19.95" customHeight="1">
      <c r="A21" s="3">
        <f t="shared" si="14"/>
        <v>15</v>
      </c>
      <c r="B21" s="3">
        <v>1504</v>
      </c>
      <c r="C21" s="3" t="s">
        <v>93</v>
      </c>
      <c r="D21" s="4">
        <v>1700000</v>
      </c>
      <c r="E21" s="4">
        <v>1700000</v>
      </c>
      <c r="F21" s="4">
        <f t="shared" si="0"/>
        <v>0</v>
      </c>
      <c r="G21" s="4">
        <v>1400000</v>
      </c>
      <c r="H21" s="4">
        <v>1352205</v>
      </c>
      <c r="I21" s="4"/>
      <c r="J21" s="4">
        <v>37919</v>
      </c>
      <c r="K21" s="4">
        <f t="shared" si="15"/>
        <v>37919</v>
      </c>
      <c r="L21" s="4">
        <f t="shared" si="1"/>
        <v>1390124</v>
      </c>
      <c r="M21" s="4">
        <f t="shared" si="2"/>
        <v>9876</v>
      </c>
      <c r="N21" s="4">
        <v>100000</v>
      </c>
      <c r="O21" s="4">
        <f t="shared" si="3"/>
        <v>200000</v>
      </c>
      <c r="P21" s="4">
        <f t="shared" si="4"/>
        <v>9876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100000</v>
      </c>
      <c r="V21" s="11">
        <f>U21-W21-X21-Y21-Z21</f>
        <v>100000</v>
      </c>
      <c r="W21" s="4"/>
      <c r="X21" s="4"/>
      <c r="Y21" s="4"/>
      <c r="Z21" s="3"/>
      <c r="AA21" s="323" t="s">
        <v>796</v>
      </c>
      <c r="AB21" s="3">
        <v>746000</v>
      </c>
      <c r="AC21" s="4"/>
      <c r="AD21" s="4"/>
      <c r="AE21" s="4"/>
      <c r="AF21" s="4">
        <v>100000</v>
      </c>
      <c r="AG21" s="4"/>
      <c r="AH21" s="4"/>
      <c r="AI21" s="4"/>
      <c r="AJ21" s="4"/>
      <c r="AK21" s="4"/>
      <c r="AL21" s="4">
        <f t="shared" si="8"/>
        <v>100000</v>
      </c>
      <c r="AM21" s="4"/>
      <c r="AN21" s="4">
        <f t="shared" si="9"/>
        <v>100000</v>
      </c>
      <c r="AO21" s="4">
        <f t="shared" si="10"/>
        <v>0</v>
      </c>
      <c r="AP21" s="4">
        <v>100000</v>
      </c>
      <c r="AQ21" s="4">
        <f t="shared" si="11"/>
        <v>0</v>
      </c>
      <c r="AR21" s="4"/>
      <c r="AS21" s="3"/>
      <c r="AT21" s="4"/>
      <c r="AU21" s="4"/>
      <c r="AV21" s="4">
        <f t="shared" si="12"/>
        <v>0</v>
      </c>
      <c r="AW21" s="3"/>
      <c r="AX21" s="4"/>
      <c r="AY21" s="4"/>
      <c r="AZ21" s="4"/>
      <c r="BA21" s="4">
        <f t="shared" si="13"/>
        <v>0</v>
      </c>
      <c r="BB21" s="4"/>
      <c r="BC21" s="3"/>
      <c r="BD21" s="3"/>
      <c r="BF21" s="191"/>
    </row>
    <row r="22" spans="1:58" s="5" customFormat="1" ht="27.6">
      <c r="A22" s="3">
        <f t="shared" si="14"/>
        <v>16</v>
      </c>
      <c r="B22" s="3">
        <v>1579</v>
      </c>
      <c r="C22" s="3" t="s">
        <v>614</v>
      </c>
      <c r="D22" s="4">
        <v>170000</v>
      </c>
      <c r="E22" s="4">
        <v>170000</v>
      </c>
      <c r="F22" s="4">
        <f t="shared" si="0"/>
        <v>0</v>
      </c>
      <c r="G22" s="4">
        <v>170000</v>
      </c>
      <c r="H22" s="4">
        <v>145723.28</v>
      </c>
      <c r="I22" s="4"/>
      <c r="J22" s="4">
        <v>918.98</v>
      </c>
      <c r="K22" s="4">
        <f t="shared" si="15"/>
        <v>918.98</v>
      </c>
      <c r="L22" s="4">
        <f t="shared" si="1"/>
        <v>146642.26</v>
      </c>
      <c r="M22" s="4">
        <f t="shared" si="2"/>
        <v>23357.739999999991</v>
      </c>
      <c r="N22" s="4">
        <v>0</v>
      </c>
      <c r="O22" s="4">
        <f t="shared" si="3"/>
        <v>0</v>
      </c>
      <c r="P22" s="4">
        <f t="shared" si="4"/>
        <v>23357.739999999991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0</v>
      </c>
      <c r="V22" s="11"/>
      <c r="W22" s="4">
        <f t="shared" si="16"/>
        <v>0</v>
      </c>
      <c r="X22" s="4"/>
      <c r="Y22" s="4"/>
      <c r="Z22" s="3"/>
      <c r="AA22" s="323"/>
      <c r="AB22" s="3">
        <v>870000</v>
      </c>
      <c r="AC22" s="4"/>
      <c r="AD22" s="4"/>
      <c r="AE22" s="4"/>
      <c r="AF22" s="4"/>
      <c r="AG22" s="4"/>
      <c r="AH22" s="4"/>
      <c r="AI22" s="4"/>
      <c r="AJ22" s="4"/>
      <c r="AK22" s="4"/>
      <c r="AL22" s="4">
        <f t="shared" si="8"/>
        <v>0</v>
      </c>
      <c r="AM22" s="4"/>
      <c r="AN22" s="4">
        <f t="shared" si="9"/>
        <v>0</v>
      </c>
      <c r="AO22" s="4">
        <f t="shared" si="10"/>
        <v>0</v>
      </c>
      <c r="AP22" s="4"/>
      <c r="AQ22" s="4">
        <f t="shared" si="11"/>
        <v>0</v>
      </c>
      <c r="AR22" s="4"/>
      <c r="AS22" s="3"/>
      <c r="AT22" s="4"/>
      <c r="AU22" s="4"/>
      <c r="AV22" s="4">
        <f t="shared" si="12"/>
        <v>0</v>
      </c>
      <c r="AW22" s="3"/>
      <c r="AX22" s="4"/>
      <c r="AY22" s="4"/>
      <c r="AZ22" s="4"/>
      <c r="BA22" s="4">
        <f t="shared" si="13"/>
        <v>0</v>
      </c>
      <c r="BB22" s="4"/>
      <c r="BC22" s="3"/>
      <c r="BD22" s="3"/>
      <c r="BF22" s="191"/>
    </row>
    <row r="23" spans="1:58" s="5" customFormat="1" ht="19.95" customHeight="1">
      <c r="A23" s="3">
        <f t="shared" si="14"/>
        <v>17</v>
      </c>
      <c r="B23" s="3">
        <v>1598</v>
      </c>
      <c r="C23" s="3" t="s">
        <v>78</v>
      </c>
      <c r="D23" s="4">
        <f>414500+35000+140000</f>
        <v>589500</v>
      </c>
      <c r="E23" s="4">
        <v>414500</v>
      </c>
      <c r="F23" s="4">
        <f t="shared" si="0"/>
        <v>175000</v>
      </c>
      <c r="G23" s="4">
        <v>334500</v>
      </c>
      <c r="H23" s="4">
        <v>222879</v>
      </c>
      <c r="I23" s="4"/>
      <c r="J23" s="4">
        <v>57353</v>
      </c>
      <c r="K23" s="4">
        <f t="shared" si="15"/>
        <v>57353</v>
      </c>
      <c r="L23" s="4">
        <f t="shared" si="1"/>
        <v>280232</v>
      </c>
      <c r="M23" s="4">
        <f t="shared" si="2"/>
        <v>134268</v>
      </c>
      <c r="N23" s="4">
        <f>35000+140000</f>
        <v>175000</v>
      </c>
      <c r="O23" s="4">
        <f t="shared" si="3"/>
        <v>0</v>
      </c>
      <c r="P23" s="4">
        <f t="shared" si="4"/>
        <v>54268</v>
      </c>
      <c r="Q23" s="4">
        <v>80000</v>
      </c>
      <c r="R23" s="4"/>
      <c r="S23" s="4">
        <f t="shared" si="5"/>
        <v>80000</v>
      </c>
      <c r="T23" s="4">
        <f t="shared" si="6"/>
        <v>0</v>
      </c>
      <c r="U23" s="4">
        <f t="shared" si="7"/>
        <v>175000</v>
      </c>
      <c r="V23" s="11"/>
      <c r="W23" s="4">
        <f t="shared" si="16"/>
        <v>35000</v>
      </c>
      <c r="X23" s="4"/>
      <c r="Y23" s="4"/>
      <c r="Z23" s="4">
        <v>140000</v>
      </c>
      <c r="AA23" s="323" t="s">
        <v>797</v>
      </c>
      <c r="AB23" s="3">
        <v>870000</v>
      </c>
      <c r="AC23" s="4"/>
      <c r="AD23" s="4"/>
      <c r="AE23" s="4"/>
      <c r="AF23" s="4">
        <f>175000-175000</f>
        <v>0</v>
      </c>
      <c r="AG23" s="4">
        <f>175000-175000</f>
        <v>0</v>
      </c>
      <c r="AH23" s="4">
        <f>20000-20000+20000</f>
        <v>20000</v>
      </c>
      <c r="AI23" s="4"/>
      <c r="AJ23" s="4">
        <v>15000</v>
      </c>
      <c r="AK23" s="4">
        <v>140000</v>
      </c>
      <c r="AL23" s="4">
        <f t="shared" si="8"/>
        <v>175000</v>
      </c>
      <c r="AM23" s="4"/>
      <c r="AN23" s="4">
        <f t="shared" si="9"/>
        <v>175000</v>
      </c>
      <c r="AO23" s="4">
        <f t="shared" si="10"/>
        <v>0</v>
      </c>
      <c r="AP23" s="4"/>
      <c r="AQ23" s="4">
        <f t="shared" si="11"/>
        <v>35000</v>
      </c>
      <c r="AR23" s="4"/>
      <c r="AS23" s="3"/>
      <c r="AT23" s="4">
        <v>140000</v>
      </c>
      <c r="AU23" s="4"/>
      <c r="AV23" s="4">
        <f t="shared" si="12"/>
        <v>0</v>
      </c>
      <c r="AW23" s="3"/>
      <c r="AX23" s="4"/>
      <c r="AY23" s="4"/>
      <c r="AZ23" s="4"/>
      <c r="BA23" s="4">
        <f t="shared" si="13"/>
        <v>0</v>
      </c>
      <c r="BB23" s="4"/>
      <c r="BC23" s="3"/>
      <c r="BD23" s="3"/>
      <c r="BF23" s="191"/>
    </row>
    <row r="24" spans="1:58" s="5" customFormat="1" ht="19.95" customHeight="1">
      <c r="A24" s="3">
        <f t="shared" si="14"/>
        <v>18</v>
      </c>
      <c r="B24" s="3">
        <v>1629</v>
      </c>
      <c r="C24" s="3" t="s">
        <v>94</v>
      </c>
      <c r="D24" s="4">
        <f>1400000-950000</f>
        <v>450000</v>
      </c>
      <c r="E24" s="4">
        <v>1400000</v>
      </c>
      <c r="F24" s="4">
        <f t="shared" si="0"/>
        <v>-950000</v>
      </c>
      <c r="G24" s="4">
        <v>450000</v>
      </c>
      <c r="H24" s="4">
        <v>349830.63</v>
      </c>
      <c r="I24" s="4"/>
      <c r="J24" s="4"/>
      <c r="K24" s="4">
        <f t="shared" si="15"/>
        <v>0</v>
      </c>
      <c r="L24" s="4">
        <f t="shared" si="1"/>
        <v>349830.63</v>
      </c>
      <c r="M24" s="4">
        <f t="shared" si="2"/>
        <v>100169.37</v>
      </c>
      <c r="N24" s="4">
        <f>500000-400000-100000</f>
        <v>0</v>
      </c>
      <c r="O24" s="4">
        <f t="shared" si="3"/>
        <v>0</v>
      </c>
      <c r="P24" s="4">
        <f t="shared" si="4"/>
        <v>100169.37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0</v>
      </c>
      <c r="V24" s="11"/>
      <c r="W24" s="4">
        <f t="shared" si="16"/>
        <v>0</v>
      </c>
      <c r="X24" s="4"/>
      <c r="Y24" s="4"/>
      <c r="Z24" s="3"/>
      <c r="AA24" s="323"/>
      <c r="AB24" s="3">
        <v>746000</v>
      </c>
      <c r="AC24" s="4"/>
      <c r="AD24" s="4"/>
      <c r="AE24" s="4"/>
      <c r="AF24" s="4"/>
      <c r="AG24" s="4"/>
      <c r="AH24" s="4"/>
      <c r="AI24" s="4"/>
      <c r="AJ24" s="4"/>
      <c r="AK24" s="4"/>
      <c r="AL24" s="4">
        <f t="shared" si="8"/>
        <v>0</v>
      </c>
      <c r="AM24" s="4"/>
      <c r="AN24" s="4">
        <f t="shared" si="9"/>
        <v>0</v>
      </c>
      <c r="AO24" s="4">
        <f t="shared" si="10"/>
        <v>0</v>
      </c>
      <c r="AP24" s="4"/>
      <c r="AQ24" s="4">
        <f t="shared" si="11"/>
        <v>0</v>
      </c>
      <c r="AR24" s="4"/>
      <c r="AS24" s="3"/>
      <c r="AT24" s="4"/>
      <c r="AU24" s="4"/>
      <c r="AV24" s="4">
        <f t="shared" si="12"/>
        <v>0</v>
      </c>
      <c r="AW24" s="3"/>
      <c r="AX24" s="4"/>
      <c r="AY24" s="4"/>
      <c r="AZ24" s="4"/>
      <c r="BA24" s="4">
        <f t="shared" si="13"/>
        <v>0</v>
      </c>
      <c r="BB24" s="4"/>
      <c r="BC24" s="3"/>
      <c r="BD24" s="3"/>
      <c r="BF24" s="191"/>
    </row>
    <row r="25" spans="1:58" s="5" customFormat="1" ht="19.95" customHeight="1">
      <c r="A25" s="3">
        <f t="shared" si="14"/>
        <v>19</v>
      </c>
      <c r="B25" s="3">
        <v>1680</v>
      </c>
      <c r="C25" s="3" t="s">
        <v>95</v>
      </c>
      <c r="D25" s="4">
        <v>950000</v>
      </c>
      <c r="E25" s="4">
        <v>950000</v>
      </c>
      <c r="F25" s="4">
        <f t="shared" si="0"/>
        <v>0</v>
      </c>
      <c r="G25" s="4">
        <v>300000</v>
      </c>
      <c r="H25" s="4">
        <v>88803</v>
      </c>
      <c r="I25" s="4"/>
      <c r="J25" s="4">
        <v>49440</v>
      </c>
      <c r="K25" s="4">
        <f t="shared" si="15"/>
        <v>49440</v>
      </c>
      <c r="L25" s="4">
        <f t="shared" si="1"/>
        <v>138243</v>
      </c>
      <c r="M25" s="4">
        <f t="shared" si="2"/>
        <v>161757</v>
      </c>
      <c r="N25" s="4">
        <f>400000-200000</f>
        <v>200000</v>
      </c>
      <c r="O25" s="4">
        <f t="shared" si="3"/>
        <v>450000</v>
      </c>
      <c r="P25" s="4">
        <f t="shared" si="4"/>
        <v>161757</v>
      </c>
      <c r="Q25" s="4">
        <v>0</v>
      </c>
      <c r="R25" s="4"/>
      <c r="S25" s="4">
        <f t="shared" si="5"/>
        <v>0</v>
      </c>
      <c r="T25" s="4">
        <f t="shared" si="6"/>
        <v>0</v>
      </c>
      <c r="U25" s="4">
        <f t="shared" si="7"/>
        <v>200000</v>
      </c>
      <c r="V25" s="11"/>
      <c r="W25" s="4">
        <f t="shared" si="16"/>
        <v>200000</v>
      </c>
      <c r="X25" s="4"/>
      <c r="Y25" s="4"/>
      <c r="Z25" s="3"/>
      <c r="AA25" s="323" t="s">
        <v>798</v>
      </c>
      <c r="AB25" s="3">
        <v>746000</v>
      </c>
      <c r="AC25" s="4"/>
      <c r="AD25" s="4">
        <v>70000</v>
      </c>
      <c r="AE25" s="4"/>
      <c r="AF25" s="4"/>
      <c r="AG25" s="4">
        <v>130000</v>
      </c>
      <c r="AH25" s="4"/>
      <c r="AI25" s="4"/>
      <c r="AJ25" s="4"/>
      <c r="AK25" s="4"/>
      <c r="AL25" s="4">
        <f t="shared" si="8"/>
        <v>200000</v>
      </c>
      <c r="AM25" s="4"/>
      <c r="AN25" s="4">
        <f t="shared" si="9"/>
        <v>200000</v>
      </c>
      <c r="AO25" s="4">
        <f t="shared" si="10"/>
        <v>0</v>
      </c>
      <c r="AP25" s="4"/>
      <c r="AQ25" s="4">
        <f t="shared" si="11"/>
        <v>200000</v>
      </c>
      <c r="AR25" s="4"/>
      <c r="AS25" s="3"/>
      <c r="AT25" s="4"/>
      <c r="AU25" s="4"/>
      <c r="AV25" s="4">
        <f t="shared" si="12"/>
        <v>0</v>
      </c>
      <c r="AW25" s="3"/>
      <c r="AX25" s="4"/>
      <c r="AY25" s="4"/>
      <c r="AZ25" s="4"/>
      <c r="BA25" s="4">
        <f t="shared" si="13"/>
        <v>0</v>
      </c>
      <c r="BB25" s="4"/>
      <c r="BC25" s="3"/>
      <c r="BD25" s="3"/>
      <c r="BF25" s="191"/>
    </row>
    <row r="26" spans="1:58" s="5" customFormat="1" ht="19.95" customHeight="1">
      <c r="A26" s="3">
        <f t="shared" si="14"/>
        <v>20</v>
      </c>
      <c r="B26" s="3">
        <v>1831</v>
      </c>
      <c r="C26" s="3" t="s">
        <v>178</v>
      </c>
      <c r="D26" s="4">
        <f>166059-20000</f>
        <v>146059</v>
      </c>
      <c r="E26" s="4">
        <v>166059</v>
      </c>
      <c r="F26" s="4">
        <f t="shared" si="0"/>
        <v>-20000</v>
      </c>
      <c r="G26" s="4">
        <v>146059</v>
      </c>
      <c r="H26" s="4">
        <v>38025</v>
      </c>
      <c r="I26" s="4"/>
      <c r="J26" s="4"/>
      <c r="K26" s="4">
        <f t="shared" si="15"/>
        <v>0</v>
      </c>
      <c r="L26" s="4">
        <f t="shared" si="1"/>
        <v>38025</v>
      </c>
      <c r="M26" s="4">
        <f t="shared" si="2"/>
        <v>108034</v>
      </c>
      <c r="N26" s="4"/>
      <c r="O26" s="4">
        <f t="shared" si="3"/>
        <v>0</v>
      </c>
      <c r="P26" s="4">
        <f t="shared" si="4"/>
        <v>108034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11"/>
      <c r="W26" s="4">
        <f t="shared" si="16"/>
        <v>0</v>
      </c>
      <c r="X26" s="4"/>
      <c r="Y26" s="4"/>
      <c r="Z26" s="3"/>
      <c r="AA26" s="375"/>
      <c r="AB26" s="3">
        <v>870000</v>
      </c>
      <c r="AC26" s="4"/>
      <c r="AD26" s="4"/>
      <c r="AE26" s="4"/>
      <c r="AF26" s="4"/>
      <c r="AG26" s="4"/>
      <c r="AH26" s="4"/>
      <c r="AI26" s="4"/>
      <c r="AJ26" s="4"/>
      <c r="AK26" s="4"/>
      <c r="AL26" s="4">
        <f t="shared" si="8"/>
        <v>0</v>
      </c>
      <c r="AM26" s="4"/>
      <c r="AN26" s="4">
        <f t="shared" si="9"/>
        <v>0</v>
      </c>
      <c r="AO26" s="4">
        <f t="shared" si="10"/>
        <v>0</v>
      </c>
      <c r="AP26" s="4"/>
      <c r="AQ26" s="4">
        <f t="shared" si="11"/>
        <v>0</v>
      </c>
      <c r="AR26" s="4"/>
      <c r="AS26" s="3"/>
      <c r="AT26" s="4"/>
      <c r="AU26" s="4"/>
      <c r="AV26" s="4">
        <f t="shared" si="12"/>
        <v>0</v>
      </c>
      <c r="AW26" s="3"/>
      <c r="AX26" s="4"/>
      <c r="AY26" s="4"/>
      <c r="AZ26" s="4"/>
      <c r="BA26" s="4">
        <f t="shared" si="13"/>
        <v>0</v>
      </c>
      <c r="BB26" s="4"/>
      <c r="BC26" s="3"/>
      <c r="BD26" s="3"/>
      <c r="BF26" s="191"/>
    </row>
    <row r="27" spans="1:58" s="5" customFormat="1" ht="27.6">
      <c r="A27" s="3">
        <f t="shared" si="14"/>
        <v>21</v>
      </c>
      <c r="B27" s="188">
        <v>1861</v>
      </c>
      <c r="C27" s="188" t="s">
        <v>984</v>
      </c>
      <c r="D27" s="4">
        <v>270000</v>
      </c>
      <c r="E27" s="4">
        <v>270000</v>
      </c>
      <c r="F27" s="4">
        <f t="shared" si="0"/>
        <v>0</v>
      </c>
      <c r="G27" s="4">
        <v>270000</v>
      </c>
      <c r="H27" s="4">
        <v>138589.71</v>
      </c>
      <c r="I27" s="4"/>
      <c r="J27" s="4">
        <v>131407.82</v>
      </c>
      <c r="K27" s="4">
        <f t="shared" si="15"/>
        <v>131407.82</v>
      </c>
      <c r="L27" s="4">
        <f t="shared" si="1"/>
        <v>269997.53000000003</v>
      </c>
      <c r="M27" s="4">
        <f t="shared" si="2"/>
        <v>2.4699999999720603</v>
      </c>
      <c r="N27" s="4"/>
      <c r="O27" s="4">
        <f t="shared" si="3"/>
        <v>0</v>
      </c>
      <c r="P27" s="4">
        <f t="shared" si="4"/>
        <v>2.4699999999720603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0</v>
      </c>
      <c r="V27" s="11"/>
      <c r="W27" s="4">
        <f t="shared" si="16"/>
        <v>0</v>
      </c>
      <c r="X27" s="4"/>
      <c r="Y27" s="4"/>
      <c r="Z27" s="3"/>
      <c r="AA27" s="474"/>
      <c r="AB27" s="3">
        <v>714000</v>
      </c>
      <c r="AC27" s="4"/>
      <c r="AD27" s="4"/>
      <c r="AE27" s="4"/>
      <c r="AF27" s="4"/>
      <c r="AG27" s="4"/>
      <c r="AH27" s="4"/>
      <c r="AI27" s="4"/>
      <c r="AJ27" s="4"/>
      <c r="AK27" s="4"/>
      <c r="AL27" s="4">
        <f t="shared" si="8"/>
        <v>0</v>
      </c>
      <c r="AM27" s="4"/>
      <c r="AN27" s="4">
        <f t="shared" si="9"/>
        <v>0</v>
      </c>
      <c r="AO27" s="4">
        <f t="shared" si="10"/>
        <v>0</v>
      </c>
      <c r="AP27" s="4"/>
      <c r="AQ27" s="4">
        <f t="shared" si="11"/>
        <v>0</v>
      </c>
      <c r="AR27" s="4"/>
      <c r="AS27" s="3"/>
      <c r="AT27" s="4"/>
      <c r="AU27" s="4"/>
      <c r="AV27" s="4">
        <f t="shared" si="12"/>
        <v>0</v>
      </c>
      <c r="AW27" s="3"/>
      <c r="AX27" s="4"/>
      <c r="AY27" s="4"/>
      <c r="AZ27" s="4"/>
      <c r="BA27" s="4">
        <f t="shared" si="13"/>
        <v>0</v>
      </c>
      <c r="BB27" s="4"/>
      <c r="BC27" s="3"/>
      <c r="BD27" s="3"/>
      <c r="BF27" s="191"/>
    </row>
    <row r="28" spans="1:58" s="5" customFormat="1" ht="19.95" customHeight="1">
      <c r="A28" s="3">
        <f t="shared" si="14"/>
        <v>22</v>
      </c>
      <c r="B28" s="3">
        <v>1866</v>
      </c>
      <c r="C28" s="3" t="s">
        <v>181</v>
      </c>
      <c r="D28" s="4">
        <v>300000</v>
      </c>
      <c r="E28" s="4">
        <v>300000</v>
      </c>
      <c r="F28" s="4">
        <f t="shared" si="0"/>
        <v>0</v>
      </c>
      <c r="G28" s="4">
        <v>150000</v>
      </c>
      <c r="H28" s="4">
        <v>94624</v>
      </c>
      <c r="I28" s="4"/>
      <c r="J28" s="4">
        <v>51739</v>
      </c>
      <c r="K28" s="4">
        <f t="shared" si="15"/>
        <v>51739</v>
      </c>
      <c r="L28" s="4">
        <f t="shared" si="1"/>
        <v>146363</v>
      </c>
      <c r="M28" s="4">
        <f t="shared" si="2"/>
        <v>3637</v>
      </c>
      <c r="N28" s="4">
        <v>75000</v>
      </c>
      <c r="O28" s="4">
        <f t="shared" si="3"/>
        <v>75000</v>
      </c>
      <c r="P28" s="4">
        <f t="shared" si="4"/>
        <v>3637</v>
      </c>
      <c r="Q28" s="4"/>
      <c r="R28" s="4"/>
      <c r="S28" s="4">
        <f t="shared" si="5"/>
        <v>0</v>
      </c>
      <c r="T28" s="4">
        <f t="shared" si="6"/>
        <v>0</v>
      </c>
      <c r="U28" s="4">
        <f t="shared" si="7"/>
        <v>75000</v>
      </c>
      <c r="V28" s="11"/>
      <c r="W28" s="4">
        <f t="shared" si="16"/>
        <v>75000</v>
      </c>
      <c r="X28" s="4"/>
      <c r="Y28" s="4"/>
      <c r="Z28" s="3"/>
      <c r="AA28" s="474" t="s">
        <v>543</v>
      </c>
      <c r="AB28" s="3">
        <v>870000</v>
      </c>
      <c r="AC28" s="4">
        <v>75000</v>
      </c>
      <c r="AD28" s="4"/>
      <c r="AE28" s="4"/>
      <c r="AF28" s="4"/>
      <c r="AG28" s="4"/>
      <c r="AH28" s="4"/>
      <c r="AI28" s="4"/>
      <c r="AJ28" s="4"/>
      <c r="AK28" s="4"/>
      <c r="AL28" s="4">
        <f t="shared" si="8"/>
        <v>75000</v>
      </c>
      <c r="AM28" s="4"/>
      <c r="AN28" s="4">
        <f t="shared" si="9"/>
        <v>75000</v>
      </c>
      <c r="AO28" s="4">
        <f t="shared" si="10"/>
        <v>0</v>
      </c>
      <c r="AP28" s="4"/>
      <c r="AQ28" s="4">
        <f t="shared" si="11"/>
        <v>75000</v>
      </c>
      <c r="AR28" s="4"/>
      <c r="AS28" s="3"/>
      <c r="AT28" s="4"/>
      <c r="AU28" s="4"/>
      <c r="AV28" s="4">
        <f t="shared" si="12"/>
        <v>0</v>
      </c>
      <c r="AW28" s="3"/>
      <c r="AX28" s="4"/>
      <c r="AY28" s="4"/>
      <c r="AZ28" s="4"/>
      <c r="BA28" s="4">
        <f t="shared" si="13"/>
        <v>0</v>
      </c>
      <c r="BB28" s="4"/>
      <c r="BC28" s="3"/>
      <c r="BD28" s="3"/>
      <c r="BF28" s="191"/>
    </row>
    <row r="29" spans="1:58" s="5" customFormat="1" ht="19.95" customHeight="1">
      <c r="A29" s="3">
        <f t="shared" si="14"/>
        <v>23</v>
      </c>
      <c r="B29" s="3">
        <v>1899</v>
      </c>
      <c r="C29" s="3" t="s">
        <v>197</v>
      </c>
      <c r="D29" s="4">
        <f>1000000-500000</f>
        <v>500000</v>
      </c>
      <c r="E29" s="4">
        <v>500000</v>
      </c>
      <c r="F29" s="4">
        <f t="shared" si="0"/>
        <v>0</v>
      </c>
      <c r="G29" s="4">
        <v>170000</v>
      </c>
      <c r="H29" s="4">
        <v>169983.45</v>
      </c>
      <c r="I29" s="4"/>
      <c r="J29" s="4"/>
      <c r="K29" s="4">
        <f t="shared" si="15"/>
        <v>0</v>
      </c>
      <c r="L29" s="4">
        <f t="shared" si="1"/>
        <v>169983.45</v>
      </c>
      <c r="M29" s="4">
        <f t="shared" si="2"/>
        <v>16.549999999988358</v>
      </c>
      <c r="N29" s="4">
        <f>500000-250000+50000</f>
        <v>300000</v>
      </c>
      <c r="O29" s="4">
        <f t="shared" si="3"/>
        <v>30000</v>
      </c>
      <c r="P29" s="4">
        <f t="shared" si="4"/>
        <v>16.549999999988358</v>
      </c>
      <c r="Q29" s="4"/>
      <c r="R29" s="4"/>
      <c r="S29" s="4">
        <f t="shared" si="5"/>
        <v>0</v>
      </c>
      <c r="T29" s="4">
        <f t="shared" si="6"/>
        <v>0</v>
      </c>
      <c r="U29" s="4">
        <f t="shared" si="7"/>
        <v>300000</v>
      </c>
      <c r="V29" s="11"/>
      <c r="W29" s="4">
        <f t="shared" si="16"/>
        <v>300000</v>
      </c>
      <c r="X29" s="4"/>
      <c r="Y29" s="4"/>
      <c r="Z29" s="3"/>
      <c r="AA29" s="323" t="s">
        <v>544</v>
      </c>
      <c r="AB29" s="3">
        <v>870000</v>
      </c>
      <c r="AC29" s="4"/>
      <c r="AD29" s="4"/>
      <c r="AE29" s="4">
        <v>100000</v>
      </c>
      <c r="AF29" s="4"/>
      <c r="AG29" s="4"/>
      <c r="AH29" s="4"/>
      <c r="AI29" s="4"/>
      <c r="AJ29" s="4">
        <v>200000</v>
      </c>
      <c r="AK29" s="4"/>
      <c r="AL29" s="4">
        <f t="shared" si="8"/>
        <v>300000</v>
      </c>
      <c r="AM29" s="4"/>
      <c r="AN29" s="4">
        <f t="shared" si="9"/>
        <v>300000</v>
      </c>
      <c r="AO29" s="4">
        <f t="shared" si="10"/>
        <v>0</v>
      </c>
      <c r="AP29" s="4"/>
      <c r="AQ29" s="4">
        <f t="shared" si="11"/>
        <v>300000</v>
      </c>
      <c r="AR29" s="4"/>
      <c r="AS29" s="3"/>
      <c r="AT29" s="4"/>
      <c r="AU29" s="4"/>
      <c r="AV29" s="4">
        <f t="shared" si="12"/>
        <v>0</v>
      </c>
      <c r="AW29" s="3"/>
      <c r="AX29" s="4"/>
      <c r="AY29" s="4"/>
      <c r="AZ29" s="4"/>
      <c r="BA29" s="4">
        <f t="shared" si="13"/>
        <v>0</v>
      </c>
      <c r="BB29" s="4"/>
      <c r="BC29" s="3"/>
      <c r="BD29" s="3"/>
      <c r="BF29" s="191"/>
    </row>
    <row r="30" spans="1:58" s="5" customFormat="1" ht="19.95" customHeight="1">
      <c r="A30" s="3">
        <f t="shared" si="14"/>
        <v>24</v>
      </c>
      <c r="B30" s="3">
        <v>1922</v>
      </c>
      <c r="C30" s="3" t="s">
        <v>179</v>
      </c>
      <c r="D30" s="4">
        <v>330000</v>
      </c>
      <c r="E30" s="4">
        <v>330000</v>
      </c>
      <c r="F30" s="4">
        <f t="shared" si="0"/>
        <v>0</v>
      </c>
      <c r="G30" s="4">
        <v>150000</v>
      </c>
      <c r="H30" s="4">
        <v>22669</v>
      </c>
      <c r="I30" s="4"/>
      <c r="J30" s="4">
        <v>0</v>
      </c>
      <c r="K30" s="4">
        <f t="shared" si="15"/>
        <v>0</v>
      </c>
      <c r="L30" s="4">
        <f t="shared" si="1"/>
        <v>22669</v>
      </c>
      <c r="M30" s="4">
        <f t="shared" si="2"/>
        <v>177331</v>
      </c>
      <c r="N30" s="4"/>
      <c r="O30" s="4">
        <f t="shared" si="3"/>
        <v>130000</v>
      </c>
      <c r="P30" s="4">
        <f t="shared" si="4"/>
        <v>127331</v>
      </c>
      <c r="Q30" s="4">
        <v>50000</v>
      </c>
      <c r="R30" s="4"/>
      <c r="S30" s="4">
        <f t="shared" si="5"/>
        <v>50000</v>
      </c>
      <c r="T30" s="4">
        <f t="shared" si="6"/>
        <v>0</v>
      </c>
      <c r="U30" s="4">
        <f t="shared" si="7"/>
        <v>0</v>
      </c>
      <c r="V30" s="11"/>
      <c r="W30" s="4">
        <f t="shared" si="16"/>
        <v>0</v>
      </c>
      <c r="X30" s="4"/>
      <c r="Y30" s="4"/>
      <c r="Z30" s="3"/>
      <c r="AA30" s="375"/>
      <c r="AB30" s="3">
        <v>870000</v>
      </c>
      <c r="AC30" s="4"/>
      <c r="AD30" s="4"/>
      <c r="AE30" s="4"/>
      <c r="AF30" s="4"/>
      <c r="AG30" s="4"/>
      <c r="AH30" s="4"/>
      <c r="AI30" s="4"/>
      <c r="AJ30" s="4"/>
      <c r="AK30" s="4"/>
      <c r="AL30" s="4">
        <f t="shared" si="8"/>
        <v>0</v>
      </c>
      <c r="AM30" s="4"/>
      <c r="AN30" s="4">
        <f t="shared" si="9"/>
        <v>0</v>
      </c>
      <c r="AO30" s="4">
        <f t="shared" si="10"/>
        <v>0</v>
      </c>
      <c r="AP30" s="4"/>
      <c r="AQ30" s="4">
        <f t="shared" si="11"/>
        <v>0</v>
      </c>
      <c r="AR30" s="4"/>
      <c r="AS30" s="3"/>
      <c r="AT30" s="4"/>
      <c r="AU30" s="4"/>
      <c r="AV30" s="4">
        <f t="shared" si="12"/>
        <v>0</v>
      </c>
      <c r="AW30" s="3"/>
      <c r="AX30" s="4"/>
      <c r="AY30" s="4"/>
      <c r="AZ30" s="4"/>
      <c r="BA30" s="4">
        <f t="shared" si="13"/>
        <v>0</v>
      </c>
      <c r="BB30" s="4"/>
      <c r="BC30" s="3"/>
      <c r="BD30" s="3"/>
      <c r="BF30" s="191"/>
    </row>
    <row r="31" spans="1:58" s="5" customFormat="1" ht="19.95" customHeight="1">
      <c r="A31" s="3">
        <f t="shared" si="14"/>
        <v>25</v>
      </c>
      <c r="B31" s="3">
        <v>1971</v>
      </c>
      <c r="C31" s="3" t="s">
        <v>198</v>
      </c>
      <c r="D31" s="4">
        <v>500000</v>
      </c>
      <c r="E31" s="4">
        <v>2500000</v>
      </c>
      <c r="F31" s="4">
        <f t="shared" si="0"/>
        <v>-2000000</v>
      </c>
      <c r="G31" s="4">
        <v>500000</v>
      </c>
      <c r="H31" s="4">
        <v>11700</v>
      </c>
      <c r="I31" s="4"/>
      <c r="J31" s="4">
        <v>175849.65</v>
      </c>
      <c r="K31" s="4">
        <f t="shared" si="15"/>
        <v>175849.65</v>
      </c>
      <c r="L31" s="4">
        <f t="shared" si="1"/>
        <v>187549.65</v>
      </c>
      <c r="M31" s="4">
        <f t="shared" si="2"/>
        <v>312450.34999999998</v>
      </c>
      <c r="N31" s="4"/>
      <c r="O31" s="4">
        <f t="shared" si="3"/>
        <v>0</v>
      </c>
      <c r="P31" s="4">
        <f t="shared" si="4"/>
        <v>312450.34999999998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11"/>
      <c r="W31" s="4">
        <f t="shared" si="16"/>
        <v>0</v>
      </c>
      <c r="X31" s="4"/>
      <c r="Y31" s="4"/>
      <c r="Z31" s="3"/>
      <c r="AA31" s="375"/>
      <c r="AB31" s="3">
        <v>746000</v>
      </c>
      <c r="AC31" s="4"/>
      <c r="AD31" s="4"/>
      <c r="AE31" s="4"/>
      <c r="AF31" s="4"/>
      <c r="AG31" s="4"/>
      <c r="AH31" s="4"/>
      <c r="AI31" s="4"/>
      <c r="AJ31" s="4"/>
      <c r="AK31" s="4"/>
      <c r="AL31" s="4">
        <f t="shared" si="8"/>
        <v>0</v>
      </c>
      <c r="AM31" s="4"/>
      <c r="AN31" s="4">
        <f t="shared" si="9"/>
        <v>0</v>
      </c>
      <c r="AO31" s="4">
        <f t="shared" si="10"/>
        <v>0</v>
      </c>
      <c r="AP31" s="4"/>
      <c r="AQ31" s="4">
        <f t="shared" si="11"/>
        <v>0</v>
      </c>
      <c r="AR31" s="4"/>
      <c r="AS31" s="3"/>
      <c r="AT31" s="4"/>
      <c r="AU31" s="4"/>
      <c r="AV31" s="4">
        <f t="shared" si="12"/>
        <v>0</v>
      </c>
      <c r="AW31" s="3"/>
      <c r="AX31" s="4"/>
      <c r="AY31" s="4"/>
      <c r="AZ31" s="4"/>
      <c r="BA31" s="4">
        <f t="shared" si="13"/>
        <v>0</v>
      </c>
      <c r="BB31" s="4"/>
      <c r="BC31" s="3"/>
      <c r="BD31" s="3"/>
      <c r="BF31" s="191"/>
    </row>
    <row r="32" spans="1:58" s="5" customFormat="1" ht="19.95" customHeight="1">
      <c r="A32" s="3">
        <f t="shared" si="14"/>
        <v>26</v>
      </c>
      <c r="B32" s="3">
        <v>1973</v>
      </c>
      <c r="C32" s="3" t="s">
        <v>199</v>
      </c>
      <c r="D32" s="4">
        <v>1800000</v>
      </c>
      <c r="E32" s="4">
        <v>1800000</v>
      </c>
      <c r="F32" s="4">
        <f t="shared" si="0"/>
        <v>0</v>
      </c>
      <c r="G32" s="4">
        <v>900000</v>
      </c>
      <c r="H32" s="4">
        <v>239713.26</v>
      </c>
      <c r="I32" s="4"/>
      <c r="J32" s="4">
        <v>30771</v>
      </c>
      <c r="K32" s="4">
        <f t="shared" si="15"/>
        <v>30771</v>
      </c>
      <c r="L32" s="4">
        <f t="shared" si="1"/>
        <v>270484.26</v>
      </c>
      <c r="M32" s="4">
        <f t="shared" si="2"/>
        <v>629515.74</v>
      </c>
      <c r="N32" s="4">
        <f>300000-200000</f>
        <v>100000</v>
      </c>
      <c r="O32" s="4">
        <f t="shared" si="3"/>
        <v>800000</v>
      </c>
      <c r="P32" s="4">
        <f t="shared" si="4"/>
        <v>629515.74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100000</v>
      </c>
      <c r="V32" s="11"/>
      <c r="W32" s="4">
        <f t="shared" si="16"/>
        <v>100000</v>
      </c>
      <c r="X32" s="4"/>
      <c r="Y32" s="4"/>
      <c r="Z32" s="3"/>
      <c r="AA32" s="323" t="s">
        <v>799</v>
      </c>
      <c r="AB32" s="3">
        <v>742000</v>
      </c>
      <c r="AC32" s="4"/>
      <c r="AD32" s="4"/>
      <c r="AE32" s="4"/>
      <c r="AF32" s="4"/>
      <c r="AG32" s="4"/>
      <c r="AH32" s="4"/>
      <c r="AI32" s="4"/>
      <c r="AJ32" s="4"/>
      <c r="AK32" s="4"/>
      <c r="AL32" s="4">
        <f t="shared" si="8"/>
        <v>0</v>
      </c>
      <c r="AM32" s="4"/>
      <c r="AN32" s="4">
        <f t="shared" si="9"/>
        <v>0</v>
      </c>
      <c r="AO32" s="4">
        <f t="shared" si="10"/>
        <v>100000</v>
      </c>
      <c r="AP32" s="4"/>
      <c r="AQ32" s="4">
        <f t="shared" si="11"/>
        <v>0</v>
      </c>
      <c r="AR32" s="4"/>
      <c r="AS32" s="3"/>
      <c r="AT32" s="4"/>
      <c r="AU32" s="4"/>
      <c r="AV32" s="4">
        <f t="shared" si="12"/>
        <v>0</v>
      </c>
      <c r="AW32" s="3"/>
      <c r="AX32" s="4"/>
      <c r="AY32" s="4"/>
      <c r="AZ32" s="4"/>
      <c r="BA32" s="4">
        <f t="shared" si="13"/>
        <v>100000</v>
      </c>
      <c r="BB32" s="4"/>
      <c r="BC32" s="3"/>
      <c r="BD32" s="3"/>
      <c r="BF32" s="191"/>
    </row>
    <row r="33" spans="1:58" s="5" customFormat="1" ht="27.6">
      <c r="A33" s="3">
        <f t="shared" si="14"/>
        <v>27</v>
      </c>
      <c r="B33" s="188">
        <v>1974</v>
      </c>
      <c r="C33" s="188" t="s">
        <v>985</v>
      </c>
      <c r="D33" s="4">
        <f>500000-400000-40000</f>
        <v>60000</v>
      </c>
      <c r="E33" s="4">
        <v>500000</v>
      </c>
      <c r="F33" s="4">
        <f t="shared" si="0"/>
        <v>-440000</v>
      </c>
      <c r="G33" s="4">
        <v>100000</v>
      </c>
      <c r="H33" s="4">
        <v>45565.72</v>
      </c>
      <c r="I33" s="4"/>
      <c r="J33" s="4">
        <v>9977.16</v>
      </c>
      <c r="K33" s="4">
        <f t="shared" si="15"/>
        <v>9977.16</v>
      </c>
      <c r="L33" s="4">
        <f t="shared" si="1"/>
        <v>55542.880000000005</v>
      </c>
      <c r="M33" s="4">
        <f>P33+S33-40000</f>
        <v>4457.1199999999953</v>
      </c>
      <c r="N33" s="4"/>
      <c r="O33" s="4">
        <f t="shared" si="3"/>
        <v>0</v>
      </c>
      <c r="P33" s="4">
        <f t="shared" si="4"/>
        <v>44457.119999999995</v>
      </c>
      <c r="Q33" s="4"/>
      <c r="R33" s="4"/>
      <c r="S33" s="4">
        <f t="shared" si="5"/>
        <v>0</v>
      </c>
      <c r="T33" s="4">
        <f t="shared" si="6"/>
        <v>40000</v>
      </c>
      <c r="U33" s="4">
        <f t="shared" si="7"/>
        <v>-40000</v>
      </c>
      <c r="V33" s="11"/>
      <c r="W33" s="4">
        <f t="shared" si="16"/>
        <v>-40000</v>
      </c>
      <c r="X33" s="4"/>
      <c r="Y33" s="4"/>
      <c r="Z33" s="3"/>
      <c r="AA33" s="375"/>
      <c r="AB33" s="3">
        <v>746000</v>
      </c>
      <c r="AC33" s="4"/>
      <c r="AD33" s="4"/>
      <c r="AE33" s="4">
        <v>-40000</v>
      </c>
      <c r="AF33" s="4"/>
      <c r="AG33" s="4"/>
      <c r="AH33" s="4"/>
      <c r="AI33" s="4"/>
      <c r="AJ33" s="4"/>
      <c r="AK33" s="4"/>
      <c r="AL33" s="4">
        <f t="shared" si="8"/>
        <v>-40000</v>
      </c>
      <c r="AM33" s="4"/>
      <c r="AN33" s="4">
        <f t="shared" si="9"/>
        <v>-40000</v>
      </c>
      <c r="AO33" s="4">
        <f t="shared" si="10"/>
        <v>0</v>
      </c>
      <c r="AP33" s="4"/>
      <c r="AQ33" s="4">
        <f t="shared" si="11"/>
        <v>-40000</v>
      </c>
      <c r="AR33" s="4"/>
      <c r="AS33" s="3"/>
      <c r="AT33" s="4"/>
      <c r="AU33" s="4"/>
      <c r="AV33" s="4">
        <f t="shared" si="12"/>
        <v>0</v>
      </c>
      <c r="AW33" s="3"/>
      <c r="AX33" s="4"/>
      <c r="AY33" s="4"/>
      <c r="AZ33" s="4"/>
      <c r="BA33" s="4">
        <f t="shared" si="13"/>
        <v>0</v>
      </c>
      <c r="BB33" s="4"/>
      <c r="BC33" s="3"/>
      <c r="BD33" s="3"/>
      <c r="BF33" s="191"/>
    </row>
    <row r="34" spans="1:58" s="5" customFormat="1" ht="19.95" customHeight="1">
      <c r="A34" s="3">
        <f t="shared" si="14"/>
        <v>28</v>
      </c>
      <c r="B34" s="3">
        <v>1989</v>
      </c>
      <c r="C34" s="3" t="s">
        <v>792</v>
      </c>
      <c r="D34" s="4">
        <v>860000</v>
      </c>
      <c r="E34" s="4">
        <v>860000</v>
      </c>
      <c r="F34" s="4">
        <f t="shared" si="0"/>
        <v>0</v>
      </c>
      <c r="G34" s="4">
        <v>505000</v>
      </c>
      <c r="H34" s="4">
        <v>0</v>
      </c>
      <c r="I34" s="4"/>
      <c r="J34" s="4">
        <v>501538.51</v>
      </c>
      <c r="K34" s="4">
        <f t="shared" si="15"/>
        <v>501538.51</v>
      </c>
      <c r="L34" s="4">
        <f t="shared" si="1"/>
        <v>501538.51</v>
      </c>
      <c r="M34" s="4">
        <f t="shared" si="2"/>
        <v>3461.4899999999907</v>
      </c>
      <c r="N34" s="4">
        <v>355000</v>
      </c>
      <c r="O34" s="4">
        <f t="shared" si="3"/>
        <v>0</v>
      </c>
      <c r="P34" s="4">
        <f t="shared" si="4"/>
        <v>3461.4899999999907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355000</v>
      </c>
      <c r="V34" s="11">
        <f>U34-W34-X34-Y34-Z34</f>
        <v>355000</v>
      </c>
      <c r="W34" s="4"/>
      <c r="X34" s="4"/>
      <c r="Y34" s="4"/>
      <c r="Z34" s="3"/>
      <c r="AA34" s="474" t="s">
        <v>545</v>
      </c>
      <c r="AB34" s="3">
        <v>746000</v>
      </c>
      <c r="AC34" s="4"/>
      <c r="AD34" s="4"/>
      <c r="AE34" s="4">
        <v>150000</v>
      </c>
      <c r="AF34" s="4"/>
      <c r="AG34" s="4"/>
      <c r="AH34" s="4"/>
      <c r="AI34" s="4"/>
      <c r="AJ34" s="4"/>
      <c r="AK34" s="4">
        <v>205000</v>
      </c>
      <c r="AL34" s="4">
        <f t="shared" si="8"/>
        <v>355000</v>
      </c>
      <c r="AM34" s="4"/>
      <c r="AN34" s="4">
        <f t="shared" si="9"/>
        <v>355000</v>
      </c>
      <c r="AO34" s="4">
        <f t="shared" si="10"/>
        <v>0</v>
      </c>
      <c r="AP34" s="4">
        <v>355000</v>
      </c>
      <c r="AQ34" s="4">
        <f t="shared" si="11"/>
        <v>0</v>
      </c>
      <c r="AR34" s="4"/>
      <c r="AS34" s="3"/>
      <c r="AT34" s="4"/>
      <c r="AU34" s="4"/>
      <c r="AV34" s="4">
        <f t="shared" si="12"/>
        <v>0</v>
      </c>
      <c r="AW34" s="3"/>
      <c r="AX34" s="4"/>
      <c r="AY34" s="4"/>
      <c r="AZ34" s="4"/>
      <c r="BA34" s="4">
        <f t="shared" si="13"/>
        <v>0</v>
      </c>
      <c r="BB34" s="4"/>
      <c r="BC34" s="3"/>
      <c r="BD34" s="3"/>
      <c r="BF34" s="191"/>
    </row>
    <row r="35" spans="1:58" s="5" customFormat="1" ht="27.6">
      <c r="A35" s="3">
        <f t="shared" si="14"/>
        <v>29</v>
      </c>
      <c r="B35" s="3">
        <v>1998</v>
      </c>
      <c r="C35" s="3" t="s">
        <v>986</v>
      </c>
      <c r="D35" s="4">
        <v>4630000</v>
      </c>
      <c r="E35" s="4">
        <v>4630000</v>
      </c>
      <c r="F35" s="4">
        <f t="shared" si="0"/>
        <v>0</v>
      </c>
      <c r="G35" s="4">
        <v>0</v>
      </c>
      <c r="H35" s="4">
        <v>0</v>
      </c>
      <c r="I35" s="4"/>
      <c r="J35" s="4"/>
      <c r="K35" s="4">
        <f t="shared" si="15"/>
        <v>0</v>
      </c>
      <c r="L35" s="4">
        <f t="shared" si="1"/>
        <v>0</v>
      </c>
      <c r="M35" s="4">
        <f t="shared" si="2"/>
        <v>0</v>
      </c>
      <c r="N35" s="4">
        <v>2000000</v>
      </c>
      <c r="O35" s="4">
        <f t="shared" si="3"/>
        <v>2630000</v>
      </c>
      <c r="P35" s="4">
        <f t="shared" si="4"/>
        <v>0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2000000</v>
      </c>
      <c r="V35" s="11">
        <f>700000-400000</f>
        <v>300000</v>
      </c>
      <c r="W35" s="4">
        <f t="shared" si="16"/>
        <v>700000</v>
      </c>
      <c r="X35" s="4"/>
      <c r="Y35" s="4"/>
      <c r="Z35" s="4">
        <v>1000000</v>
      </c>
      <c r="AA35" s="474" t="s">
        <v>800</v>
      </c>
      <c r="AB35" s="3">
        <v>870000</v>
      </c>
      <c r="AC35" s="4"/>
      <c r="AD35" s="4"/>
      <c r="AE35" s="4"/>
      <c r="AF35" s="4"/>
      <c r="AG35" s="4"/>
      <c r="AH35" s="4">
        <v>500000</v>
      </c>
      <c r="AI35" s="4"/>
      <c r="AJ35" s="4"/>
      <c r="AK35" s="4">
        <v>1500000</v>
      </c>
      <c r="AL35" s="4">
        <f t="shared" si="8"/>
        <v>2000000</v>
      </c>
      <c r="AM35" s="4"/>
      <c r="AN35" s="4">
        <f t="shared" si="9"/>
        <v>2000000</v>
      </c>
      <c r="AO35" s="4">
        <f t="shared" si="10"/>
        <v>0</v>
      </c>
      <c r="AP35" s="4">
        <v>300000</v>
      </c>
      <c r="AQ35" s="4">
        <f t="shared" si="11"/>
        <v>700000</v>
      </c>
      <c r="AR35" s="4"/>
      <c r="AS35" s="3"/>
      <c r="AT35" s="4">
        <v>1000000</v>
      </c>
      <c r="AU35" s="4"/>
      <c r="AV35" s="4">
        <f t="shared" si="12"/>
        <v>0</v>
      </c>
      <c r="AW35" s="3"/>
      <c r="AX35" s="4"/>
      <c r="AY35" s="4"/>
      <c r="AZ35" s="4"/>
      <c r="BA35" s="4">
        <f t="shared" si="13"/>
        <v>0</v>
      </c>
      <c r="BB35" s="4"/>
      <c r="BC35" s="3"/>
      <c r="BD35" s="3"/>
      <c r="BF35" s="191"/>
    </row>
    <row r="36" spans="1:58" s="5" customFormat="1" ht="19.95" customHeight="1">
      <c r="A36" s="3">
        <f t="shared" si="14"/>
        <v>30</v>
      </c>
      <c r="B36" s="3">
        <v>2035</v>
      </c>
      <c r="C36" s="3" t="s">
        <v>231</v>
      </c>
      <c r="D36" s="4">
        <v>953000</v>
      </c>
      <c r="E36" s="4">
        <v>953000</v>
      </c>
      <c r="F36" s="4">
        <f t="shared" si="0"/>
        <v>0</v>
      </c>
      <c r="G36" s="4">
        <v>953000</v>
      </c>
      <c r="H36" s="4">
        <v>0</v>
      </c>
      <c r="I36" s="4"/>
      <c r="J36" s="4">
        <v>647934.81000000006</v>
      </c>
      <c r="K36" s="4">
        <f t="shared" si="15"/>
        <v>647934.81000000006</v>
      </c>
      <c r="L36" s="4">
        <f t="shared" si="1"/>
        <v>647934.81000000006</v>
      </c>
      <c r="M36" s="4">
        <f t="shared" si="2"/>
        <v>305065.18999999994</v>
      </c>
      <c r="N36" s="4"/>
      <c r="O36" s="4">
        <f t="shared" si="3"/>
        <v>0</v>
      </c>
      <c r="P36" s="4">
        <f t="shared" si="4"/>
        <v>305065.18999999994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11"/>
      <c r="W36" s="4">
        <f t="shared" si="16"/>
        <v>0</v>
      </c>
      <c r="X36" s="4"/>
      <c r="Y36" s="4"/>
      <c r="Z36" s="3"/>
      <c r="AA36" s="323"/>
      <c r="AB36" s="3">
        <v>746000</v>
      </c>
      <c r="AC36" s="4"/>
      <c r="AD36" s="4"/>
      <c r="AE36" s="4"/>
      <c r="AF36" s="4"/>
      <c r="AG36" s="4"/>
      <c r="AH36" s="4"/>
      <c r="AI36" s="4"/>
      <c r="AJ36" s="4"/>
      <c r="AK36" s="4"/>
      <c r="AL36" s="4">
        <f t="shared" si="8"/>
        <v>0</v>
      </c>
      <c r="AM36" s="4"/>
      <c r="AN36" s="4">
        <f t="shared" si="9"/>
        <v>0</v>
      </c>
      <c r="AO36" s="4">
        <f t="shared" si="10"/>
        <v>0</v>
      </c>
      <c r="AP36" s="4"/>
      <c r="AQ36" s="4">
        <f t="shared" si="11"/>
        <v>0</v>
      </c>
      <c r="AR36" s="4"/>
      <c r="AS36" s="3"/>
      <c r="AT36" s="4"/>
      <c r="AU36" s="4"/>
      <c r="AV36" s="4">
        <f t="shared" si="12"/>
        <v>0</v>
      </c>
      <c r="AW36" s="3"/>
      <c r="AX36" s="4"/>
      <c r="AY36" s="4"/>
      <c r="AZ36" s="4"/>
      <c r="BA36" s="4">
        <f t="shared" si="13"/>
        <v>0</v>
      </c>
      <c r="BB36" s="4"/>
      <c r="BC36" s="3"/>
      <c r="BD36" s="3"/>
      <c r="BF36" s="191"/>
    </row>
    <row r="37" spans="1:58" s="5" customFormat="1" ht="19.95" customHeight="1">
      <c r="A37" s="3">
        <f t="shared" si="14"/>
        <v>31</v>
      </c>
      <c r="B37" s="3">
        <v>2036</v>
      </c>
      <c r="C37" s="3" t="s">
        <v>546</v>
      </c>
      <c r="D37" s="4">
        <v>1120000</v>
      </c>
      <c r="E37" s="4">
        <v>950000</v>
      </c>
      <c r="F37" s="4">
        <f t="shared" si="0"/>
        <v>170000</v>
      </c>
      <c r="G37" s="4">
        <v>500000</v>
      </c>
      <c r="H37" s="4">
        <v>0</v>
      </c>
      <c r="I37" s="4">
        <v>474201</v>
      </c>
      <c r="J37" s="4">
        <v>25798.5</v>
      </c>
      <c r="K37" s="4">
        <f t="shared" si="15"/>
        <v>499999.5</v>
      </c>
      <c r="L37" s="4">
        <f t="shared" si="1"/>
        <v>499999.5</v>
      </c>
      <c r="M37" s="4">
        <f t="shared" si="2"/>
        <v>0.5</v>
      </c>
      <c r="N37" s="4">
        <v>620000</v>
      </c>
      <c r="O37" s="4">
        <f t="shared" si="3"/>
        <v>0</v>
      </c>
      <c r="P37" s="4">
        <f t="shared" si="4"/>
        <v>0.5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620000</v>
      </c>
      <c r="V37" s="11">
        <f>U37-W37-X37-Y37-Z37</f>
        <v>620000</v>
      </c>
      <c r="W37" s="4"/>
      <c r="X37" s="4"/>
      <c r="Y37" s="4"/>
      <c r="Z37" s="3"/>
      <c r="AA37" s="323" t="s">
        <v>642</v>
      </c>
      <c r="AB37" s="3">
        <v>810000</v>
      </c>
      <c r="AC37" s="4"/>
      <c r="AD37" s="4">
        <v>620000</v>
      </c>
      <c r="AE37" s="4"/>
      <c r="AF37" s="4"/>
      <c r="AG37" s="4"/>
      <c r="AH37" s="4"/>
      <c r="AI37" s="4"/>
      <c r="AJ37" s="4"/>
      <c r="AK37" s="4"/>
      <c r="AL37" s="4">
        <f t="shared" si="8"/>
        <v>620000</v>
      </c>
      <c r="AM37" s="4"/>
      <c r="AN37" s="4">
        <f t="shared" si="9"/>
        <v>620000</v>
      </c>
      <c r="AO37" s="4">
        <f t="shared" si="10"/>
        <v>0</v>
      </c>
      <c r="AP37" s="4">
        <v>620000</v>
      </c>
      <c r="AQ37" s="4">
        <f t="shared" si="11"/>
        <v>0</v>
      </c>
      <c r="AR37" s="4"/>
      <c r="AS37" s="3"/>
      <c r="AT37" s="4"/>
      <c r="AU37" s="4"/>
      <c r="AV37" s="4">
        <f t="shared" si="12"/>
        <v>0</v>
      </c>
      <c r="AW37" s="3"/>
      <c r="AX37" s="4"/>
      <c r="AY37" s="4"/>
      <c r="AZ37" s="4"/>
      <c r="BA37" s="4">
        <f t="shared" si="13"/>
        <v>0</v>
      </c>
      <c r="BB37" s="4"/>
      <c r="BC37" s="3"/>
      <c r="BD37" s="3"/>
      <c r="BF37" s="191"/>
    </row>
    <row r="38" spans="1:58" s="5" customFormat="1" ht="19.95" customHeight="1">
      <c r="A38" s="3">
        <f t="shared" si="14"/>
        <v>32</v>
      </c>
      <c r="B38" s="3">
        <v>2037</v>
      </c>
      <c r="C38" s="3" t="s">
        <v>987</v>
      </c>
      <c r="D38" s="4">
        <v>5000000</v>
      </c>
      <c r="E38" s="4">
        <v>5000000</v>
      </c>
      <c r="F38" s="4">
        <f t="shared" si="0"/>
        <v>0</v>
      </c>
      <c r="G38" s="4">
        <v>500000</v>
      </c>
      <c r="H38" s="4">
        <v>7020</v>
      </c>
      <c r="I38" s="4"/>
      <c r="J38" s="4">
        <v>492980</v>
      </c>
      <c r="K38" s="4">
        <f t="shared" si="15"/>
        <v>492980</v>
      </c>
      <c r="L38" s="4">
        <f t="shared" si="1"/>
        <v>500000</v>
      </c>
      <c r="M38" s="4">
        <f t="shared" si="2"/>
        <v>0</v>
      </c>
      <c r="N38" s="4">
        <f>1000000-500000</f>
        <v>500000</v>
      </c>
      <c r="O38" s="4">
        <f t="shared" si="3"/>
        <v>4000000</v>
      </c>
      <c r="P38" s="4">
        <f t="shared" si="4"/>
        <v>0</v>
      </c>
      <c r="Q38" s="4">
        <v>0</v>
      </c>
      <c r="R38" s="4"/>
      <c r="S38" s="4">
        <f t="shared" si="5"/>
        <v>0</v>
      </c>
      <c r="T38" s="4">
        <f t="shared" si="6"/>
        <v>0</v>
      </c>
      <c r="U38" s="4">
        <f t="shared" si="7"/>
        <v>500000</v>
      </c>
      <c r="V38" s="11">
        <f>U38-W38-X38-Y38-Z38</f>
        <v>500000</v>
      </c>
      <c r="W38" s="4"/>
      <c r="X38" s="4"/>
      <c r="Y38" s="4"/>
      <c r="Z38" s="3"/>
      <c r="AA38" s="323" t="s">
        <v>547</v>
      </c>
      <c r="AB38" s="3">
        <v>870000</v>
      </c>
      <c r="AC38" s="4"/>
      <c r="AD38" s="4"/>
      <c r="AE38" s="4"/>
      <c r="AF38" s="4">
        <f>100000-100000</f>
        <v>0</v>
      </c>
      <c r="AG38" s="4">
        <v>100000</v>
      </c>
      <c r="AH38" s="4">
        <v>200000</v>
      </c>
      <c r="AI38" s="4"/>
      <c r="AJ38" s="4"/>
      <c r="AK38" s="4">
        <v>200000</v>
      </c>
      <c r="AL38" s="4">
        <f t="shared" si="8"/>
        <v>500000</v>
      </c>
      <c r="AM38" s="4"/>
      <c r="AN38" s="4">
        <f t="shared" si="9"/>
        <v>500000</v>
      </c>
      <c r="AO38" s="4">
        <f t="shared" si="10"/>
        <v>0</v>
      </c>
      <c r="AP38" s="4">
        <v>500000</v>
      </c>
      <c r="AQ38" s="4">
        <f t="shared" si="11"/>
        <v>0</v>
      </c>
      <c r="AR38" s="4"/>
      <c r="AS38" s="3"/>
      <c r="AT38" s="4"/>
      <c r="AU38" s="4"/>
      <c r="AV38" s="4">
        <f t="shared" si="12"/>
        <v>0</v>
      </c>
      <c r="AW38" s="3"/>
      <c r="AX38" s="4"/>
      <c r="AY38" s="4"/>
      <c r="AZ38" s="4"/>
      <c r="BA38" s="4">
        <f t="shared" si="13"/>
        <v>0</v>
      </c>
      <c r="BB38" s="4"/>
      <c r="BC38" s="3"/>
      <c r="BD38" s="3"/>
      <c r="BF38" s="191"/>
    </row>
    <row r="39" spans="1:58" s="5" customFormat="1" ht="19.95" customHeight="1">
      <c r="A39" s="3">
        <f t="shared" si="14"/>
        <v>33</v>
      </c>
      <c r="B39" s="3">
        <v>2038</v>
      </c>
      <c r="C39" s="3" t="s">
        <v>988</v>
      </c>
      <c r="D39" s="4">
        <f>4000000-1500000-250000</f>
        <v>2250000</v>
      </c>
      <c r="E39" s="4">
        <v>1500000</v>
      </c>
      <c r="F39" s="4">
        <f t="shared" si="0"/>
        <v>750000</v>
      </c>
      <c r="G39" s="4">
        <f>800000+700000</f>
        <v>1500000</v>
      </c>
      <c r="H39" s="4">
        <v>88254</v>
      </c>
      <c r="I39" s="4"/>
      <c r="J39" s="4">
        <v>1366897</v>
      </c>
      <c r="K39" s="4">
        <f t="shared" si="15"/>
        <v>1366897</v>
      </c>
      <c r="L39" s="4">
        <f t="shared" si="1"/>
        <v>1455151</v>
      </c>
      <c r="M39" s="4">
        <f t="shared" si="2"/>
        <v>44849</v>
      </c>
      <c r="N39" s="4">
        <f>2500000-1000000-750000</f>
        <v>750000</v>
      </c>
      <c r="O39" s="4">
        <f t="shared" si="3"/>
        <v>0</v>
      </c>
      <c r="P39" s="4">
        <f t="shared" si="4"/>
        <v>44849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750000</v>
      </c>
      <c r="V39" s="11">
        <f>U39-W39-X39-Y39-Z39</f>
        <v>750000</v>
      </c>
      <c r="W39" s="4"/>
      <c r="X39" s="4"/>
      <c r="Y39" s="4"/>
      <c r="Z39" s="3"/>
      <c r="AA39" s="323" t="s">
        <v>801</v>
      </c>
      <c r="AB39" s="3">
        <v>810000</v>
      </c>
      <c r="AC39" s="4"/>
      <c r="AD39" s="4">
        <v>350000</v>
      </c>
      <c r="AE39" s="4"/>
      <c r="AF39" s="4"/>
      <c r="AG39" s="4"/>
      <c r="AH39" s="4">
        <v>400000</v>
      </c>
      <c r="AI39" s="4"/>
      <c r="AJ39" s="4"/>
      <c r="AK39" s="4"/>
      <c r="AL39" s="4">
        <f t="shared" si="8"/>
        <v>750000</v>
      </c>
      <c r="AM39" s="4"/>
      <c r="AN39" s="4">
        <f t="shared" si="9"/>
        <v>750000</v>
      </c>
      <c r="AO39" s="4">
        <f t="shared" si="10"/>
        <v>0</v>
      </c>
      <c r="AP39" s="4">
        <v>750000</v>
      </c>
      <c r="AQ39" s="4">
        <f t="shared" si="11"/>
        <v>0</v>
      </c>
      <c r="AR39" s="4"/>
      <c r="AS39" s="3"/>
      <c r="AT39" s="4"/>
      <c r="AU39" s="4"/>
      <c r="AV39" s="4">
        <f t="shared" si="12"/>
        <v>0</v>
      </c>
      <c r="AW39" s="3"/>
      <c r="AX39" s="4"/>
      <c r="AY39" s="4"/>
      <c r="AZ39" s="4"/>
      <c r="BA39" s="4">
        <f t="shared" si="13"/>
        <v>0</v>
      </c>
      <c r="BB39" s="4"/>
      <c r="BC39" s="3"/>
      <c r="BD39" s="3"/>
      <c r="BF39" s="191"/>
    </row>
    <row r="40" spans="1:58" s="5" customFormat="1" ht="19.95" customHeight="1">
      <c r="A40" s="3">
        <f t="shared" si="14"/>
        <v>34</v>
      </c>
      <c r="B40" s="3">
        <v>2039</v>
      </c>
      <c r="C40" s="3" t="s">
        <v>232</v>
      </c>
      <c r="D40" s="4">
        <v>285000</v>
      </c>
      <c r="E40" s="4">
        <v>285000</v>
      </c>
      <c r="F40" s="4">
        <f t="shared" si="0"/>
        <v>0</v>
      </c>
      <c r="G40" s="4">
        <v>285000</v>
      </c>
      <c r="H40" s="4">
        <v>0</v>
      </c>
      <c r="I40" s="4"/>
      <c r="J40" s="4">
        <v>10000</v>
      </c>
      <c r="K40" s="4">
        <f t="shared" si="15"/>
        <v>10000</v>
      </c>
      <c r="L40" s="4">
        <f t="shared" si="1"/>
        <v>10000</v>
      </c>
      <c r="M40" s="4">
        <f t="shared" si="2"/>
        <v>275000</v>
      </c>
      <c r="N40" s="4"/>
      <c r="O40" s="4">
        <f t="shared" si="3"/>
        <v>0</v>
      </c>
      <c r="P40" s="4">
        <f t="shared" si="4"/>
        <v>275000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11"/>
      <c r="W40" s="4">
        <f t="shared" si="16"/>
        <v>0</v>
      </c>
      <c r="X40" s="4"/>
      <c r="Y40" s="4"/>
      <c r="Z40" s="3"/>
      <c r="AA40" s="375"/>
      <c r="AB40" s="3">
        <v>760000</v>
      </c>
      <c r="AC40" s="4"/>
      <c r="AD40" s="4"/>
      <c r="AE40" s="4"/>
      <c r="AF40" s="4"/>
      <c r="AG40" s="4"/>
      <c r="AH40" s="4"/>
      <c r="AI40" s="4"/>
      <c r="AJ40" s="4"/>
      <c r="AK40" s="4"/>
      <c r="AL40" s="4">
        <f t="shared" si="8"/>
        <v>0</v>
      </c>
      <c r="AM40" s="4"/>
      <c r="AN40" s="4">
        <f t="shared" si="9"/>
        <v>0</v>
      </c>
      <c r="AO40" s="4">
        <f t="shared" si="10"/>
        <v>0</v>
      </c>
      <c r="AP40" s="4"/>
      <c r="AQ40" s="4">
        <f t="shared" si="11"/>
        <v>0</v>
      </c>
      <c r="AR40" s="4"/>
      <c r="AS40" s="3"/>
      <c r="AT40" s="4"/>
      <c r="AU40" s="4"/>
      <c r="AV40" s="4">
        <f t="shared" si="12"/>
        <v>0</v>
      </c>
      <c r="AW40" s="3"/>
      <c r="AX40" s="4"/>
      <c r="AY40" s="4"/>
      <c r="AZ40" s="4"/>
      <c r="BA40" s="4">
        <f t="shared" si="13"/>
        <v>0</v>
      </c>
      <c r="BB40" s="4"/>
      <c r="BC40" s="3"/>
      <c r="BD40" s="3"/>
      <c r="BF40" s="191"/>
    </row>
    <row r="41" spans="1:58" s="5" customFormat="1" ht="19.95" customHeight="1">
      <c r="A41" s="3">
        <f t="shared" si="14"/>
        <v>35</v>
      </c>
      <c r="B41" s="3">
        <v>2040</v>
      </c>
      <c r="C41" s="3" t="s">
        <v>548</v>
      </c>
      <c r="D41" s="4">
        <v>410000</v>
      </c>
      <c r="E41" s="4">
        <v>410000</v>
      </c>
      <c r="F41" s="4">
        <f t="shared" si="0"/>
        <v>0</v>
      </c>
      <c r="G41" s="4">
        <v>410000</v>
      </c>
      <c r="H41" s="4">
        <v>339613</v>
      </c>
      <c r="I41" s="4"/>
      <c r="J41" s="4">
        <v>49861.02</v>
      </c>
      <c r="K41" s="4">
        <f t="shared" si="15"/>
        <v>49861.02</v>
      </c>
      <c r="L41" s="4">
        <f t="shared" si="1"/>
        <v>389474.02</v>
      </c>
      <c r="M41" s="4">
        <f t="shared" si="2"/>
        <v>20525.979999999981</v>
      </c>
      <c r="N41" s="4"/>
      <c r="O41" s="4">
        <f t="shared" si="3"/>
        <v>0</v>
      </c>
      <c r="P41" s="4">
        <f t="shared" si="4"/>
        <v>20525.979999999981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0</v>
      </c>
      <c r="V41" s="11"/>
      <c r="W41" s="4">
        <f t="shared" si="16"/>
        <v>0</v>
      </c>
      <c r="X41" s="4"/>
      <c r="Y41" s="4"/>
      <c r="Z41" s="3"/>
      <c r="AA41" s="323"/>
      <c r="AB41" s="3">
        <v>829000</v>
      </c>
      <c r="AC41" s="4"/>
      <c r="AD41" s="4"/>
      <c r="AE41" s="4"/>
      <c r="AF41" s="4"/>
      <c r="AG41" s="4"/>
      <c r="AH41" s="4"/>
      <c r="AI41" s="4"/>
      <c r="AJ41" s="4"/>
      <c r="AK41" s="4"/>
      <c r="AL41" s="4">
        <f t="shared" si="8"/>
        <v>0</v>
      </c>
      <c r="AM41" s="4"/>
      <c r="AN41" s="4">
        <f t="shared" si="9"/>
        <v>0</v>
      </c>
      <c r="AO41" s="4">
        <f t="shared" si="10"/>
        <v>0</v>
      </c>
      <c r="AP41" s="4"/>
      <c r="AQ41" s="4">
        <f t="shared" si="11"/>
        <v>0</v>
      </c>
      <c r="AR41" s="4"/>
      <c r="AS41" s="3"/>
      <c r="AT41" s="4"/>
      <c r="AU41" s="4"/>
      <c r="AV41" s="4">
        <f t="shared" si="12"/>
        <v>0</v>
      </c>
      <c r="AW41" s="3"/>
      <c r="AX41" s="4"/>
      <c r="AY41" s="4"/>
      <c r="AZ41" s="4"/>
      <c r="BA41" s="4">
        <f t="shared" si="13"/>
        <v>0</v>
      </c>
      <c r="BB41" s="4"/>
      <c r="BC41" s="3"/>
      <c r="BD41" s="3"/>
      <c r="BF41" s="191"/>
    </row>
    <row r="42" spans="1:58" s="5" customFormat="1" ht="19.95" customHeight="1">
      <c r="A42" s="3">
        <f t="shared" si="14"/>
        <v>36</v>
      </c>
      <c r="B42" s="3">
        <v>2041</v>
      </c>
      <c r="C42" s="3" t="s">
        <v>549</v>
      </c>
      <c r="D42" s="4">
        <v>650000</v>
      </c>
      <c r="E42" s="4">
        <v>650000</v>
      </c>
      <c r="F42" s="4">
        <f t="shared" si="0"/>
        <v>0</v>
      </c>
      <c r="G42" s="4">
        <v>650000</v>
      </c>
      <c r="H42" s="4">
        <v>23807</v>
      </c>
      <c r="I42" s="4"/>
      <c r="J42" s="4">
        <v>573450</v>
      </c>
      <c r="K42" s="4">
        <f t="shared" si="15"/>
        <v>573450</v>
      </c>
      <c r="L42" s="4">
        <f t="shared" si="1"/>
        <v>597257</v>
      </c>
      <c r="M42" s="4">
        <f t="shared" si="2"/>
        <v>52743</v>
      </c>
      <c r="N42" s="4"/>
      <c r="O42" s="4">
        <f t="shared" si="3"/>
        <v>0</v>
      </c>
      <c r="P42" s="4">
        <f t="shared" si="4"/>
        <v>52743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0</v>
      </c>
      <c r="V42" s="11"/>
      <c r="W42" s="4">
        <f t="shared" si="16"/>
        <v>0</v>
      </c>
      <c r="X42" s="4"/>
      <c r="Y42" s="4"/>
      <c r="Z42" s="3"/>
      <c r="AA42" s="375"/>
      <c r="AB42" s="3">
        <v>810000</v>
      </c>
      <c r="AC42" s="4"/>
      <c r="AD42" s="4"/>
      <c r="AE42" s="4"/>
      <c r="AF42" s="4"/>
      <c r="AG42" s="4"/>
      <c r="AH42" s="4"/>
      <c r="AI42" s="4"/>
      <c r="AJ42" s="4"/>
      <c r="AK42" s="4"/>
      <c r="AL42" s="4">
        <f t="shared" si="8"/>
        <v>0</v>
      </c>
      <c r="AM42" s="4"/>
      <c r="AN42" s="4">
        <f t="shared" si="9"/>
        <v>0</v>
      </c>
      <c r="AO42" s="4">
        <f t="shared" si="10"/>
        <v>0</v>
      </c>
      <c r="AP42" s="4"/>
      <c r="AQ42" s="4">
        <f t="shared" si="11"/>
        <v>0</v>
      </c>
      <c r="AR42" s="4"/>
      <c r="AS42" s="3"/>
      <c r="AT42" s="4"/>
      <c r="AU42" s="4"/>
      <c r="AV42" s="4">
        <f t="shared" si="12"/>
        <v>0</v>
      </c>
      <c r="AW42" s="3"/>
      <c r="AX42" s="4"/>
      <c r="AY42" s="4"/>
      <c r="AZ42" s="4"/>
      <c r="BA42" s="4">
        <f t="shared" si="13"/>
        <v>0</v>
      </c>
      <c r="BB42" s="4"/>
      <c r="BC42" s="3"/>
      <c r="BD42" s="3"/>
      <c r="BF42" s="191"/>
    </row>
    <row r="43" spans="1:58" s="5" customFormat="1" ht="19.95" customHeight="1">
      <c r="A43" s="3">
        <f t="shared" si="14"/>
        <v>37</v>
      </c>
      <c r="B43" s="3">
        <v>2042</v>
      </c>
      <c r="C43" s="3" t="s">
        <v>793</v>
      </c>
      <c r="D43" s="4">
        <v>740000</v>
      </c>
      <c r="E43" s="4">
        <v>740000</v>
      </c>
      <c r="F43" s="4">
        <f t="shared" si="0"/>
        <v>0</v>
      </c>
      <c r="G43" s="4">
        <v>250000</v>
      </c>
      <c r="H43" s="4">
        <v>181745</v>
      </c>
      <c r="I43" s="4"/>
      <c r="J43" s="4"/>
      <c r="K43" s="4">
        <f t="shared" si="15"/>
        <v>0</v>
      </c>
      <c r="L43" s="4">
        <f t="shared" si="1"/>
        <v>181745</v>
      </c>
      <c r="M43" s="4">
        <f t="shared" si="2"/>
        <v>68255</v>
      </c>
      <c r="N43" s="4">
        <v>490000</v>
      </c>
      <c r="O43" s="4">
        <f t="shared" si="3"/>
        <v>0</v>
      </c>
      <c r="P43" s="4">
        <f t="shared" si="4"/>
        <v>68255</v>
      </c>
      <c r="Q43" s="4"/>
      <c r="R43" s="4"/>
      <c r="S43" s="4">
        <f t="shared" si="5"/>
        <v>0</v>
      </c>
      <c r="T43" s="4">
        <f t="shared" si="6"/>
        <v>0</v>
      </c>
      <c r="U43" s="4">
        <f t="shared" si="7"/>
        <v>490000</v>
      </c>
      <c r="V43" s="11">
        <f>U43-W43-X43-Y43-Z43</f>
        <v>490000</v>
      </c>
      <c r="W43" s="4"/>
      <c r="X43" s="4"/>
      <c r="Y43" s="4"/>
      <c r="Z43" s="3"/>
      <c r="AA43" s="323" t="s">
        <v>550</v>
      </c>
      <c r="AB43" s="3">
        <v>746000</v>
      </c>
      <c r="AC43" s="4"/>
      <c r="AD43" s="4"/>
      <c r="AE43" s="4">
        <v>200000</v>
      </c>
      <c r="AF43" s="4"/>
      <c r="AG43" s="4"/>
      <c r="AH43" s="4"/>
      <c r="AI43" s="4"/>
      <c r="AJ43" s="4"/>
      <c r="AK43" s="4"/>
      <c r="AL43" s="4">
        <f t="shared" si="8"/>
        <v>200000</v>
      </c>
      <c r="AM43" s="4"/>
      <c r="AN43" s="4">
        <f t="shared" si="9"/>
        <v>200000</v>
      </c>
      <c r="AO43" s="4">
        <f t="shared" si="10"/>
        <v>290000</v>
      </c>
      <c r="AP43" s="4">
        <v>200000</v>
      </c>
      <c r="AQ43" s="4">
        <f t="shared" si="11"/>
        <v>0</v>
      </c>
      <c r="AR43" s="4"/>
      <c r="AS43" s="3"/>
      <c r="AT43" s="4"/>
      <c r="AU43" s="4"/>
      <c r="AV43" s="4">
        <f t="shared" si="12"/>
        <v>0</v>
      </c>
      <c r="AW43" s="3"/>
      <c r="AX43" s="4"/>
      <c r="AY43" s="4"/>
      <c r="AZ43" s="4">
        <v>290000</v>
      </c>
      <c r="BA43" s="4">
        <f t="shared" si="13"/>
        <v>0</v>
      </c>
      <c r="BB43" s="4"/>
      <c r="BC43" s="3"/>
      <c r="BD43" s="3"/>
      <c r="BF43" s="191"/>
    </row>
    <row r="44" spans="1:58" s="5" customFormat="1" ht="19.95" customHeight="1">
      <c r="A44" s="3">
        <f t="shared" si="14"/>
        <v>38</v>
      </c>
      <c r="B44" s="3">
        <v>2051</v>
      </c>
      <c r="C44" s="3" t="s">
        <v>551</v>
      </c>
      <c r="D44" s="4">
        <v>2600000</v>
      </c>
      <c r="E44" s="4">
        <v>2600000</v>
      </c>
      <c r="F44" s="4">
        <f t="shared" si="0"/>
        <v>0</v>
      </c>
      <c r="G44" s="4">
        <v>100000</v>
      </c>
      <c r="H44" s="4">
        <v>0</v>
      </c>
      <c r="I44" s="4"/>
      <c r="J44" s="4">
        <v>80352</v>
      </c>
      <c r="K44" s="4">
        <f t="shared" si="15"/>
        <v>80352</v>
      </c>
      <c r="L44" s="4">
        <f t="shared" si="1"/>
        <v>80352</v>
      </c>
      <c r="M44" s="4">
        <f t="shared" si="2"/>
        <v>319648</v>
      </c>
      <c r="N44" s="4">
        <v>350000</v>
      </c>
      <c r="O44" s="4">
        <f t="shared" si="3"/>
        <v>1850000</v>
      </c>
      <c r="P44" s="4">
        <f t="shared" si="4"/>
        <v>19648</v>
      </c>
      <c r="Q44" s="4">
        <v>300000</v>
      </c>
      <c r="R44" s="4"/>
      <c r="S44" s="4">
        <f t="shared" si="5"/>
        <v>300000</v>
      </c>
      <c r="T44" s="4">
        <f t="shared" si="6"/>
        <v>0</v>
      </c>
      <c r="U44" s="4">
        <f t="shared" si="7"/>
        <v>350000</v>
      </c>
      <c r="V44" s="11">
        <f>U44-W44-X44-Y44-Z44</f>
        <v>350000</v>
      </c>
      <c r="W44" s="4"/>
      <c r="X44" s="4"/>
      <c r="Y44" s="4"/>
      <c r="Z44" s="3"/>
      <c r="AA44" s="474" t="s">
        <v>552</v>
      </c>
      <c r="AB44" s="3">
        <v>746000</v>
      </c>
      <c r="AC44" s="4"/>
      <c r="AD44" s="4"/>
      <c r="AE44" s="4"/>
      <c r="AF44" s="4"/>
      <c r="AG44" s="4"/>
      <c r="AH44" s="4"/>
      <c r="AI44" s="4"/>
      <c r="AJ44" s="4"/>
      <c r="AK44" s="4"/>
      <c r="AL44" s="4">
        <f t="shared" si="8"/>
        <v>0</v>
      </c>
      <c r="AM44" s="4"/>
      <c r="AN44" s="4">
        <f t="shared" si="9"/>
        <v>0</v>
      </c>
      <c r="AO44" s="4">
        <f t="shared" si="10"/>
        <v>350000</v>
      </c>
      <c r="AP44" s="4"/>
      <c r="AQ44" s="4">
        <f t="shared" si="11"/>
        <v>0</v>
      </c>
      <c r="AR44" s="4"/>
      <c r="AS44" s="3"/>
      <c r="AT44" s="4"/>
      <c r="AU44" s="4"/>
      <c r="AV44" s="4">
        <f t="shared" si="12"/>
        <v>0</v>
      </c>
      <c r="AW44" s="3"/>
      <c r="AX44" s="4"/>
      <c r="AY44" s="4"/>
      <c r="AZ44" s="4">
        <v>350000</v>
      </c>
      <c r="BA44" s="4">
        <f t="shared" si="13"/>
        <v>0</v>
      </c>
      <c r="BB44" s="4"/>
      <c r="BC44" s="3"/>
      <c r="BD44" s="3"/>
      <c r="BF44" s="191"/>
    </row>
    <row r="45" spans="1:58" s="5" customFormat="1" ht="19.95" customHeight="1">
      <c r="A45" s="3">
        <f t="shared" si="14"/>
        <v>39</v>
      </c>
      <c r="B45" s="3">
        <v>2066</v>
      </c>
      <c r="C45" s="3" t="s">
        <v>553</v>
      </c>
      <c r="D45" s="4">
        <v>112500</v>
      </c>
      <c r="E45" s="4">
        <v>112500</v>
      </c>
      <c r="F45" s="4">
        <f t="shared" si="0"/>
        <v>0</v>
      </c>
      <c r="G45" s="4">
        <v>112500</v>
      </c>
      <c r="H45" s="4">
        <v>0</v>
      </c>
      <c r="I45" s="4"/>
      <c r="J45" s="4">
        <v>97500</v>
      </c>
      <c r="K45" s="4">
        <f t="shared" si="15"/>
        <v>97500</v>
      </c>
      <c r="L45" s="4">
        <f t="shared" si="1"/>
        <v>97500</v>
      </c>
      <c r="M45" s="4">
        <f t="shared" si="2"/>
        <v>15000</v>
      </c>
      <c r="N45" s="4"/>
      <c r="O45" s="4">
        <f t="shared" si="3"/>
        <v>0</v>
      </c>
      <c r="P45" s="4">
        <f t="shared" si="4"/>
        <v>15000</v>
      </c>
      <c r="Q45" s="4"/>
      <c r="R45" s="4"/>
      <c r="S45" s="4">
        <f t="shared" si="5"/>
        <v>0</v>
      </c>
      <c r="T45" s="4">
        <f t="shared" si="6"/>
        <v>0</v>
      </c>
      <c r="U45" s="4">
        <f t="shared" si="7"/>
        <v>0</v>
      </c>
      <c r="V45" s="11"/>
      <c r="W45" s="4">
        <f t="shared" si="16"/>
        <v>0</v>
      </c>
      <c r="X45" s="4"/>
      <c r="Y45" s="4"/>
      <c r="Z45" s="3"/>
      <c r="AA45" s="375"/>
      <c r="AB45" s="3">
        <v>732000</v>
      </c>
      <c r="AC45" s="4"/>
      <c r="AD45" s="4"/>
      <c r="AE45" s="4"/>
      <c r="AF45" s="4"/>
      <c r="AG45" s="4"/>
      <c r="AH45" s="4"/>
      <c r="AI45" s="4"/>
      <c r="AJ45" s="4"/>
      <c r="AK45" s="4"/>
      <c r="AL45" s="4">
        <f t="shared" si="8"/>
        <v>0</v>
      </c>
      <c r="AM45" s="4"/>
      <c r="AN45" s="4">
        <f t="shared" si="9"/>
        <v>0</v>
      </c>
      <c r="AO45" s="4">
        <f t="shared" si="10"/>
        <v>0</v>
      </c>
      <c r="AP45" s="4"/>
      <c r="AQ45" s="4">
        <f t="shared" si="11"/>
        <v>0</v>
      </c>
      <c r="AR45" s="4"/>
      <c r="AS45" s="3"/>
      <c r="AT45" s="4"/>
      <c r="AU45" s="4"/>
      <c r="AV45" s="4">
        <f t="shared" si="12"/>
        <v>0</v>
      </c>
      <c r="AW45" s="3"/>
      <c r="AX45" s="4"/>
      <c r="AY45" s="4"/>
      <c r="AZ45" s="4"/>
      <c r="BA45" s="4">
        <f t="shared" si="13"/>
        <v>0</v>
      </c>
      <c r="BB45" s="4"/>
      <c r="BC45" s="3"/>
      <c r="BD45" s="3"/>
      <c r="BF45" s="191"/>
    </row>
    <row r="46" spans="1:58" s="5" customFormat="1" ht="19.95" customHeight="1">
      <c r="A46" s="3">
        <f t="shared" si="14"/>
        <v>40</v>
      </c>
      <c r="B46" s="3">
        <v>2075</v>
      </c>
      <c r="C46" s="3" t="s">
        <v>554</v>
      </c>
      <c r="D46" s="4">
        <v>800000</v>
      </c>
      <c r="E46" s="4">
        <v>800000</v>
      </c>
      <c r="F46" s="4">
        <f>D46-E46</f>
        <v>0</v>
      </c>
      <c r="G46" s="4">
        <v>772200</v>
      </c>
      <c r="H46" s="4">
        <v>110682</v>
      </c>
      <c r="I46" s="4"/>
      <c r="J46" s="4">
        <v>174852</v>
      </c>
      <c r="K46" s="4">
        <f>I46+J46</f>
        <v>174852</v>
      </c>
      <c r="L46" s="4">
        <f>H46+K46</f>
        <v>285534</v>
      </c>
      <c r="M46" s="4">
        <f>P46+S46</f>
        <v>514466</v>
      </c>
      <c r="N46" s="4"/>
      <c r="O46" s="4">
        <f>D46-L46-M46-N46</f>
        <v>0</v>
      </c>
      <c r="P46" s="4">
        <f>G46-L46</f>
        <v>486666</v>
      </c>
      <c r="Q46" s="4"/>
      <c r="R46" s="4">
        <v>27800</v>
      </c>
      <c r="S46" s="4">
        <f>SUM(Q46:R46)</f>
        <v>27800</v>
      </c>
      <c r="T46" s="4">
        <f>P46-M46+S46</f>
        <v>0</v>
      </c>
      <c r="U46" s="4">
        <f>N46-T46</f>
        <v>0</v>
      </c>
      <c r="V46" s="11"/>
      <c r="W46" s="4">
        <f>U46-V46-Y46-Z46</f>
        <v>0</v>
      </c>
      <c r="X46" s="4"/>
      <c r="Y46" s="4"/>
      <c r="Z46" s="3"/>
      <c r="AA46" s="474" t="s">
        <v>794</v>
      </c>
      <c r="AB46" s="3">
        <v>742000</v>
      </c>
      <c r="AC46" s="4"/>
      <c r="AD46" s="4"/>
      <c r="AE46" s="4"/>
      <c r="AF46" s="4"/>
      <c r="AG46" s="4"/>
      <c r="AH46" s="4"/>
      <c r="AI46" s="4"/>
      <c r="AJ46" s="4"/>
      <c r="AK46" s="4"/>
      <c r="AL46" s="4">
        <f t="shared" si="8"/>
        <v>0</v>
      </c>
      <c r="AM46" s="4"/>
      <c r="AN46" s="4">
        <f t="shared" si="9"/>
        <v>0</v>
      </c>
      <c r="AO46" s="4">
        <f t="shared" si="10"/>
        <v>0</v>
      </c>
      <c r="AP46" s="4"/>
      <c r="AQ46" s="4">
        <f t="shared" si="11"/>
        <v>0</v>
      </c>
      <c r="AR46" s="4"/>
      <c r="AS46" s="3"/>
      <c r="AT46" s="4"/>
      <c r="AU46" s="4"/>
      <c r="AV46" s="4">
        <f t="shared" si="12"/>
        <v>0</v>
      </c>
      <c r="AW46" s="3"/>
      <c r="AX46" s="4"/>
      <c r="AY46" s="4"/>
      <c r="AZ46" s="4"/>
      <c r="BA46" s="4">
        <f t="shared" si="13"/>
        <v>0</v>
      </c>
      <c r="BB46" s="4"/>
      <c r="BC46" s="3"/>
      <c r="BD46" s="3"/>
      <c r="BF46" s="191"/>
    </row>
    <row r="47" spans="1:58" s="5" customFormat="1" ht="19.95" customHeight="1">
      <c r="A47" s="3">
        <f t="shared" si="14"/>
        <v>41</v>
      </c>
      <c r="B47" s="39">
        <v>2087</v>
      </c>
      <c r="C47" s="3" t="s">
        <v>555</v>
      </c>
      <c r="D47" s="4">
        <v>1200000</v>
      </c>
      <c r="E47" s="4"/>
      <c r="F47" s="4">
        <f>D47-E47</f>
        <v>1200000</v>
      </c>
      <c r="G47" s="4">
        <v>0</v>
      </c>
      <c r="H47" s="4">
        <v>0</v>
      </c>
      <c r="I47" s="4">
        <v>0</v>
      </c>
      <c r="J47" s="4"/>
      <c r="K47" s="4">
        <f>I47+J47</f>
        <v>0</v>
      </c>
      <c r="L47" s="4">
        <f>H47+K47</f>
        <v>0</v>
      </c>
      <c r="M47" s="4">
        <f>P47+S47</f>
        <v>0</v>
      </c>
      <c r="N47" s="4">
        <v>1200000</v>
      </c>
      <c r="O47" s="4">
        <f>D47-L47-M47-N47</f>
        <v>0</v>
      </c>
      <c r="P47" s="4">
        <f>G47-L47</f>
        <v>0</v>
      </c>
      <c r="Q47" s="4"/>
      <c r="R47" s="4"/>
      <c r="S47" s="4">
        <f>SUM(Q47:R47)</f>
        <v>0</v>
      </c>
      <c r="T47" s="4">
        <f>P47-M47+S47</f>
        <v>0</v>
      </c>
      <c r="U47" s="4">
        <f>N47-T47</f>
        <v>1200000</v>
      </c>
      <c r="V47" s="11">
        <f>U47-W47-X47-Y47-Z47</f>
        <v>1200000</v>
      </c>
      <c r="W47" s="4"/>
      <c r="X47" s="4"/>
      <c r="Y47" s="4"/>
      <c r="Z47" s="3"/>
      <c r="AA47" s="323" t="s">
        <v>795</v>
      </c>
      <c r="AB47" s="3">
        <v>746000</v>
      </c>
      <c r="AC47" s="4"/>
      <c r="AD47" s="4"/>
      <c r="AE47" s="4">
        <v>500000</v>
      </c>
      <c r="AF47" s="4"/>
      <c r="AG47" s="4"/>
      <c r="AH47" s="4">
        <v>250000</v>
      </c>
      <c r="AI47" s="4"/>
      <c r="AJ47" s="4"/>
      <c r="AK47" s="4">
        <v>450000</v>
      </c>
      <c r="AL47" s="4">
        <f t="shared" si="8"/>
        <v>1200000</v>
      </c>
      <c r="AM47" s="4"/>
      <c r="AN47" s="4">
        <f t="shared" si="9"/>
        <v>1200000</v>
      </c>
      <c r="AO47" s="4">
        <f t="shared" si="10"/>
        <v>0</v>
      </c>
      <c r="AP47" s="4">
        <v>1200000</v>
      </c>
      <c r="AQ47" s="4">
        <f t="shared" si="11"/>
        <v>0</v>
      </c>
      <c r="AR47" s="4"/>
      <c r="AS47" s="3"/>
      <c r="AT47" s="4"/>
      <c r="AU47" s="4"/>
      <c r="AV47" s="4">
        <f t="shared" si="12"/>
        <v>0</v>
      </c>
      <c r="AW47" s="3"/>
      <c r="AX47" s="4"/>
      <c r="AY47" s="4"/>
      <c r="AZ47" s="4"/>
      <c r="BA47" s="4">
        <f t="shared" si="13"/>
        <v>0</v>
      </c>
      <c r="BB47" s="4"/>
      <c r="BC47" s="3"/>
      <c r="BD47" s="3"/>
      <c r="BF47" s="191"/>
    </row>
    <row r="48" spans="1:58" s="5" customFormat="1" ht="19.95" customHeight="1">
      <c r="A48" s="3">
        <f t="shared" si="14"/>
        <v>42</v>
      </c>
      <c r="B48" s="39">
        <v>2088</v>
      </c>
      <c r="C48" s="3" t="s">
        <v>556</v>
      </c>
      <c r="D48" s="4">
        <f>2000000-800000</f>
        <v>1200000</v>
      </c>
      <c r="E48" s="4"/>
      <c r="F48" s="4">
        <f>D48-E48</f>
        <v>1200000</v>
      </c>
      <c r="G48" s="4">
        <v>0</v>
      </c>
      <c r="H48" s="4">
        <v>0</v>
      </c>
      <c r="I48" s="4"/>
      <c r="J48" s="4"/>
      <c r="K48" s="4">
        <f>I48+J48</f>
        <v>0</v>
      </c>
      <c r="L48" s="4">
        <f>H48+K48</f>
        <v>0</v>
      </c>
      <c r="M48" s="4">
        <f>P48+S48</f>
        <v>0</v>
      </c>
      <c r="N48" s="4">
        <f>2000000-800000</f>
        <v>1200000</v>
      </c>
      <c r="O48" s="4">
        <f>D48-L48-M48-N48</f>
        <v>0</v>
      </c>
      <c r="P48" s="4">
        <f>G48-L48</f>
        <v>0</v>
      </c>
      <c r="Q48" s="4"/>
      <c r="R48" s="4"/>
      <c r="S48" s="4">
        <f>SUM(Q48:R48)</f>
        <v>0</v>
      </c>
      <c r="T48" s="4">
        <f>P48-M48+S48</f>
        <v>0</v>
      </c>
      <c r="U48" s="4">
        <f>N48-T48</f>
        <v>1200000</v>
      </c>
      <c r="V48" s="11">
        <f>U48-W48-X48-Y48-Z48</f>
        <v>1200000</v>
      </c>
      <c r="W48" s="4"/>
      <c r="X48" s="4"/>
      <c r="Y48" s="4"/>
      <c r="Z48" s="3"/>
      <c r="AA48" s="323" t="s">
        <v>802</v>
      </c>
      <c r="AB48" s="3">
        <v>746000</v>
      </c>
      <c r="AC48" s="4"/>
      <c r="AD48" s="4"/>
      <c r="AE48" s="4">
        <v>700000</v>
      </c>
      <c r="AF48" s="4"/>
      <c r="AG48" s="4"/>
      <c r="AH48" s="4">
        <v>500000</v>
      </c>
      <c r="AI48" s="4"/>
      <c r="AJ48" s="4"/>
      <c r="AK48" s="4"/>
      <c r="AL48" s="4">
        <f t="shared" si="8"/>
        <v>1200000</v>
      </c>
      <c r="AM48" s="4"/>
      <c r="AN48" s="4">
        <f t="shared" si="9"/>
        <v>1200000</v>
      </c>
      <c r="AO48" s="4">
        <f t="shared" si="10"/>
        <v>0</v>
      </c>
      <c r="AP48" s="4">
        <v>1200000</v>
      </c>
      <c r="AQ48" s="4">
        <f t="shared" si="11"/>
        <v>0</v>
      </c>
      <c r="AR48" s="4"/>
      <c r="AS48" s="3"/>
      <c r="AT48" s="4"/>
      <c r="AU48" s="4"/>
      <c r="AV48" s="4">
        <f t="shared" si="12"/>
        <v>0</v>
      </c>
      <c r="AW48" s="3"/>
      <c r="AX48" s="4"/>
      <c r="AY48" s="4"/>
      <c r="AZ48" s="4"/>
      <c r="BA48" s="4">
        <f t="shared" si="13"/>
        <v>0</v>
      </c>
      <c r="BB48" s="4"/>
      <c r="BC48" s="3"/>
      <c r="BD48" s="3"/>
      <c r="BF48" s="191"/>
    </row>
    <row r="49" spans="1:58" s="6" customFormat="1" ht="19.95" customHeight="1">
      <c r="A49" s="8">
        <f>A48</f>
        <v>42</v>
      </c>
      <c r="B49" s="8"/>
      <c r="C49" s="204" t="s">
        <v>684</v>
      </c>
      <c r="D49" s="9">
        <f t="shared" ref="D49:BD49" si="17">SUM(D7:D48)</f>
        <v>231868059</v>
      </c>
      <c r="E49" s="9">
        <f t="shared" si="17"/>
        <v>246322059</v>
      </c>
      <c r="F49" s="9">
        <f t="shared" si="17"/>
        <v>-14454000</v>
      </c>
      <c r="G49" s="9">
        <f t="shared" si="17"/>
        <v>174365579</v>
      </c>
      <c r="H49" s="9">
        <f t="shared" si="17"/>
        <v>156748875.67999998</v>
      </c>
      <c r="I49" s="9">
        <f t="shared" si="17"/>
        <v>474201</v>
      </c>
      <c r="J49" s="9">
        <f t="shared" si="17"/>
        <v>12594137.780000001</v>
      </c>
      <c r="K49" s="9">
        <f t="shared" si="17"/>
        <v>13068338.780000001</v>
      </c>
      <c r="L49" s="9">
        <f t="shared" si="17"/>
        <v>169817214.45999995</v>
      </c>
      <c r="M49" s="9">
        <f t="shared" si="17"/>
        <v>7236164.5399999991</v>
      </c>
      <c r="N49" s="9">
        <f t="shared" si="17"/>
        <v>36445000</v>
      </c>
      <c r="O49" s="9">
        <f t="shared" si="17"/>
        <v>18369680</v>
      </c>
      <c r="P49" s="9">
        <f t="shared" si="17"/>
        <v>4548364.54</v>
      </c>
      <c r="Q49" s="9">
        <f t="shared" si="17"/>
        <v>2700000</v>
      </c>
      <c r="R49" s="9">
        <f t="shared" si="17"/>
        <v>27800</v>
      </c>
      <c r="S49" s="9">
        <f t="shared" si="17"/>
        <v>2727800</v>
      </c>
      <c r="T49" s="9">
        <f t="shared" si="17"/>
        <v>40000</v>
      </c>
      <c r="U49" s="9">
        <f t="shared" si="17"/>
        <v>36405000</v>
      </c>
      <c r="V49" s="9">
        <f t="shared" si="17"/>
        <v>10365000</v>
      </c>
      <c r="W49" s="9">
        <f t="shared" si="17"/>
        <v>8550000</v>
      </c>
      <c r="X49" s="9">
        <f t="shared" si="17"/>
        <v>0</v>
      </c>
      <c r="Y49" s="9">
        <f t="shared" si="17"/>
        <v>0</v>
      </c>
      <c r="Z49" s="9">
        <f t="shared" si="17"/>
        <v>17490000</v>
      </c>
      <c r="AA49" s="9">
        <f t="shared" si="17"/>
        <v>0</v>
      </c>
      <c r="AB49" s="9">
        <f t="shared" si="17"/>
        <v>33098500</v>
      </c>
      <c r="AC49" s="9">
        <f t="shared" ref="AC49:AJ49" si="18">SUM(AC7:AC48)</f>
        <v>1165000</v>
      </c>
      <c r="AD49" s="9">
        <f t="shared" si="18"/>
        <v>5090000</v>
      </c>
      <c r="AE49" s="9">
        <f t="shared" si="18"/>
        <v>4610000</v>
      </c>
      <c r="AF49" s="9">
        <f t="shared" si="18"/>
        <v>2600000</v>
      </c>
      <c r="AG49" s="9">
        <f t="shared" si="18"/>
        <v>1230000</v>
      </c>
      <c r="AH49" s="9">
        <f t="shared" si="18"/>
        <v>2910000</v>
      </c>
      <c r="AI49" s="9">
        <f t="shared" si="18"/>
        <v>0</v>
      </c>
      <c r="AJ49" s="9">
        <f t="shared" si="18"/>
        <v>1915000</v>
      </c>
      <c r="AK49" s="9">
        <f t="shared" si="17"/>
        <v>4695000</v>
      </c>
      <c r="AL49" s="9">
        <f t="shared" si="17"/>
        <v>24215000</v>
      </c>
      <c r="AM49" s="9">
        <f t="shared" si="17"/>
        <v>0</v>
      </c>
      <c r="AN49" s="9">
        <f t="shared" si="17"/>
        <v>24215000</v>
      </c>
      <c r="AO49" s="9">
        <f t="shared" si="17"/>
        <v>12190000</v>
      </c>
      <c r="AP49" s="9">
        <f t="shared" si="17"/>
        <v>9725000</v>
      </c>
      <c r="AQ49" s="9">
        <f t="shared" si="17"/>
        <v>8450000</v>
      </c>
      <c r="AR49" s="9">
        <f t="shared" si="17"/>
        <v>0</v>
      </c>
      <c r="AS49" s="9">
        <f t="shared" si="17"/>
        <v>0</v>
      </c>
      <c r="AT49" s="9">
        <f t="shared" si="17"/>
        <v>6040000</v>
      </c>
      <c r="AU49" s="9">
        <f t="shared" si="17"/>
        <v>0</v>
      </c>
      <c r="AV49" s="9">
        <f t="shared" si="17"/>
        <v>0</v>
      </c>
      <c r="AW49" s="9">
        <f t="shared" si="17"/>
        <v>0</v>
      </c>
      <c r="AX49" s="9">
        <f t="shared" si="17"/>
        <v>0</v>
      </c>
      <c r="AY49" s="9">
        <f t="shared" si="17"/>
        <v>0</v>
      </c>
      <c r="AZ49" s="9">
        <f t="shared" si="17"/>
        <v>640000</v>
      </c>
      <c r="BA49" s="9">
        <f t="shared" si="17"/>
        <v>100000</v>
      </c>
      <c r="BB49" s="9">
        <f t="shared" si="17"/>
        <v>0</v>
      </c>
      <c r="BC49" s="9">
        <f t="shared" si="17"/>
        <v>0</v>
      </c>
      <c r="BD49" s="9">
        <f t="shared" si="17"/>
        <v>11450000</v>
      </c>
      <c r="BF49" s="191"/>
    </row>
    <row r="50" spans="1:58" s="49" customFormat="1" hidden="1">
      <c r="A50" s="54"/>
      <c r="B50" s="54"/>
      <c r="C50" s="54"/>
      <c r="D50" s="33"/>
      <c r="E50" s="33"/>
      <c r="F50" s="33"/>
      <c r="G50" s="33"/>
      <c r="H50" s="33"/>
      <c r="I50" s="33"/>
      <c r="J50" s="33"/>
      <c r="K50" s="33"/>
      <c r="L50" s="22">
        <f>H49+K49</f>
        <v>169817214.45999998</v>
      </c>
      <c r="M50" s="22">
        <f>P49+S49-T49</f>
        <v>7236164.54</v>
      </c>
      <c r="N50" s="46"/>
      <c r="O50" s="25"/>
      <c r="P50" s="22">
        <f>G49-L49</f>
        <v>4548364.5400000513</v>
      </c>
      <c r="Q50" s="25"/>
      <c r="R50" s="25"/>
      <c r="S50" s="25"/>
      <c r="T50" s="25"/>
      <c r="U50" s="22">
        <f>N49-T49</f>
        <v>36405000</v>
      </c>
      <c r="V50" s="33"/>
      <c r="W50" s="33"/>
      <c r="X50" s="33"/>
      <c r="Y50" s="33"/>
      <c r="Z50" s="33"/>
      <c r="AA50" s="475"/>
      <c r="AB50" s="54"/>
      <c r="AC50" s="333"/>
      <c r="AD50" s="333"/>
      <c r="AE50" s="333"/>
      <c r="AF50" s="333"/>
      <c r="AG50" s="333"/>
      <c r="AH50" s="333"/>
      <c r="AI50" s="333"/>
      <c r="AJ50" s="333"/>
      <c r="AK50" s="333"/>
      <c r="AL50" s="330"/>
      <c r="AM50" s="330"/>
      <c r="AN50" s="333"/>
      <c r="AO50" s="28"/>
      <c r="AP50" s="333"/>
      <c r="AQ50" s="28"/>
      <c r="AR50" s="191"/>
      <c r="AS50" s="54"/>
      <c r="AT50" s="333"/>
      <c r="AU50" s="28"/>
      <c r="AV50" s="191"/>
      <c r="AW50" s="54"/>
      <c r="AX50" s="333"/>
      <c r="AY50" s="28"/>
      <c r="AZ50" s="191"/>
      <c r="BA50" s="54"/>
      <c r="BB50" s="191"/>
      <c r="BC50" s="54"/>
      <c r="BD50" s="54"/>
      <c r="BF50" s="191"/>
    </row>
    <row r="51" spans="1:58" s="49" customFormat="1">
      <c r="A51" s="54"/>
      <c r="B51" s="54"/>
      <c r="C51" s="54"/>
      <c r="D51" s="33"/>
      <c r="E51" s="33"/>
      <c r="F51" s="33"/>
      <c r="G51" s="33"/>
      <c r="H51" s="33"/>
      <c r="I51" s="33"/>
      <c r="J51" s="33"/>
      <c r="K51" s="33"/>
      <c r="L51" s="25"/>
      <c r="M51" s="25"/>
      <c r="N51" s="33"/>
      <c r="O51" s="33"/>
      <c r="P51" s="16"/>
      <c r="Q51" s="33"/>
      <c r="R51" s="33"/>
      <c r="S51" s="33"/>
      <c r="T51" s="33"/>
      <c r="U51" s="25"/>
      <c r="V51" s="33"/>
      <c r="W51" s="33"/>
      <c r="X51" s="33"/>
      <c r="Y51" s="33"/>
      <c r="Z51" s="33"/>
      <c r="AA51" s="475"/>
      <c r="AB51" s="54"/>
      <c r="AC51" s="333"/>
      <c r="AD51" s="333"/>
      <c r="AE51" s="333"/>
      <c r="AF51" s="333"/>
      <c r="AG51" s="333"/>
      <c r="AH51" s="333"/>
      <c r="AI51" s="333"/>
      <c r="AJ51" s="333"/>
      <c r="AK51" s="333"/>
      <c r="AL51" s="330"/>
      <c r="AM51" s="330"/>
      <c r="AN51" s="333"/>
      <c r="AO51" s="28"/>
      <c r="AP51" s="333"/>
      <c r="AQ51" s="28"/>
      <c r="AR51" s="191"/>
      <c r="AS51" s="54"/>
      <c r="AT51" s="333"/>
      <c r="AU51" s="28"/>
      <c r="AV51" s="191"/>
      <c r="AW51" s="54"/>
      <c r="AX51" s="333"/>
      <c r="AY51" s="28"/>
      <c r="AZ51" s="191"/>
      <c r="BA51" s="54"/>
      <c r="BB51" s="191"/>
      <c r="BC51" s="54"/>
      <c r="BD51" s="54"/>
      <c r="BF51" s="191"/>
    </row>
    <row r="52" spans="1:58" s="42" customForma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6"/>
      <c r="O52" s="16"/>
      <c r="P52" s="16"/>
      <c r="Q52" s="16"/>
      <c r="R52" s="16"/>
      <c r="S52" s="16"/>
      <c r="T52" s="16"/>
      <c r="U52" s="14"/>
      <c r="V52" s="14"/>
      <c r="W52" s="14"/>
      <c r="X52" s="14"/>
      <c r="Y52" s="14"/>
      <c r="Z52" s="14"/>
      <c r="AA52" s="37"/>
      <c r="AB52" s="14"/>
      <c r="AC52" s="333"/>
      <c r="AD52" s="333"/>
      <c r="AE52" s="333"/>
      <c r="AF52" s="333"/>
      <c r="AG52" s="333"/>
      <c r="AH52" s="333"/>
      <c r="AI52" s="333"/>
      <c r="AJ52" s="333"/>
      <c r="AK52" s="333"/>
      <c r="AL52" s="330"/>
      <c r="AM52" s="330"/>
      <c r="AN52" s="333"/>
      <c r="AO52" s="19"/>
      <c r="AP52" s="333"/>
      <c r="AQ52" s="19"/>
      <c r="AR52" s="191"/>
      <c r="AS52" s="19"/>
      <c r="AT52" s="333"/>
      <c r="AU52" s="19"/>
      <c r="AV52" s="191"/>
      <c r="AW52" s="19"/>
      <c r="AX52" s="333"/>
      <c r="AY52" s="19"/>
      <c r="AZ52" s="191"/>
      <c r="BA52" s="19"/>
      <c r="BB52" s="191"/>
      <c r="BC52" s="19"/>
      <c r="BD52" s="19"/>
      <c r="BF52" s="191"/>
    </row>
    <row r="53" spans="1:58" s="42" customForma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6"/>
      <c r="O53" s="16"/>
      <c r="P53" s="16"/>
      <c r="Q53" s="16"/>
      <c r="R53" s="16"/>
      <c r="S53" s="16"/>
      <c r="T53" s="16"/>
      <c r="U53" s="14"/>
      <c r="V53" s="14"/>
      <c r="W53" s="14"/>
      <c r="X53" s="14"/>
      <c r="Y53" s="14"/>
      <c r="Z53" s="14"/>
      <c r="AA53" s="37"/>
      <c r="AB53" s="14"/>
      <c r="AC53" s="333"/>
      <c r="AD53" s="333"/>
      <c r="AE53" s="333"/>
      <c r="AF53" s="333"/>
      <c r="AG53" s="333"/>
      <c r="AH53" s="333"/>
      <c r="AI53" s="333"/>
      <c r="AJ53" s="333"/>
      <c r="AK53" s="333"/>
      <c r="AL53" s="330"/>
      <c r="AM53" s="330"/>
      <c r="AN53" s="333"/>
      <c r="AO53" s="19"/>
      <c r="AP53" s="333"/>
      <c r="AQ53" s="19"/>
      <c r="AR53" s="191"/>
      <c r="AS53" s="19"/>
      <c r="AT53" s="333"/>
      <c r="AU53" s="19"/>
      <c r="AV53" s="191"/>
      <c r="AW53" s="19"/>
      <c r="AX53" s="333"/>
      <c r="AY53" s="19"/>
      <c r="AZ53" s="191"/>
      <c r="BA53" s="19"/>
      <c r="BB53" s="191"/>
      <c r="BC53" s="19"/>
      <c r="BD53" s="19"/>
      <c r="BF53" s="191"/>
    </row>
    <row r="54" spans="1:58" s="42" customForma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6"/>
      <c r="O54" s="16"/>
      <c r="P54" s="16"/>
      <c r="Q54" s="16"/>
      <c r="R54" s="16"/>
      <c r="S54" s="16"/>
      <c r="T54" s="16"/>
      <c r="U54" s="14"/>
      <c r="V54" s="14"/>
      <c r="W54" s="14"/>
      <c r="X54" s="14"/>
      <c r="Y54" s="14"/>
      <c r="Z54" s="14"/>
      <c r="AA54" s="37"/>
      <c r="AB54" s="14"/>
      <c r="AC54" s="333"/>
      <c r="AD54" s="333"/>
      <c r="AE54" s="333"/>
      <c r="AF54" s="333"/>
      <c r="AG54" s="333"/>
      <c r="AH54" s="333"/>
      <c r="AI54" s="333"/>
      <c r="AJ54" s="333"/>
      <c r="AK54" s="333"/>
      <c r="AL54" s="330"/>
      <c r="AM54" s="330"/>
      <c r="AN54" s="333"/>
      <c r="AO54" s="19"/>
      <c r="AP54" s="333"/>
      <c r="AQ54" s="19"/>
      <c r="AR54" s="191"/>
      <c r="AS54" s="19"/>
      <c r="AT54" s="333"/>
      <c r="AU54" s="19"/>
      <c r="AV54" s="191"/>
      <c r="AW54" s="19"/>
      <c r="AX54" s="333"/>
      <c r="AY54" s="19"/>
      <c r="AZ54" s="191"/>
      <c r="BA54" s="19"/>
      <c r="BB54" s="191"/>
      <c r="BC54" s="19"/>
      <c r="BD54" s="19"/>
      <c r="BF54" s="191"/>
    </row>
    <row r="55" spans="1:58" s="42" customFormat="1">
      <c r="A55" s="37"/>
      <c r="B55" s="14"/>
      <c r="C55" s="14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4"/>
      <c r="V55" s="14"/>
      <c r="W55" s="14"/>
      <c r="X55" s="14"/>
      <c r="Y55" s="14"/>
      <c r="Z55" s="14"/>
      <c r="AA55" s="37"/>
      <c r="AB55" s="14"/>
      <c r="AC55" s="333"/>
      <c r="AD55" s="333"/>
      <c r="AE55" s="333"/>
      <c r="AF55" s="333"/>
      <c r="AG55" s="333"/>
      <c r="AH55" s="333"/>
      <c r="AI55" s="333"/>
      <c r="AJ55" s="333"/>
      <c r="AK55" s="333"/>
      <c r="AL55" s="330"/>
      <c r="AM55" s="330"/>
      <c r="AN55" s="333"/>
      <c r="AO55" s="19"/>
      <c r="AP55" s="333"/>
      <c r="AQ55" s="19"/>
      <c r="AR55" s="191"/>
      <c r="AS55" s="19"/>
      <c r="AT55" s="333"/>
      <c r="AU55" s="19"/>
      <c r="AV55" s="191"/>
      <c r="AW55" s="19"/>
      <c r="AX55" s="333"/>
      <c r="AY55" s="19"/>
      <c r="AZ55" s="191"/>
      <c r="BA55" s="19"/>
      <c r="BB55" s="191"/>
      <c r="BC55" s="19"/>
      <c r="BD55" s="19"/>
      <c r="BF55" s="191"/>
    </row>
    <row r="56" spans="1:58" hidden="1"/>
    <row r="57" spans="1:58" s="42" customFormat="1" hidden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6"/>
      <c r="O57" s="16"/>
      <c r="P57" s="16"/>
      <c r="Q57" s="16"/>
      <c r="R57" s="16"/>
      <c r="S57" s="16"/>
      <c r="T57" s="16"/>
      <c r="U57" s="14"/>
      <c r="V57" s="14"/>
      <c r="W57" s="14"/>
      <c r="X57" s="14"/>
      <c r="Y57" s="14"/>
      <c r="Z57" s="14"/>
      <c r="AA57" s="37"/>
      <c r="AB57" s="14"/>
      <c r="AC57" s="333"/>
      <c r="AD57" s="333"/>
      <c r="AE57" s="333"/>
      <c r="AF57" s="333"/>
      <c r="AG57" s="333"/>
      <c r="AH57" s="333"/>
      <c r="AI57" s="333"/>
      <c r="AJ57" s="333"/>
      <c r="AK57" s="333"/>
      <c r="AL57" s="330"/>
      <c r="AM57" s="330"/>
      <c r="AN57" s="333"/>
      <c r="AO57" s="19"/>
      <c r="AP57" s="333"/>
      <c r="AQ57" s="19"/>
      <c r="AR57" s="191"/>
      <c r="AS57" s="19"/>
      <c r="AT57" s="333"/>
      <c r="AU57" s="19"/>
      <c r="AV57" s="191"/>
      <c r="AW57" s="19"/>
      <c r="AX57" s="333"/>
      <c r="AY57" s="19"/>
      <c r="AZ57" s="191"/>
      <c r="BA57" s="19"/>
      <c r="BB57" s="191"/>
      <c r="BC57" s="19"/>
      <c r="BD57" s="19"/>
      <c r="BF57" s="191"/>
    </row>
    <row r="58" spans="1:58" s="42" customFormat="1" hidden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6"/>
      <c r="O58" s="16"/>
      <c r="P58" s="16"/>
      <c r="Q58" s="16"/>
      <c r="R58" s="16"/>
      <c r="S58" s="16"/>
      <c r="T58" s="16"/>
      <c r="U58" s="14"/>
      <c r="V58" s="14"/>
      <c r="W58" s="14"/>
      <c r="X58" s="14"/>
      <c r="Y58" s="14"/>
      <c r="Z58" s="14"/>
      <c r="AA58" s="37"/>
      <c r="AB58" s="14"/>
      <c r="AC58" s="333"/>
      <c r="AD58" s="333"/>
      <c r="AE58" s="333"/>
      <c r="AF58" s="333"/>
      <c r="AG58" s="333"/>
      <c r="AH58" s="333"/>
      <c r="AI58" s="333"/>
      <c r="AJ58" s="333"/>
      <c r="AK58" s="333"/>
      <c r="AL58" s="330"/>
      <c r="AM58" s="330"/>
      <c r="AN58" s="333"/>
      <c r="AO58" s="19"/>
      <c r="AP58" s="333"/>
      <c r="AQ58" s="19"/>
      <c r="AR58" s="191"/>
      <c r="AS58" s="19"/>
      <c r="AT58" s="333"/>
      <c r="AU58" s="19"/>
      <c r="AV58" s="191"/>
      <c r="AW58" s="19"/>
      <c r="AX58" s="333"/>
      <c r="AY58" s="19"/>
      <c r="AZ58" s="191"/>
      <c r="BA58" s="19"/>
      <c r="BB58" s="191"/>
      <c r="BC58" s="19"/>
      <c r="BD58" s="19"/>
      <c r="BF58" s="191"/>
    </row>
    <row r="59" spans="1:58" s="42" customFormat="1" hidden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6"/>
      <c r="O59" s="16"/>
      <c r="P59" s="16"/>
      <c r="Q59" s="16"/>
      <c r="R59" s="16"/>
      <c r="S59" s="16"/>
      <c r="T59" s="16"/>
      <c r="U59" s="14"/>
      <c r="V59" s="14"/>
      <c r="W59" s="14"/>
      <c r="X59" s="14"/>
      <c r="Y59" s="14"/>
      <c r="Z59" s="14"/>
      <c r="AA59" s="37"/>
      <c r="AB59" s="14"/>
      <c r="AC59" s="333"/>
      <c r="AD59" s="333"/>
      <c r="AE59" s="333"/>
      <c r="AF59" s="333"/>
      <c r="AG59" s="333"/>
      <c r="AH59" s="333"/>
      <c r="AI59" s="333"/>
      <c r="AJ59" s="333"/>
      <c r="AK59" s="333"/>
      <c r="AL59" s="330"/>
      <c r="AM59" s="330"/>
      <c r="AN59" s="333"/>
      <c r="AO59" s="19"/>
      <c r="AP59" s="333"/>
      <c r="AQ59" s="19"/>
      <c r="AR59" s="191"/>
      <c r="AS59" s="19"/>
      <c r="AT59" s="333"/>
      <c r="AU59" s="19"/>
      <c r="AV59" s="191"/>
      <c r="AW59" s="19"/>
      <c r="AX59" s="333"/>
      <c r="AY59" s="19"/>
      <c r="AZ59" s="191"/>
      <c r="BA59" s="19"/>
      <c r="BB59" s="191"/>
      <c r="BC59" s="19"/>
      <c r="BD59" s="19"/>
      <c r="BF59" s="191"/>
    </row>
    <row r="60" spans="1:58" s="42" customFormat="1" hidden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6"/>
      <c r="S60" s="14"/>
      <c r="T60" s="14"/>
      <c r="U60" s="14"/>
      <c r="V60" s="14"/>
      <c r="W60" s="14"/>
      <c r="X60" s="14"/>
      <c r="Y60" s="14"/>
      <c r="Z60" s="14"/>
      <c r="AA60" s="37"/>
      <c r="AB60" s="14"/>
      <c r="AC60" s="333"/>
      <c r="AD60" s="333"/>
      <c r="AE60" s="333"/>
      <c r="AF60" s="333"/>
      <c r="AG60" s="333"/>
      <c r="AH60" s="333"/>
      <c r="AI60" s="333"/>
      <c r="AJ60" s="333"/>
      <c r="AK60" s="333"/>
      <c r="AL60" s="330"/>
      <c r="AM60" s="330"/>
      <c r="AN60" s="333"/>
      <c r="AO60" s="19"/>
      <c r="AP60" s="333"/>
      <c r="AQ60" s="19"/>
      <c r="AR60" s="191"/>
      <c r="AS60" s="19"/>
      <c r="AT60" s="333"/>
      <c r="AU60" s="19"/>
      <c r="AV60" s="191"/>
      <c r="AW60" s="19"/>
      <c r="AX60" s="333"/>
      <c r="AY60" s="19"/>
      <c r="AZ60" s="191"/>
      <c r="BA60" s="19"/>
      <c r="BB60" s="191"/>
      <c r="BC60" s="19"/>
      <c r="BD60" s="19"/>
      <c r="BF60" s="191"/>
    </row>
    <row r="61" spans="1:58" hidden="1"/>
    <row r="62" spans="1:58" hidden="1"/>
    <row r="63" spans="1:58" s="37" customFormat="1" hidden="1">
      <c r="B63" s="14"/>
      <c r="C63" s="14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4"/>
      <c r="V63" s="14"/>
      <c r="W63" s="14"/>
      <c r="X63" s="14"/>
      <c r="Y63" s="14"/>
      <c r="Z63" s="14"/>
      <c r="AB63" s="14"/>
      <c r="AC63" s="333"/>
      <c r="AD63" s="333"/>
      <c r="AE63" s="333"/>
      <c r="AF63" s="333"/>
      <c r="AG63" s="333"/>
      <c r="AH63" s="333"/>
      <c r="AI63" s="333"/>
      <c r="AJ63" s="333"/>
      <c r="AK63" s="333"/>
      <c r="AL63" s="330"/>
      <c r="AM63" s="330"/>
      <c r="AN63" s="333"/>
      <c r="AO63" s="19"/>
      <c r="AP63" s="333"/>
      <c r="AQ63" s="19"/>
      <c r="AR63" s="191"/>
      <c r="AS63" s="19"/>
      <c r="AT63" s="333"/>
      <c r="AU63" s="19"/>
      <c r="AV63" s="191"/>
      <c r="AW63" s="19"/>
      <c r="AX63" s="333"/>
      <c r="AY63" s="19"/>
      <c r="AZ63" s="191"/>
      <c r="BA63" s="19"/>
      <c r="BB63" s="191"/>
      <c r="BC63" s="19"/>
      <c r="BD63" s="19"/>
      <c r="BF63" s="191"/>
    </row>
  </sheetData>
  <sheetProtection formatCells="0" formatColumns="0" formatRows="0" insertColumns="0" insertRows="0" insertHyperlinks="0" deleteColumns="0" deleteRows="0" sort="0" autoFilter="0" pivotTables="0"/>
  <mergeCells count="5">
    <mergeCell ref="T4:Z4"/>
    <mergeCell ref="AL4:AN4"/>
    <mergeCell ref="AP4:AT4"/>
    <mergeCell ref="AU4:AY4"/>
    <mergeCell ref="AZ4:BD4"/>
  </mergeCells>
  <conditionalFormatting sqref="AC5">
    <cfRule type="cellIs" dxfId="158" priority="17" operator="equal">
      <formula>0</formula>
    </cfRule>
  </conditionalFormatting>
  <conditionalFormatting sqref="AC4">
    <cfRule type="cellIs" dxfId="157" priority="16" operator="equal">
      <formula>0</formula>
    </cfRule>
  </conditionalFormatting>
  <conditionalFormatting sqref="AK5">
    <cfRule type="cellIs" dxfId="156" priority="15" operator="equal">
      <formula>0</formula>
    </cfRule>
  </conditionalFormatting>
  <conditionalFormatting sqref="AD5">
    <cfRule type="cellIs" dxfId="155" priority="14" operator="equal">
      <formula>0</formula>
    </cfRule>
  </conditionalFormatting>
  <conditionalFormatting sqref="AE5">
    <cfRule type="cellIs" dxfId="154" priority="13" operator="equal">
      <formula>0</formula>
    </cfRule>
  </conditionalFormatting>
  <conditionalFormatting sqref="AF5">
    <cfRule type="cellIs" dxfId="153" priority="12" operator="equal">
      <formula>0</formula>
    </cfRule>
  </conditionalFormatting>
  <conditionalFormatting sqref="AG5">
    <cfRule type="cellIs" dxfId="152" priority="11" operator="equal">
      <formula>0</formula>
    </cfRule>
  </conditionalFormatting>
  <conditionalFormatting sqref="AH5">
    <cfRule type="cellIs" dxfId="151" priority="10" operator="equal">
      <formula>0</formula>
    </cfRule>
  </conditionalFormatting>
  <conditionalFormatting sqref="AI5">
    <cfRule type="cellIs" dxfId="150" priority="9" operator="equal">
      <formula>0</formula>
    </cfRule>
  </conditionalFormatting>
  <conditionalFormatting sqref="AJ5">
    <cfRule type="cellIs" dxfId="149" priority="8" operator="equal">
      <formula>0</formula>
    </cfRule>
  </conditionalFormatting>
  <conditionalFormatting sqref="AL5:AN5">
    <cfRule type="cellIs" dxfId="148" priority="5" operator="equal">
      <formula>0</formula>
    </cfRule>
  </conditionalFormatting>
  <conditionalFormatting sqref="AU5">
    <cfRule type="cellIs" dxfId="147" priority="2" operator="equal">
      <formula>0</formula>
    </cfRule>
  </conditionalFormatting>
  <conditionalFormatting sqref="AZ5">
    <cfRule type="cellIs" dxfId="146" priority="1" operator="equal">
      <formula>0</formula>
    </cfRule>
  </conditionalFormatting>
  <conditionalFormatting sqref="AP5">
    <cfRule type="cellIs" dxfId="145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showZeros="0" rightToLeft="1" tabSelected="1" zoomScaleNormal="100" workbookViewId="0">
      <pane xSplit="3" ySplit="5" topLeftCell="T9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3.5546875" style="37" customWidth="1"/>
    <col min="2" max="2" width="5.44140625" style="14" customWidth="1"/>
    <col min="3" max="3" width="35.6640625" style="14" customWidth="1"/>
    <col min="4" max="4" width="9.44140625" style="16" hidden="1" customWidth="1"/>
    <col min="5" max="5" width="9.109375" style="16" hidden="1" customWidth="1"/>
    <col min="6" max="6" width="10.5546875" style="16" hidden="1" customWidth="1"/>
    <col min="7" max="7" width="11.109375" style="16" hidden="1" customWidth="1"/>
    <col min="8" max="10" width="12.6640625" style="16" hidden="1" customWidth="1"/>
    <col min="11" max="11" width="11.33203125" style="16" hidden="1" customWidth="1"/>
    <col min="12" max="12" width="9.33203125" style="16" hidden="1" customWidth="1"/>
    <col min="13" max="13" width="7.5546875" style="16" hidden="1" customWidth="1"/>
    <col min="14" max="14" width="10.44140625" style="16" hidden="1" customWidth="1"/>
    <col min="15" max="15" width="8.5546875" style="16" hidden="1" customWidth="1"/>
    <col min="16" max="17" width="11.109375" style="16" hidden="1" customWidth="1"/>
    <col min="18" max="19" width="12" style="16" hidden="1" customWidth="1"/>
    <col min="20" max="20" width="7.33203125" style="16" customWidth="1"/>
    <col min="21" max="21" width="10" style="14" customWidth="1"/>
    <col min="22" max="22" width="10.33203125" style="14" hidden="1" customWidth="1"/>
    <col min="23" max="23" width="9.109375" style="14" customWidth="1"/>
    <col min="24" max="24" width="5.33203125" style="14" hidden="1" customWidth="1"/>
    <col min="25" max="25" width="6.6640625" style="14" customWidth="1"/>
    <col min="26" max="26" width="9" style="14" customWidth="1"/>
    <col min="27" max="28" width="10.77734375" style="14" hidden="1" customWidth="1"/>
    <col min="29" max="37" width="10.77734375" style="333" hidden="1" customWidth="1"/>
    <col min="38" max="39" width="10.77734375" style="210" hidden="1" customWidth="1"/>
    <col min="40" max="40" width="12.6640625" style="31" customWidth="1"/>
    <col min="41" max="41" width="10" style="31" customWidth="1"/>
    <col min="42" max="42" width="9.77734375" style="31" customWidth="1"/>
    <col min="43" max="43" width="10.88671875" style="31" customWidth="1"/>
    <col min="44" max="44" width="12.6640625" style="31" hidden="1" customWidth="1"/>
    <col min="45" max="45" width="10.33203125" style="31" customWidth="1"/>
    <col min="46" max="46" width="11" style="31" customWidth="1"/>
    <col min="47" max="52" width="12.6640625" style="31" hidden="1" customWidth="1"/>
    <col min="53" max="53" width="11.21875" style="31" hidden="1" customWidth="1"/>
    <col min="54" max="55" width="12.6640625" style="31" hidden="1" customWidth="1"/>
    <col min="56" max="56" width="10.21875" style="31" hidden="1" customWidth="1"/>
    <col min="57" max="16384" width="9.109375" style="14"/>
  </cols>
  <sheetData>
    <row r="1" spans="1:56" s="331" customFormat="1" ht="18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30"/>
      <c r="AB1" s="330"/>
      <c r="AC1" s="333"/>
      <c r="AD1" s="333"/>
      <c r="AE1" s="333"/>
      <c r="AF1" s="333"/>
      <c r="AG1" s="333"/>
      <c r="AH1" s="333"/>
      <c r="AI1" s="333"/>
      <c r="AJ1" s="333"/>
      <c r="AK1" s="333"/>
      <c r="AL1" s="210"/>
      <c r="AM1" s="210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</row>
    <row r="2" spans="1:56" s="191" customFormat="1" ht="18">
      <c r="A2" s="86" t="s">
        <v>1008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  <c r="AL2" s="210"/>
      <c r="AM2" s="210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</row>
    <row r="3" spans="1:56" s="191" customFormat="1" ht="18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33"/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210"/>
      <c r="AM3" s="210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</row>
    <row r="4" spans="1:56">
      <c r="A4" s="838"/>
      <c r="B4" s="839"/>
      <c r="C4" s="840"/>
      <c r="T4" s="836" t="s">
        <v>111</v>
      </c>
      <c r="U4" s="836"/>
      <c r="V4" s="836"/>
      <c r="W4" s="836"/>
      <c r="X4" s="836"/>
      <c r="Y4" s="836"/>
      <c r="Z4" s="836"/>
      <c r="AA4" s="37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2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6" s="31" customFormat="1" ht="86.25" customHeight="1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9</v>
      </c>
      <c r="J5" s="18" t="s">
        <v>215</v>
      </c>
      <c r="K5" s="18" t="s">
        <v>10</v>
      </c>
      <c r="L5" s="18" t="s">
        <v>11</v>
      </c>
      <c r="M5" s="10" t="s">
        <v>402</v>
      </c>
      <c r="N5" s="18" t="s">
        <v>403</v>
      </c>
      <c r="O5" s="18" t="s">
        <v>404</v>
      </c>
      <c r="P5" s="18" t="s">
        <v>12</v>
      </c>
      <c r="Q5" s="18" t="s">
        <v>405</v>
      </c>
      <c r="R5" s="18" t="s">
        <v>406</v>
      </c>
      <c r="S5" s="18" t="s">
        <v>407</v>
      </c>
      <c r="T5" s="18" t="s">
        <v>408</v>
      </c>
      <c r="U5" s="18" t="s">
        <v>409</v>
      </c>
      <c r="V5" s="18" t="s">
        <v>13</v>
      </c>
      <c r="W5" s="18" t="s">
        <v>14</v>
      </c>
      <c r="X5" s="18" t="s">
        <v>15</v>
      </c>
      <c r="Y5" s="18" t="s">
        <v>354</v>
      </c>
      <c r="Z5" s="18" t="s">
        <v>105</v>
      </c>
      <c r="AA5" s="517" t="s">
        <v>410</v>
      </c>
      <c r="AB5" s="18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6" s="5" customFormat="1" ht="18.75" customHeight="1">
      <c r="A6" s="3"/>
      <c r="B6" s="3"/>
      <c r="C6" s="4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3"/>
      <c r="AB6" s="3"/>
      <c r="AC6" s="208"/>
      <c r="AD6" s="208"/>
      <c r="AE6" s="208"/>
      <c r="AF6" s="208"/>
      <c r="AG6" s="208"/>
      <c r="AH6" s="208"/>
      <c r="AI6" s="208"/>
      <c r="AJ6" s="208"/>
      <c r="AK6" s="208"/>
      <c r="AL6" s="367"/>
      <c r="AM6" s="367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56" s="5" customFormat="1" ht="19.95" customHeight="1">
      <c r="A7" s="3">
        <f>A6+1</f>
        <v>1</v>
      </c>
      <c r="B7" s="188">
        <v>1630</v>
      </c>
      <c r="C7" s="188" t="s">
        <v>1261</v>
      </c>
      <c r="D7" s="4">
        <f>960000-460000</f>
        <v>500000</v>
      </c>
      <c r="E7" s="4">
        <v>960000</v>
      </c>
      <c r="F7" s="4">
        <f>D7-E7</f>
        <v>-460000</v>
      </c>
      <c r="G7" s="4">
        <v>530000</v>
      </c>
      <c r="H7" s="4">
        <v>495765</v>
      </c>
      <c r="I7" s="4"/>
      <c r="J7" s="4"/>
      <c r="K7" s="4">
        <f t="shared" ref="K7:K21" si="0">I7+J7</f>
        <v>0</v>
      </c>
      <c r="L7" s="4">
        <f t="shared" ref="L7:L21" si="1">H7+K7</f>
        <v>495765</v>
      </c>
      <c r="M7" s="4">
        <f>P7+S7-30000</f>
        <v>4235</v>
      </c>
      <c r="N7" s="4">
        <f>200000-110000-90000</f>
        <v>0</v>
      </c>
      <c r="O7" s="4">
        <f t="shared" ref="O7:O21" si="2">D7-L7-M7-N7</f>
        <v>0</v>
      </c>
      <c r="P7" s="4">
        <f t="shared" ref="P7:P21" si="3">G7-L7</f>
        <v>34235</v>
      </c>
      <c r="Q7" s="4"/>
      <c r="R7" s="4"/>
      <c r="S7" s="4">
        <f t="shared" ref="S7:S21" si="4">SUM(Q7:R7)</f>
        <v>0</v>
      </c>
      <c r="T7" s="4">
        <f t="shared" ref="T7:T21" si="5">P7-M7+S7</f>
        <v>30000</v>
      </c>
      <c r="U7" s="4">
        <f t="shared" ref="U7:U21" si="6">N7-T7</f>
        <v>-30000</v>
      </c>
      <c r="V7" s="11"/>
      <c r="W7" s="4">
        <f t="shared" ref="W7:W21" si="7">U7-V7-Y7-Z7</f>
        <v>-30000</v>
      </c>
      <c r="X7" s="4"/>
      <c r="Y7" s="4"/>
      <c r="Z7" s="3"/>
      <c r="AA7" s="3"/>
      <c r="AB7" s="3">
        <v>747000</v>
      </c>
      <c r="AC7" s="4"/>
      <c r="AD7" s="4"/>
      <c r="AE7" s="4">
        <v>-30000</v>
      </c>
      <c r="AF7" s="4"/>
      <c r="AG7" s="4"/>
      <c r="AH7" s="4"/>
      <c r="AI7" s="4"/>
      <c r="AJ7" s="4"/>
      <c r="AK7" s="4"/>
      <c r="AL7" s="4">
        <f>SUM(AC7:AK7)</f>
        <v>-30000</v>
      </c>
      <c r="AM7" s="4"/>
      <c r="AN7" s="4">
        <f>AL7+AM7</f>
        <v>-30000</v>
      </c>
      <c r="AO7" s="4">
        <f>U7-AN7</f>
        <v>0</v>
      </c>
      <c r="AP7" s="4"/>
      <c r="AQ7" s="4">
        <f>AN7-AP7-AR7-AS7-AT7</f>
        <v>-30000</v>
      </c>
      <c r="AR7" s="4"/>
      <c r="AS7" s="4"/>
      <c r="AT7" s="4"/>
      <c r="AU7" s="4"/>
      <c r="AV7" s="4">
        <f>AM7-AU7-AW7-AX7-AY7</f>
        <v>0</v>
      </c>
      <c r="AW7" s="4"/>
      <c r="AX7" s="4"/>
      <c r="AY7" s="4"/>
      <c r="AZ7" s="4"/>
      <c r="BA7" s="4">
        <f>AO7-AZ7-BB7-BC7-BD7</f>
        <v>0</v>
      </c>
      <c r="BB7" s="4"/>
      <c r="BC7" s="4"/>
      <c r="BD7" s="4"/>
    </row>
    <row r="8" spans="1:56" s="5" customFormat="1" ht="19.95" customHeight="1">
      <c r="A8" s="3">
        <f t="shared" ref="A8:A25" si="8">A7+1</f>
        <v>2</v>
      </c>
      <c r="B8" s="3">
        <v>1700</v>
      </c>
      <c r="C8" s="3" t="s">
        <v>213</v>
      </c>
      <c r="D8" s="4">
        <v>72000</v>
      </c>
      <c r="E8" s="4">
        <v>72000</v>
      </c>
      <c r="F8" s="4">
        <f t="shared" ref="F8:F21" si="9">D8-E8</f>
        <v>0</v>
      </c>
      <c r="G8" s="4">
        <v>72000</v>
      </c>
      <c r="H8" s="4">
        <v>56971</v>
      </c>
      <c r="I8" s="4"/>
      <c r="J8" s="4"/>
      <c r="K8" s="4">
        <f t="shared" si="0"/>
        <v>0</v>
      </c>
      <c r="L8" s="4">
        <f t="shared" si="1"/>
        <v>56971</v>
      </c>
      <c r="M8" s="4">
        <f t="shared" ref="M8:M21" si="10">P8+S8</f>
        <v>15029</v>
      </c>
      <c r="N8" s="4"/>
      <c r="O8" s="4">
        <f t="shared" si="2"/>
        <v>0</v>
      </c>
      <c r="P8" s="4">
        <f t="shared" si="3"/>
        <v>15029</v>
      </c>
      <c r="Q8" s="4"/>
      <c r="R8" s="4"/>
      <c r="S8" s="4">
        <f t="shared" si="4"/>
        <v>0</v>
      </c>
      <c r="T8" s="4">
        <f t="shared" si="5"/>
        <v>0</v>
      </c>
      <c r="U8" s="4">
        <f t="shared" si="6"/>
        <v>0</v>
      </c>
      <c r="V8" s="11"/>
      <c r="W8" s="4">
        <f t="shared" si="7"/>
        <v>0</v>
      </c>
      <c r="X8" s="4"/>
      <c r="Y8" s="4"/>
      <c r="Z8" s="3"/>
      <c r="AA8" s="3" t="s">
        <v>803</v>
      </c>
      <c r="AB8" s="3">
        <v>747000</v>
      </c>
      <c r="AC8" s="4"/>
      <c r="AD8" s="4"/>
      <c r="AE8" s="4"/>
      <c r="AF8" s="4"/>
      <c r="AG8" s="4"/>
      <c r="AH8" s="4"/>
      <c r="AI8" s="4"/>
      <c r="AJ8" s="4"/>
      <c r="AK8" s="4"/>
      <c r="AL8" s="4">
        <f t="shared" ref="AL8:AL25" si="11">SUM(AC8:AK8)</f>
        <v>0</v>
      </c>
      <c r="AM8" s="4"/>
      <c r="AN8" s="4">
        <f t="shared" ref="AN8:AN25" si="12">AL8+AM8</f>
        <v>0</v>
      </c>
      <c r="AO8" s="4">
        <f t="shared" ref="AO8:AO25" si="13">U8-AN8</f>
        <v>0</v>
      </c>
      <c r="AP8" s="4"/>
      <c r="AQ8" s="4">
        <f t="shared" ref="AQ8:AQ25" si="14">AN8-AP8-AR8-AS8-AT8</f>
        <v>0</v>
      </c>
      <c r="AR8" s="4"/>
      <c r="AS8" s="4"/>
      <c r="AT8" s="4"/>
      <c r="AU8" s="4"/>
      <c r="AV8" s="4">
        <f t="shared" ref="AV8:AV25" si="15">AM8-AU8-AW8-AX8-AY8</f>
        <v>0</v>
      </c>
      <c r="AW8" s="4"/>
      <c r="AX8" s="4"/>
      <c r="AY8" s="4"/>
      <c r="AZ8" s="4"/>
      <c r="BA8" s="4">
        <f t="shared" ref="BA8:BA25" si="16">AO8-AZ8-BB8-BC8-BD8</f>
        <v>0</v>
      </c>
      <c r="BB8" s="4"/>
      <c r="BC8" s="4"/>
      <c r="BD8" s="4"/>
    </row>
    <row r="9" spans="1:56" s="5" customFormat="1" ht="19.95" customHeight="1">
      <c r="A9" s="3">
        <f t="shared" si="8"/>
        <v>3</v>
      </c>
      <c r="B9" s="188">
        <v>1862</v>
      </c>
      <c r="C9" s="188" t="s">
        <v>1264</v>
      </c>
      <c r="D9" s="4">
        <v>2200000</v>
      </c>
      <c r="E9" s="4">
        <v>2200000</v>
      </c>
      <c r="F9" s="4">
        <f t="shared" si="9"/>
        <v>0</v>
      </c>
      <c r="G9" s="4">
        <v>2200000</v>
      </c>
      <c r="H9" s="4">
        <v>2136042.8199999998</v>
      </c>
      <c r="I9" s="4"/>
      <c r="J9" s="4">
        <v>59654.47</v>
      </c>
      <c r="K9" s="4">
        <f t="shared" si="0"/>
        <v>59654.47</v>
      </c>
      <c r="L9" s="4">
        <f t="shared" si="1"/>
        <v>2195697.29</v>
      </c>
      <c r="M9" s="4">
        <f t="shared" si="10"/>
        <v>4302.7099999999627</v>
      </c>
      <c r="N9" s="4"/>
      <c r="O9" s="4">
        <f t="shared" si="2"/>
        <v>0</v>
      </c>
      <c r="P9" s="4">
        <f t="shared" si="3"/>
        <v>4302.7099999999627</v>
      </c>
      <c r="Q9" s="4"/>
      <c r="R9" s="4"/>
      <c r="S9" s="4">
        <f t="shared" si="4"/>
        <v>0</v>
      </c>
      <c r="T9" s="4">
        <f t="shared" si="5"/>
        <v>0</v>
      </c>
      <c r="U9" s="4">
        <f t="shared" si="6"/>
        <v>0</v>
      </c>
      <c r="V9" s="11"/>
      <c r="W9" s="4">
        <f t="shared" si="7"/>
        <v>0</v>
      </c>
      <c r="X9" s="4"/>
      <c r="Y9" s="4"/>
      <c r="Z9" s="3"/>
      <c r="AA9" s="3"/>
      <c r="AB9" s="3">
        <v>747000</v>
      </c>
      <c r="AC9" s="4"/>
      <c r="AD9" s="4"/>
      <c r="AE9" s="4"/>
      <c r="AF9" s="4"/>
      <c r="AG9" s="4"/>
      <c r="AH9" s="4"/>
      <c r="AI9" s="4"/>
      <c r="AJ9" s="4"/>
      <c r="AK9" s="4"/>
      <c r="AL9" s="4">
        <f t="shared" si="11"/>
        <v>0</v>
      </c>
      <c r="AM9" s="4"/>
      <c r="AN9" s="4">
        <f t="shared" si="12"/>
        <v>0</v>
      </c>
      <c r="AO9" s="4">
        <f t="shared" si="13"/>
        <v>0</v>
      </c>
      <c r="AP9" s="4"/>
      <c r="AQ9" s="4">
        <f t="shared" si="14"/>
        <v>0</v>
      </c>
      <c r="AR9" s="4"/>
      <c r="AS9" s="4"/>
      <c r="AT9" s="4"/>
      <c r="AU9" s="4"/>
      <c r="AV9" s="4">
        <f t="shared" si="15"/>
        <v>0</v>
      </c>
      <c r="AW9" s="4"/>
      <c r="AX9" s="4"/>
      <c r="AY9" s="4"/>
      <c r="AZ9" s="4"/>
      <c r="BA9" s="4">
        <f t="shared" si="16"/>
        <v>0</v>
      </c>
      <c r="BB9" s="4"/>
      <c r="BC9" s="4"/>
      <c r="BD9" s="4"/>
    </row>
    <row r="10" spans="1:56" s="5" customFormat="1" ht="19.95" customHeight="1">
      <c r="A10" s="3">
        <f t="shared" si="8"/>
        <v>4</v>
      </c>
      <c r="B10" s="3">
        <v>1864</v>
      </c>
      <c r="C10" s="3" t="s">
        <v>661</v>
      </c>
      <c r="D10" s="4">
        <f>1500000-1200000</f>
        <v>300000</v>
      </c>
      <c r="E10" s="4">
        <v>1500000</v>
      </c>
      <c r="F10" s="4">
        <f t="shared" si="9"/>
        <v>-1200000</v>
      </c>
      <c r="G10" s="4">
        <v>300000</v>
      </c>
      <c r="H10" s="4">
        <v>250000</v>
      </c>
      <c r="I10" s="4"/>
      <c r="J10" s="4">
        <v>12110</v>
      </c>
      <c r="K10" s="4">
        <f t="shared" si="0"/>
        <v>12110</v>
      </c>
      <c r="L10" s="4">
        <f t="shared" si="1"/>
        <v>262110</v>
      </c>
      <c r="M10" s="4">
        <f t="shared" si="10"/>
        <v>37890</v>
      </c>
      <c r="N10" s="4"/>
      <c r="O10" s="4">
        <f t="shared" si="2"/>
        <v>0</v>
      </c>
      <c r="P10" s="4">
        <f t="shared" si="3"/>
        <v>37890</v>
      </c>
      <c r="Q10" s="4"/>
      <c r="R10" s="4"/>
      <c r="S10" s="4">
        <f t="shared" si="4"/>
        <v>0</v>
      </c>
      <c r="T10" s="4">
        <f t="shared" si="5"/>
        <v>0</v>
      </c>
      <c r="U10" s="4">
        <f t="shared" si="6"/>
        <v>0</v>
      </c>
      <c r="V10" s="11"/>
      <c r="W10" s="4">
        <f t="shared" si="7"/>
        <v>0</v>
      </c>
      <c r="X10" s="4"/>
      <c r="Y10" s="4"/>
      <c r="Z10" s="3"/>
      <c r="AA10" s="3" t="s">
        <v>804</v>
      </c>
      <c r="AB10" s="3">
        <v>747000</v>
      </c>
      <c r="AC10" s="4"/>
      <c r="AD10" s="4"/>
      <c r="AE10" s="4"/>
      <c r="AF10" s="4"/>
      <c r="AG10" s="4"/>
      <c r="AH10" s="4"/>
      <c r="AI10" s="4"/>
      <c r="AJ10" s="4"/>
      <c r="AK10" s="4"/>
      <c r="AL10" s="4">
        <f t="shared" si="11"/>
        <v>0</v>
      </c>
      <c r="AM10" s="4"/>
      <c r="AN10" s="4">
        <f t="shared" si="12"/>
        <v>0</v>
      </c>
      <c r="AO10" s="4">
        <f t="shared" si="13"/>
        <v>0</v>
      </c>
      <c r="AP10" s="4"/>
      <c r="AQ10" s="4">
        <f t="shared" si="14"/>
        <v>0</v>
      </c>
      <c r="AR10" s="4"/>
      <c r="AS10" s="4"/>
      <c r="AT10" s="4"/>
      <c r="AU10" s="4"/>
      <c r="AV10" s="4">
        <f t="shared" si="15"/>
        <v>0</v>
      </c>
      <c r="AW10" s="4"/>
      <c r="AX10" s="4"/>
      <c r="AY10" s="4"/>
      <c r="AZ10" s="4"/>
      <c r="BA10" s="4">
        <f t="shared" si="16"/>
        <v>0</v>
      </c>
      <c r="BB10" s="4"/>
      <c r="BC10" s="4"/>
      <c r="BD10" s="4"/>
    </row>
    <row r="11" spans="1:56" s="5" customFormat="1" ht="19.95" customHeight="1">
      <c r="A11" s="3">
        <f t="shared" si="8"/>
        <v>5</v>
      </c>
      <c r="B11" s="3">
        <v>1923</v>
      </c>
      <c r="C11" s="3" t="s">
        <v>180</v>
      </c>
      <c r="D11" s="4">
        <f>350000-198000</f>
        <v>152000</v>
      </c>
      <c r="E11" s="4">
        <v>350000</v>
      </c>
      <c r="F11" s="4">
        <f t="shared" si="9"/>
        <v>-198000</v>
      </c>
      <c r="G11" s="4">
        <v>152000</v>
      </c>
      <c r="H11" s="4">
        <v>138855.6</v>
      </c>
      <c r="I11" s="4"/>
      <c r="J11" s="4">
        <v>13144</v>
      </c>
      <c r="K11" s="4">
        <f t="shared" si="0"/>
        <v>13144</v>
      </c>
      <c r="L11" s="4">
        <f t="shared" si="1"/>
        <v>151999.6</v>
      </c>
      <c r="M11" s="4">
        <f t="shared" si="10"/>
        <v>0.39999999999417923</v>
      </c>
      <c r="N11" s="4"/>
      <c r="O11" s="4">
        <f t="shared" si="2"/>
        <v>0</v>
      </c>
      <c r="P11" s="4">
        <f t="shared" si="3"/>
        <v>0.39999999999417923</v>
      </c>
      <c r="Q11" s="4"/>
      <c r="R11" s="4"/>
      <c r="S11" s="4">
        <f t="shared" si="4"/>
        <v>0</v>
      </c>
      <c r="T11" s="4">
        <f t="shared" si="5"/>
        <v>0</v>
      </c>
      <c r="U11" s="4">
        <f t="shared" si="6"/>
        <v>0</v>
      </c>
      <c r="V11" s="11"/>
      <c r="W11" s="4">
        <f t="shared" si="7"/>
        <v>0</v>
      </c>
      <c r="X11" s="4"/>
      <c r="Y11" s="4"/>
      <c r="Z11" s="3"/>
      <c r="AA11" s="3" t="s">
        <v>660</v>
      </c>
      <c r="AB11" s="3">
        <v>747000</v>
      </c>
      <c r="AC11" s="4"/>
      <c r="AD11" s="4"/>
      <c r="AE11" s="4"/>
      <c r="AF11" s="4"/>
      <c r="AG11" s="4"/>
      <c r="AH11" s="4"/>
      <c r="AI11" s="4"/>
      <c r="AJ11" s="4"/>
      <c r="AK11" s="4"/>
      <c r="AL11" s="4">
        <f t="shared" si="11"/>
        <v>0</v>
      </c>
      <c r="AM11" s="4"/>
      <c r="AN11" s="4">
        <f t="shared" si="12"/>
        <v>0</v>
      </c>
      <c r="AO11" s="4">
        <f t="shared" si="13"/>
        <v>0</v>
      </c>
      <c r="AP11" s="4"/>
      <c r="AQ11" s="4">
        <f t="shared" si="14"/>
        <v>0</v>
      </c>
      <c r="AR11" s="4"/>
      <c r="AS11" s="4"/>
      <c r="AT11" s="4"/>
      <c r="AU11" s="4"/>
      <c r="AV11" s="4">
        <f t="shared" si="15"/>
        <v>0</v>
      </c>
      <c r="AW11" s="4"/>
      <c r="AX11" s="4"/>
      <c r="AY11" s="4"/>
      <c r="AZ11" s="4"/>
      <c r="BA11" s="4">
        <f t="shared" si="16"/>
        <v>0</v>
      </c>
      <c r="BB11" s="4"/>
      <c r="BC11" s="4"/>
      <c r="BD11" s="4"/>
    </row>
    <row r="12" spans="1:56" s="5" customFormat="1" ht="19.95" customHeight="1">
      <c r="A12" s="3">
        <f t="shared" si="8"/>
        <v>6</v>
      </c>
      <c r="B12" s="188">
        <v>1995</v>
      </c>
      <c r="C12" s="188" t="s">
        <v>989</v>
      </c>
      <c r="D12" s="4">
        <v>170000</v>
      </c>
      <c r="E12" s="4">
        <v>170000</v>
      </c>
      <c r="F12" s="4">
        <f t="shared" si="9"/>
        <v>0</v>
      </c>
      <c r="G12" s="4">
        <v>170000</v>
      </c>
      <c r="H12" s="4">
        <v>170000</v>
      </c>
      <c r="I12" s="4"/>
      <c r="J12" s="4"/>
      <c r="K12" s="4">
        <f t="shared" si="0"/>
        <v>0</v>
      </c>
      <c r="L12" s="4">
        <f t="shared" si="1"/>
        <v>170000</v>
      </c>
      <c r="M12" s="4">
        <f t="shared" si="10"/>
        <v>0</v>
      </c>
      <c r="N12" s="4"/>
      <c r="O12" s="4">
        <f t="shared" si="2"/>
        <v>0</v>
      </c>
      <c r="P12" s="4">
        <f t="shared" si="3"/>
        <v>0</v>
      </c>
      <c r="Q12" s="4"/>
      <c r="R12" s="4"/>
      <c r="S12" s="4">
        <f t="shared" si="4"/>
        <v>0</v>
      </c>
      <c r="T12" s="4">
        <f t="shared" si="5"/>
        <v>0</v>
      </c>
      <c r="U12" s="4">
        <f t="shared" si="6"/>
        <v>0</v>
      </c>
      <c r="V12" s="11"/>
      <c r="W12" s="4">
        <f t="shared" si="7"/>
        <v>0</v>
      </c>
      <c r="X12" s="4"/>
      <c r="Y12" s="4"/>
      <c r="Z12" s="3"/>
      <c r="AA12" s="3" t="s">
        <v>659</v>
      </c>
      <c r="AB12" s="3">
        <v>747000</v>
      </c>
      <c r="AC12" s="4"/>
      <c r="AD12" s="4"/>
      <c r="AE12" s="4"/>
      <c r="AF12" s="4"/>
      <c r="AG12" s="4"/>
      <c r="AH12" s="4"/>
      <c r="AI12" s="4"/>
      <c r="AJ12" s="4"/>
      <c r="AK12" s="4"/>
      <c r="AL12" s="4">
        <f t="shared" si="11"/>
        <v>0</v>
      </c>
      <c r="AM12" s="4"/>
      <c r="AN12" s="4">
        <f t="shared" si="12"/>
        <v>0</v>
      </c>
      <c r="AO12" s="4">
        <f t="shared" si="13"/>
        <v>0</v>
      </c>
      <c r="AP12" s="4"/>
      <c r="AQ12" s="4">
        <f t="shared" si="14"/>
        <v>0</v>
      </c>
      <c r="AR12" s="4"/>
      <c r="AS12" s="4"/>
      <c r="AT12" s="4"/>
      <c r="AU12" s="4"/>
      <c r="AV12" s="4">
        <f t="shared" si="15"/>
        <v>0</v>
      </c>
      <c r="AW12" s="4"/>
      <c r="AX12" s="4"/>
      <c r="AY12" s="4"/>
      <c r="AZ12" s="4"/>
      <c r="BA12" s="4">
        <f t="shared" si="16"/>
        <v>0</v>
      </c>
      <c r="BB12" s="4"/>
      <c r="BC12" s="4"/>
      <c r="BD12" s="4"/>
    </row>
    <row r="13" spans="1:56" s="5" customFormat="1" ht="19.95" customHeight="1">
      <c r="A13" s="3">
        <f t="shared" si="8"/>
        <v>7</v>
      </c>
      <c r="B13" s="3">
        <v>1996</v>
      </c>
      <c r="C13" s="3" t="s">
        <v>224</v>
      </c>
      <c r="D13" s="4">
        <v>45000</v>
      </c>
      <c r="E13" s="4">
        <v>45000</v>
      </c>
      <c r="F13" s="4">
        <f t="shared" si="9"/>
        <v>0</v>
      </c>
      <c r="G13" s="4">
        <v>45000</v>
      </c>
      <c r="H13" s="4">
        <v>15993.9</v>
      </c>
      <c r="I13" s="4"/>
      <c r="J13" s="4">
        <v>2357.5500000000002</v>
      </c>
      <c r="K13" s="4">
        <f t="shared" si="0"/>
        <v>2357.5500000000002</v>
      </c>
      <c r="L13" s="4">
        <f t="shared" si="1"/>
        <v>18351.45</v>
      </c>
      <c r="M13" s="4">
        <f t="shared" si="10"/>
        <v>26648.55</v>
      </c>
      <c r="N13" s="4"/>
      <c r="O13" s="4">
        <f t="shared" si="2"/>
        <v>0</v>
      </c>
      <c r="P13" s="4">
        <f t="shared" si="3"/>
        <v>26648.55</v>
      </c>
      <c r="Q13" s="4"/>
      <c r="R13" s="4"/>
      <c r="S13" s="4">
        <f t="shared" si="4"/>
        <v>0</v>
      </c>
      <c r="T13" s="4">
        <f t="shared" si="5"/>
        <v>0</v>
      </c>
      <c r="U13" s="4">
        <f t="shared" si="6"/>
        <v>0</v>
      </c>
      <c r="V13" s="11"/>
      <c r="W13" s="4">
        <f t="shared" si="7"/>
        <v>0</v>
      </c>
      <c r="X13" s="4"/>
      <c r="Y13" s="4"/>
      <c r="Z13" s="3"/>
      <c r="AA13" s="3" t="s">
        <v>659</v>
      </c>
      <c r="AB13" s="3">
        <v>747000</v>
      </c>
      <c r="AC13" s="4"/>
      <c r="AD13" s="4"/>
      <c r="AE13" s="4"/>
      <c r="AF13" s="4"/>
      <c r="AG13" s="4"/>
      <c r="AH13" s="4"/>
      <c r="AI13" s="4"/>
      <c r="AJ13" s="4"/>
      <c r="AK13" s="4"/>
      <c r="AL13" s="4">
        <f t="shared" si="11"/>
        <v>0</v>
      </c>
      <c r="AM13" s="4"/>
      <c r="AN13" s="4">
        <f t="shared" si="12"/>
        <v>0</v>
      </c>
      <c r="AO13" s="4">
        <f t="shared" si="13"/>
        <v>0</v>
      </c>
      <c r="AP13" s="4"/>
      <c r="AQ13" s="4">
        <f t="shared" si="14"/>
        <v>0</v>
      </c>
      <c r="AR13" s="4"/>
      <c r="AS13" s="4"/>
      <c r="AT13" s="4"/>
      <c r="AU13" s="4"/>
      <c r="AV13" s="4">
        <f t="shared" si="15"/>
        <v>0</v>
      </c>
      <c r="AW13" s="4"/>
      <c r="AX13" s="4"/>
      <c r="AY13" s="4"/>
      <c r="AZ13" s="4"/>
      <c r="BA13" s="4">
        <f t="shared" si="16"/>
        <v>0</v>
      </c>
      <c r="BB13" s="4"/>
      <c r="BC13" s="4"/>
      <c r="BD13" s="4"/>
    </row>
    <row r="14" spans="1:56" s="5" customFormat="1" ht="19.95" customHeight="1">
      <c r="A14" s="3">
        <f t="shared" si="8"/>
        <v>8</v>
      </c>
      <c r="B14" s="188">
        <v>1997</v>
      </c>
      <c r="C14" s="188" t="s">
        <v>990</v>
      </c>
      <c r="D14" s="4">
        <v>40000</v>
      </c>
      <c r="E14" s="4">
        <v>40000</v>
      </c>
      <c r="F14" s="4">
        <f t="shared" si="9"/>
        <v>0</v>
      </c>
      <c r="G14" s="4">
        <v>40000</v>
      </c>
      <c r="H14" s="4">
        <v>40000</v>
      </c>
      <c r="I14" s="4"/>
      <c r="J14" s="4"/>
      <c r="K14" s="4">
        <f t="shared" si="0"/>
        <v>0</v>
      </c>
      <c r="L14" s="4">
        <f t="shared" si="1"/>
        <v>40000</v>
      </c>
      <c r="M14" s="4">
        <f t="shared" si="10"/>
        <v>0</v>
      </c>
      <c r="N14" s="4"/>
      <c r="O14" s="4">
        <f t="shared" si="2"/>
        <v>0</v>
      </c>
      <c r="P14" s="4">
        <f t="shared" si="3"/>
        <v>0</v>
      </c>
      <c r="Q14" s="4"/>
      <c r="R14" s="4"/>
      <c r="S14" s="4">
        <f t="shared" si="4"/>
        <v>0</v>
      </c>
      <c r="T14" s="4">
        <f t="shared" si="5"/>
        <v>0</v>
      </c>
      <c r="U14" s="4">
        <f t="shared" si="6"/>
        <v>0</v>
      </c>
      <c r="V14" s="11"/>
      <c r="W14" s="4">
        <f t="shared" si="7"/>
        <v>0</v>
      </c>
      <c r="X14" s="4"/>
      <c r="Y14" s="4"/>
      <c r="Z14" s="3"/>
      <c r="AA14" s="3" t="s">
        <v>659</v>
      </c>
      <c r="AB14" s="3">
        <v>747000</v>
      </c>
      <c r="AC14" s="4"/>
      <c r="AD14" s="4"/>
      <c r="AE14" s="4"/>
      <c r="AF14" s="4"/>
      <c r="AG14" s="4"/>
      <c r="AH14" s="4"/>
      <c r="AI14" s="4"/>
      <c r="AJ14" s="4"/>
      <c r="AK14" s="4"/>
      <c r="AL14" s="4">
        <f t="shared" si="11"/>
        <v>0</v>
      </c>
      <c r="AM14" s="4"/>
      <c r="AN14" s="4">
        <f t="shared" si="12"/>
        <v>0</v>
      </c>
      <c r="AO14" s="4">
        <f t="shared" si="13"/>
        <v>0</v>
      </c>
      <c r="AP14" s="4"/>
      <c r="AQ14" s="4">
        <f t="shared" si="14"/>
        <v>0</v>
      </c>
      <c r="AR14" s="4"/>
      <c r="AS14" s="4"/>
      <c r="AT14" s="4"/>
      <c r="AU14" s="4"/>
      <c r="AV14" s="4">
        <f t="shared" si="15"/>
        <v>0</v>
      </c>
      <c r="AW14" s="4"/>
      <c r="AX14" s="4"/>
      <c r="AY14" s="4"/>
      <c r="AZ14" s="4"/>
      <c r="BA14" s="4">
        <f t="shared" si="16"/>
        <v>0</v>
      </c>
      <c r="BB14" s="4"/>
      <c r="BC14" s="4"/>
      <c r="BD14" s="4"/>
    </row>
    <row r="15" spans="1:56" s="5" customFormat="1" ht="19.95" customHeight="1">
      <c r="A15" s="3">
        <f t="shared" si="8"/>
        <v>9</v>
      </c>
      <c r="B15" s="3">
        <v>2043</v>
      </c>
      <c r="C15" s="3" t="s">
        <v>991</v>
      </c>
      <c r="D15" s="4">
        <f>3600000+900000-900000</f>
        <v>3600000</v>
      </c>
      <c r="E15" s="4">
        <v>3600000</v>
      </c>
      <c r="F15" s="4">
        <f t="shared" si="9"/>
        <v>0</v>
      </c>
      <c r="G15" s="4">
        <v>1500000</v>
      </c>
      <c r="H15" s="4">
        <v>1322985</v>
      </c>
      <c r="I15" s="4"/>
      <c r="J15" s="4">
        <v>162618</v>
      </c>
      <c r="K15" s="4">
        <f t="shared" si="0"/>
        <v>162618</v>
      </c>
      <c r="L15" s="4">
        <f t="shared" si="1"/>
        <v>1485603</v>
      </c>
      <c r="M15" s="4">
        <f t="shared" si="10"/>
        <v>14397</v>
      </c>
      <c r="N15" s="4">
        <f>2000000+500000-500000-300000</f>
        <v>1700000</v>
      </c>
      <c r="O15" s="4">
        <f t="shared" si="2"/>
        <v>400000</v>
      </c>
      <c r="P15" s="4">
        <f t="shared" si="3"/>
        <v>14397</v>
      </c>
      <c r="Q15" s="4"/>
      <c r="R15" s="4"/>
      <c r="S15" s="4">
        <f t="shared" si="4"/>
        <v>0</v>
      </c>
      <c r="T15" s="4">
        <f t="shared" si="5"/>
        <v>0</v>
      </c>
      <c r="U15" s="4">
        <f t="shared" si="6"/>
        <v>1700000</v>
      </c>
      <c r="V15" s="11"/>
      <c r="W15" s="4">
        <f t="shared" si="7"/>
        <v>1700000</v>
      </c>
      <c r="X15" s="4"/>
      <c r="Y15" s="4"/>
      <c r="Z15" s="3"/>
      <c r="AA15" s="3" t="s">
        <v>992</v>
      </c>
      <c r="AB15" s="3">
        <v>747000</v>
      </c>
      <c r="AC15" s="4">
        <v>1000000</v>
      </c>
      <c r="AD15" s="4">
        <v>400000</v>
      </c>
      <c r="AE15" s="4">
        <v>300000</v>
      </c>
      <c r="AF15" s="4"/>
      <c r="AG15" s="4"/>
      <c r="AH15" s="4"/>
      <c r="AI15" s="4"/>
      <c r="AJ15" s="4"/>
      <c r="AK15" s="4"/>
      <c r="AL15" s="4">
        <f t="shared" si="11"/>
        <v>1700000</v>
      </c>
      <c r="AM15" s="4"/>
      <c r="AN15" s="4">
        <f t="shared" si="12"/>
        <v>1700000</v>
      </c>
      <c r="AO15" s="4">
        <f t="shared" si="13"/>
        <v>0</v>
      </c>
      <c r="AP15" s="4"/>
      <c r="AQ15" s="4">
        <f t="shared" si="14"/>
        <v>1700000</v>
      </c>
      <c r="AR15" s="4"/>
      <c r="AS15" s="4"/>
      <c r="AT15" s="4"/>
      <c r="AU15" s="4"/>
      <c r="AV15" s="4">
        <f t="shared" si="15"/>
        <v>0</v>
      </c>
      <c r="AW15" s="4"/>
      <c r="AX15" s="4"/>
      <c r="AY15" s="4"/>
      <c r="AZ15" s="4"/>
      <c r="BA15" s="4">
        <f t="shared" si="16"/>
        <v>0</v>
      </c>
      <c r="BB15" s="4"/>
      <c r="BC15" s="4"/>
      <c r="BD15" s="4"/>
    </row>
    <row r="16" spans="1:56" s="5" customFormat="1" ht="19.95" customHeight="1">
      <c r="A16" s="3">
        <f t="shared" si="8"/>
        <v>10</v>
      </c>
      <c r="B16" s="3">
        <v>2044</v>
      </c>
      <c r="C16" s="3" t="s">
        <v>234</v>
      </c>
      <c r="D16" s="4">
        <v>105000</v>
      </c>
      <c r="E16" s="4">
        <v>105000</v>
      </c>
      <c r="F16" s="4">
        <f t="shared" si="9"/>
        <v>0</v>
      </c>
      <c r="G16" s="4">
        <v>105000</v>
      </c>
      <c r="H16" s="4">
        <v>56160</v>
      </c>
      <c r="I16" s="4"/>
      <c r="J16" s="4">
        <v>0</v>
      </c>
      <c r="K16" s="4">
        <f t="shared" si="0"/>
        <v>0</v>
      </c>
      <c r="L16" s="4">
        <f t="shared" si="1"/>
        <v>56160</v>
      </c>
      <c r="M16" s="4">
        <f t="shared" si="10"/>
        <v>48840</v>
      </c>
      <c r="N16" s="4"/>
      <c r="O16" s="4">
        <f t="shared" si="2"/>
        <v>0</v>
      </c>
      <c r="P16" s="4">
        <f t="shared" si="3"/>
        <v>48840</v>
      </c>
      <c r="Q16" s="4"/>
      <c r="R16" s="4"/>
      <c r="S16" s="4">
        <f t="shared" si="4"/>
        <v>0</v>
      </c>
      <c r="T16" s="4">
        <f t="shared" si="5"/>
        <v>0</v>
      </c>
      <c r="U16" s="4">
        <f t="shared" si="6"/>
        <v>0</v>
      </c>
      <c r="V16" s="11"/>
      <c r="W16" s="4">
        <f t="shared" si="7"/>
        <v>0</v>
      </c>
      <c r="X16" s="4"/>
      <c r="Y16" s="4"/>
      <c r="Z16" s="3"/>
      <c r="AA16" s="3" t="s">
        <v>659</v>
      </c>
      <c r="AB16" s="3">
        <v>747000</v>
      </c>
      <c r="AC16" s="4"/>
      <c r="AD16" s="4"/>
      <c r="AE16" s="4"/>
      <c r="AF16" s="4"/>
      <c r="AG16" s="4"/>
      <c r="AH16" s="4"/>
      <c r="AI16" s="4"/>
      <c r="AJ16" s="4"/>
      <c r="AK16" s="4"/>
      <c r="AL16" s="4">
        <f t="shared" si="11"/>
        <v>0</v>
      </c>
      <c r="AM16" s="4"/>
      <c r="AN16" s="4">
        <f t="shared" si="12"/>
        <v>0</v>
      </c>
      <c r="AO16" s="4">
        <f t="shared" si="13"/>
        <v>0</v>
      </c>
      <c r="AP16" s="4"/>
      <c r="AQ16" s="4">
        <f t="shared" si="14"/>
        <v>0</v>
      </c>
      <c r="AR16" s="4"/>
      <c r="AS16" s="4"/>
      <c r="AT16" s="4"/>
      <c r="AU16" s="4"/>
      <c r="AV16" s="4">
        <f t="shared" si="15"/>
        <v>0</v>
      </c>
      <c r="AW16" s="4"/>
      <c r="AX16" s="4"/>
      <c r="AY16" s="4"/>
      <c r="AZ16" s="4"/>
      <c r="BA16" s="4">
        <f t="shared" si="16"/>
        <v>0</v>
      </c>
      <c r="BB16" s="4"/>
      <c r="BC16" s="4"/>
      <c r="BD16" s="4"/>
    </row>
    <row r="17" spans="1:56" s="5" customFormat="1" ht="19.95" customHeight="1">
      <c r="A17" s="3">
        <f t="shared" si="8"/>
        <v>11</v>
      </c>
      <c r="B17" s="3">
        <v>2045</v>
      </c>
      <c r="C17" s="3" t="s">
        <v>557</v>
      </c>
      <c r="D17" s="4">
        <v>205000</v>
      </c>
      <c r="E17" s="4">
        <v>205000</v>
      </c>
      <c r="F17" s="4">
        <f t="shared" si="9"/>
        <v>0</v>
      </c>
      <c r="G17" s="4">
        <v>205000</v>
      </c>
      <c r="H17" s="4">
        <v>0</v>
      </c>
      <c r="I17" s="4">
        <v>184044.03</v>
      </c>
      <c r="J17" s="4"/>
      <c r="K17" s="4">
        <f t="shared" si="0"/>
        <v>184044.03</v>
      </c>
      <c r="L17" s="4">
        <f t="shared" si="1"/>
        <v>184044.03</v>
      </c>
      <c r="M17" s="4">
        <f t="shared" si="10"/>
        <v>20955.97</v>
      </c>
      <c r="N17" s="4"/>
      <c r="O17" s="4">
        <f t="shared" si="2"/>
        <v>0</v>
      </c>
      <c r="P17" s="4">
        <f t="shared" si="3"/>
        <v>20955.97</v>
      </c>
      <c r="Q17" s="4"/>
      <c r="R17" s="4"/>
      <c r="S17" s="4">
        <f t="shared" si="4"/>
        <v>0</v>
      </c>
      <c r="T17" s="4">
        <f t="shared" si="5"/>
        <v>0</v>
      </c>
      <c r="U17" s="4">
        <f t="shared" si="6"/>
        <v>0</v>
      </c>
      <c r="V17" s="11"/>
      <c r="W17" s="4">
        <f t="shared" si="7"/>
        <v>0</v>
      </c>
      <c r="X17" s="4"/>
      <c r="Y17" s="4"/>
      <c r="Z17" s="3"/>
      <c r="AA17" s="3" t="s">
        <v>659</v>
      </c>
      <c r="AB17" s="3">
        <v>747000</v>
      </c>
      <c r="AC17" s="4"/>
      <c r="AD17" s="4"/>
      <c r="AE17" s="4"/>
      <c r="AF17" s="4"/>
      <c r="AG17" s="4"/>
      <c r="AH17" s="4"/>
      <c r="AI17" s="4"/>
      <c r="AJ17" s="4"/>
      <c r="AK17" s="4"/>
      <c r="AL17" s="4">
        <f t="shared" si="11"/>
        <v>0</v>
      </c>
      <c r="AM17" s="4"/>
      <c r="AN17" s="4">
        <f t="shared" si="12"/>
        <v>0</v>
      </c>
      <c r="AO17" s="4">
        <f t="shared" si="13"/>
        <v>0</v>
      </c>
      <c r="AP17" s="4"/>
      <c r="AQ17" s="4">
        <f t="shared" si="14"/>
        <v>0</v>
      </c>
      <c r="AR17" s="4"/>
      <c r="AS17" s="4"/>
      <c r="AT17" s="4"/>
      <c r="AU17" s="4"/>
      <c r="AV17" s="4">
        <f t="shared" si="15"/>
        <v>0</v>
      </c>
      <c r="AW17" s="4"/>
      <c r="AX17" s="4"/>
      <c r="AY17" s="4"/>
      <c r="AZ17" s="4"/>
      <c r="BA17" s="4">
        <f t="shared" si="16"/>
        <v>0</v>
      </c>
      <c r="BB17" s="4"/>
      <c r="BC17" s="4"/>
      <c r="BD17" s="4"/>
    </row>
    <row r="18" spans="1:56" s="5" customFormat="1" ht="19.95" customHeight="1">
      <c r="A18" s="3">
        <f t="shared" si="8"/>
        <v>12</v>
      </c>
      <c r="B18" s="3">
        <v>2046</v>
      </c>
      <c r="C18" s="3" t="s">
        <v>235</v>
      </c>
      <c r="D18" s="4">
        <v>30000</v>
      </c>
      <c r="E18" s="4">
        <v>30000</v>
      </c>
      <c r="F18" s="4">
        <f t="shared" si="9"/>
        <v>0</v>
      </c>
      <c r="G18" s="4">
        <v>30000</v>
      </c>
      <c r="H18" s="4">
        <v>26140</v>
      </c>
      <c r="I18" s="4"/>
      <c r="J18" s="4">
        <v>3860</v>
      </c>
      <c r="K18" s="4">
        <f t="shared" si="0"/>
        <v>3860</v>
      </c>
      <c r="L18" s="4">
        <f t="shared" si="1"/>
        <v>30000</v>
      </c>
      <c r="M18" s="4">
        <f t="shared" si="10"/>
        <v>0</v>
      </c>
      <c r="N18" s="4"/>
      <c r="O18" s="4">
        <f t="shared" si="2"/>
        <v>0</v>
      </c>
      <c r="P18" s="4">
        <f t="shared" si="3"/>
        <v>0</v>
      </c>
      <c r="Q18" s="4"/>
      <c r="R18" s="4"/>
      <c r="S18" s="4">
        <f t="shared" si="4"/>
        <v>0</v>
      </c>
      <c r="T18" s="4">
        <f t="shared" si="5"/>
        <v>0</v>
      </c>
      <c r="U18" s="4">
        <f t="shared" si="6"/>
        <v>0</v>
      </c>
      <c r="V18" s="11"/>
      <c r="W18" s="4">
        <f t="shared" si="7"/>
        <v>0</v>
      </c>
      <c r="X18" s="4"/>
      <c r="Y18" s="4"/>
      <c r="Z18" s="3"/>
      <c r="AA18" s="3" t="s">
        <v>659</v>
      </c>
      <c r="AB18" s="3">
        <v>747000</v>
      </c>
      <c r="AC18" s="4"/>
      <c r="AD18" s="4"/>
      <c r="AE18" s="4"/>
      <c r="AF18" s="4"/>
      <c r="AG18" s="4"/>
      <c r="AH18" s="4"/>
      <c r="AI18" s="4"/>
      <c r="AJ18" s="4"/>
      <c r="AK18" s="4"/>
      <c r="AL18" s="4">
        <f t="shared" si="11"/>
        <v>0</v>
      </c>
      <c r="AM18" s="4"/>
      <c r="AN18" s="4">
        <f t="shared" si="12"/>
        <v>0</v>
      </c>
      <c r="AO18" s="4">
        <f t="shared" si="13"/>
        <v>0</v>
      </c>
      <c r="AP18" s="4"/>
      <c r="AQ18" s="4">
        <f t="shared" si="14"/>
        <v>0</v>
      </c>
      <c r="AR18" s="4"/>
      <c r="AS18" s="4"/>
      <c r="AT18" s="4"/>
      <c r="AU18" s="4"/>
      <c r="AV18" s="4">
        <f t="shared" si="15"/>
        <v>0</v>
      </c>
      <c r="AW18" s="4"/>
      <c r="AX18" s="4"/>
      <c r="AY18" s="4"/>
      <c r="AZ18" s="4"/>
      <c r="BA18" s="4">
        <f t="shared" si="16"/>
        <v>0</v>
      </c>
      <c r="BB18" s="4"/>
      <c r="BC18" s="4"/>
      <c r="BD18" s="4"/>
    </row>
    <row r="19" spans="1:56" s="5" customFormat="1" ht="19.95" customHeight="1">
      <c r="A19" s="3">
        <f t="shared" si="8"/>
        <v>13</v>
      </c>
      <c r="B19" s="3">
        <v>2047</v>
      </c>
      <c r="C19" s="3" t="s">
        <v>558</v>
      </c>
      <c r="D19" s="4">
        <v>170000</v>
      </c>
      <c r="E19" s="4">
        <v>170000</v>
      </c>
      <c r="F19" s="4">
        <f t="shared" si="9"/>
        <v>0</v>
      </c>
      <c r="G19" s="4">
        <v>170000</v>
      </c>
      <c r="H19" s="4">
        <v>0</v>
      </c>
      <c r="I19" s="4">
        <v>170000</v>
      </c>
      <c r="J19" s="4"/>
      <c r="K19" s="4">
        <f t="shared" si="0"/>
        <v>170000</v>
      </c>
      <c r="L19" s="4">
        <f t="shared" si="1"/>
        <v>170000</v>
      </c>
      <c r="M19" s="4">
        <f t="shared" si="10"/>
        <v>0</v>
      </c>
      <c r="N19" s="4"/>
      <c r="O19" s="4">
        <f t="shared" si="2"/>
        <v>0</v>
      </c>
      <c r="P19" s="4">
        <f t="shared" si="3"/>
        <v>0</v>
      </c>
      <c r="Q19" s="4"/>
      <c r="R19" s="4"/>
      <c r="S19" s="4">
        <f t="shared" si="4"/>
        <v>0</v>
      </c>
      <c r="T19" s="4">
        <f t="shared" si="5"/>
        <v>0</v>
      </c>
      <c r="U19" s="4">
        <f t="shared" si="6"/>
        <v>0</v>
      </c>
      <c r="V19" s="11"/>
      <c r="W19" s="4">
        <f t="shared" si="7"/>
        <v>0</v>
      </c>
      <c r="X19" s="4"/>
      <c r="Y19" s="4"/>
      <c r="Z19" s="3"/>
      <c r="AA19" s="3" t="s">
        <v>659</v>
      </c>
      <c r="AB19" s="3">
        <v>747000</v>
      </c>
      <c r="AC19" s="4"/>
      <c r="AD19" s="4"/>
      <c r="AE19" s="4"/>
      <c r="AF19" s="4"/>
      <c r="AG19" s="4"/>
      <c r="AH19" s="4"/>
      <c r="AI19" s="4"/>
      <c r="AJ19" s="4"/>
      <c r="AK19" s="4"/>
      <c r="AL19" s="4">
        <f t="shared" si="11"/>
        <v>0</v>
      </c>
      <c r="AM19" s="4"/>
      <c r="AN19" s="4">
        <f t="shared" si="12"/>
        <v>0</v>
      </c>
      <c r="AO19" s="4">
        <f t="shared" si="13"/>
        <v>0</v>
      </c>
      <c r="AP19" s="4"/>
      <c r="AQ19" s="4">
        <f t="shared" si="14"/>
        <v>0</v>
      </c>
      <c r="AR19" s="4"/>
      <c r="AS19" s="4"/>
      <c r="AT19" s="4"/>
      <c r="AU19" s="4"/>
      <c r="AV19" s="4">
        <f t="shared" si="15"/>
        <v>0</v>
      </c>
      <c r="AW19" s="4"/>
      <c r="AX19" s="4"/>
      <c r="AY19" s="4"/>
      <c r="AZ19" s="4"/>
      <c r="BA19" s="4">
        <f t="shared" si="16"/>
        <v>0</v>
      </c>
      <c r="BB19" s="4"/>
      <c r="BC19" s="4"/>
      <c r="BD19" s="4"/>
    </row>
    <row r="20" spans="1:56" s="5" customFormat="1" ht="19.95" customHeight="1">
      <c r="A20" s="3">
        <f t="shared" si="8"/>
        <v>14</v>
      </c>
      <c r="B20" s="3">
        <v>2048</v>
      </c>
      <c r="C20" s="3" t="s">
        <v>236</v>
      </c>
      <c r="D20" s="4">
        <v>45000</v>
      </c>
      <c r="E20" s="4">
        <v>45000</v>
      </c>
      <c r="F20" s="4">
        <f t="shared" si="9"/>
        <v>0</v>
      </c>
      <c r="G20" s="4">
        <v>45000</v>
      </c>
      <c r="H20" s="4">
        <v>25630</v>
      </c>
      <c r="I20" s="4"/>
      <c r="J20" s="4"/>
      <c r="K20" s="4">
        <f t="shared" si="0"/>
        <v>0</v>
      </c>
      <c r="L20" s="4">
        <f t="shared" si="1"/>
        <v>25630</v>
      </c>
      <c r="M20" s="4">
        <f t="shared" si="10"/>
        <v>19370</v>
      </c>
      <c r="N20" s="4"/>
      <c r="O20" s="4">
        <f t="shared" si="2"/>
        <v>0</v>
      </c>
      <c r="P20" s="4">
        <f t="shared" si="3"/>
        <v>19370</v>
      </c>
      <c r="Q20" s="4"/>
      <c r="R20" s="4"/>
      <c r="S20" s="4">
        <f t="shared" si="4"/>
        <v>0</v>
      </c>
      <c r="T20" s="4">
        <f t="shared" si="5"/>
        <v>0</v>
      </c>
      <c r="U20" s="4">
        <f t="shared" si="6"/>
        <v>0</v>
      </c>
      <c r="V20" s="11"/>
      <c r="W20" s="4">
        <f t="shared" si="7"/>
        <v>0</v>
      </c>
      <c r="X20" s="4"/>
      <c r="Y20" s="4"/>
      <c r="Z20" s="3"/>
      <c r="AA20" s="3" t="s">
        <v>659</v>
      </c>
      <c r="AB20" s="3">
        <v>747000</v>
      </c>
      <c r="AC20" s="4"/>
      <c r="AD20" s="4"/>
      <c r="AE20" s="4"/>
      <c r="AF20" s="4"/>
      <c r="AG20" s="4"/>
      <c r="AH20" s="4"/>
      <c r="AI20" s="4"/>
      <c r="AJ20" s="4"/>
      <c r="AK20" s="4"/>
      <c r="AL20" s="4">
        <f t="shared" si="11"/>
        <v>0</v>
      </c>
      <c r="AM20" s="4"/>
      <c r="AN20" s="4">
        <f t="shared" si="12"/>
        <v>0</v>
      </c>
      <c r="AO20" s="4">
        <f t="shared" si="13"/>
        <v>0</v>
      </c>
      <c r="AP20" s="4"/>
      <c r="AQ20" s="4">
        <f t="shared" si="14"/>
        <v>0</v>
      </c>
      <c r="AR20" s="4"/>
      <c r="AS20" s="4"/>
      <c r="AT20" s="4"/>
      <c r="AU20" s="4"/>
      <c r="AV20" s="4">
        <f t="shared" si="15"/>
        <v>0</v>
      </c>
      <c r="AW20" s="4"/>
      <c r="AX20" s="4"/>
      <c r="AY20" s="4"/>
      <c r="AZ20" s="4"/>
      <c r="BA20" s="4">
        <f t="shared" si="16"/>
        <v>0</v>
      </c>
      <c r="BB20" s="4"/>
      <c r="BC20" s="4"/>
      <c r="BD20" s="4"/>
    </row>
    <row r="21" spans="1:56" s="5" customFormat="1" ht="19.95" customHeight="1">
      <c r="A21" s="3">
        <f t="shared" si="8"/>
        <v>15</v>
      </c>
      <c r="B21" s="3">
        <v>2049</v>
      </c>
      <c r="C21" s="3" t="s">
        <v>559</v>
      </c>
      <c r="D21" s="4">
        <v>24500</v>
      </c>
      <c r="E21" s="4">
        <v>24500</v>
      </c>
      <c r="F21" s="4">
        <f t="shared" si="9"/>
        <v>0</v>
      </c>
      <c r="G21" s="4">
        <v>24500</v>
      </c>
      <c r="H21" s="4">
        <v>0</v>
      </c>
      <c r="I21" s="4"/>
      <c r="J21" s="4">
        <v>1954</v>
      </c>
      <c r="K21" s="4">
        <f t="shared" si="0"/>
        <v>1954</v>
      </c>
      <c r="L21" s="4">
        <f t="shared" si="1"/>
        <v>1954</v>
      </c>
      <c r="M21" s="4">
        <f t="shared" si="10"/>
        <v>22546</v>
      </c>
      <c r="N21" s="4"/>
      <c r="O21" s="4">
        <f t="shared" si="2"/>
        <v>0</v>
      </c>
      <c r="P21" s="4">
        <f t="shared" si="3"/>
        <v>22546</v>
      </c>
      <c r="Q21" s="4"/>
      <c r="R21" s="4"/>
      <c r="S21" s="4">
        <f t="shared" si="4"/>
        <v>0</v>
      </c>
      <c r="T21" s="4">
        <f t="shared" si="5"/>
        <v>0</v>
      </c>
      <c r="U21" s="4">
        <f t="shared" si="6"/>
        <v>0</v>
      </c>
      <c r="V21" s="11"/>
      <c r="W21" s="4">
        <f t="shared" si="7"/>
        <v>0</v>
      </c>
      <c r="X21" s="4"/>
      <c r="Y21" s="4"/>
      <c r="Z21" s="3"/>
      <c r="AA21" s="3" t="s">
        <v>659</v>
      </c>
      <c r="AB21" s="3">
        <v>747000</v>
      </c>
      <c r="AC21" s="4"/>
      <c r="AD21" s="4"/>
      <c r="AE21" s="4"/>
      <c r="AF21" s="4"/>
      <c r="AG21" s="4"/>
      <c r="AH21" s="4"/>
      <c r="AI21" s="4"/>
      <c r="AJ21" s="4"/>
      <c r="AK21" s="4"/>
      <c r="AL21" s="4">
        <f t="shared" si="11"/>
        <v>0</v>
      </c>
      <c r="AM21" s="4"/>
      <c r="AN21" s="4">
        <f t="shared" si="12"/>
        <v>0</v>
      </c>
      <c r="AO21" s="4">
        <f t="shared" si="13"/>
        <v>0</v>
      </c>
      <c r="AP21" s="4"/>
      <c r="AQ21" s="4">
        <f t="shared" si="14"/>
        <v>0</v>
      </c>
      <c r="AR21" s="4"/>
      <c r="AS21" s="4"/>
      <c r="AT21" s="4"/>
      <c r="AU21" s="4"/>
      <c r="AV21" s="4">
        <f t="shared" si="15"/>
        <v>0</v>
      </c>
      <c r="AW21" s="4"/>
      <c r="AX21" s="4"/>
      <c r="AY21" s="4"/>
      <c r="AZ21" s="4"/>
      <c r="BA21" s="4">
        <f t="shared" si="16"/>
        <v>0</v>
      </c>
      <c r="BB21" s="4"/>
      <c r="BC21" s="4"/>
      <c r="BD21" s="4"/>
    </row>
    <row r="22" spans="1:56" s="5" customFormat="1" ht="19.95" customHeight="1">
      <c r="A22" s="3">
        <f t="shared" si="8"/>
        <v>16</v>
      </c>
      <c r="B22" s="188">
        <v>2050</v>
      </c>
      <c r="C22" s="188" t="s">
        <v>993</v>
      </c>
      <c r="D22" s="4">
        <v>24500</v>
      </c>
      <c r="E22" s="4">
        <v>24500</v>
      </c>
      <c r="F22" s="4">
        <f>D22-E22</f>
        <v>0</v>
      </c>
      <c r="G22" s="4">
        <v>24500</v>
      </c>
      <c r="H22" s="4">
        <v>24500</v>
      </c>
      <c r="I22" s="4"/>
      <c r="J22" s="4">
        <v>0</v>
      </c>
      <c r="K22" s="4">
        <f>I22+J22</f>
        <v>0</v>
      </c>
      <c r="L22" s="4">
        <f>H22+K22</f>
        <v>24500</v>
      </c>
      <c r="M22" s="4">
        <f>P22+S22</f>
        <v>0</v>
      </c>
      <c r="N22" s="4"/>
      <c r="O22" s="4">
        <f>D22-L22-M22-N22</f>
        <v>0</v>
      </c>
      <c r="P22" s="4">
        <f>G22-L22</f>
        <v>0</v>
      </c>
      <c r="Q22" s="4"/>
      <c r="R22" s="4"/>
      <c r="S22" s="4">
        <f>SUM(Q22:R22)</f>
        <v>0</v>
      </c>
      <c r="T22" s="4">
        <f>P22-M22+S22</f>
        <v>0</v>
      </c>
      <c r="U22" s="4">
        <f>N22-T22</f>
        <v>0</v>
      </c>
      <c r="V22" s="11"/>
      <c r="W22" s="4">
        <f>U22-V22-Y22-Z22</f>
        <v>0</v>
      </c>
      <c r="X22" s="4"/>
      <c r="Y22" s="4"/>
      <c r="Z22" s="3"/>
      <c r="AA22" s="3" t="s">
        <v>659</v>
      </c>
      <c r="AB22" s="3">
        <v>747000</v>
      </c>
      <c r="AC22" s="4"/>
      <c r="AD22" s="4"/>
      <c r="AE22" s="4"/>
      <c r="AF22" s="4"/>
      <c r="AG22" s="4"/>
      <c r="AH22" s="4"/>
      <c r="AI22" s="4"/>
      <c r="AJ22" s="4"/>
      <c r="AK22" s="4"/>
      <c r="AL22" s="4">
        <f t="shared" si="11"/>
        <v>0</v>
      </c>
      <c r="AM22" s="4"/>
      <c r="AN22" s="4">
        <f t="shared" si="12"/>
        <v>0</v>
      </c>
      <c r="AO22" s="4">
        <f t="shared" si="13"/>
        <v>0</v>
      </c>
      <c r="AP22" s="4"/>
      <c r="AQ22" s="4">
        <f t="shared" si="14"/>
        <v>0</v>
      </c>
      <c r="AR22" s="4"/>
      <c r="AS22" s="4"/>
      <c r="AT22" s="4"/>
      <c r="AU22" s="4"/>
      <c r="AV22" s="4">
        <f t="shared" si="15"/>
        <v>0</v>
      </c>
      <c r="AW22" s="4"/>
      <c r="AX22" s="4"/>
      <c r="AY22" s="4"/>
      <c r="AZ22" s="4"/>
      <c r="BA22" s="4">
        <f t="shared" si="16"/>
        <v>0</v>
      </c>
      <c r="BB22" s="4"/>
      <c r="BC22" s="4"/>
      <c r="BD22" s="4"/>
    </row>
    <row r="23" spans="1:56" s="5" customFormat="1" ht="19.95" customHeight="1">
      <c r="A23" s="3">
        <f t="shared" si="8"/>
        <v>17</v>
      </c>
      <c r="B23" s="39">
        <v>2084</v>
      </c>
      <c r="C23" s="3" t="s">
        <v>560</v>
      </c>
      <c r="D23" s="4">
        <v>85000</v>
      </c>
      <c r="E23" s="4"/>
      <c r="F23" s="4">
        <f>D23-E23</f>
        <v>85000</v>
      </c>
      <c r="G23" s="4">
        <v>0</v>
      </c>
      <c r="H23" s="4">
        <v>0</v>
      </c>
      <c r="I23" s="4">
        <v>0</v>
      </c>
      <c r="J23" s="4"/>
      <c r="K23" s="4">
        <f>I23+J23</f>
        <v>0</v>
      </c>
      <c r="L23" s="4">
        <f>H23+K23</f>
        <v>0</v>
      </c>
      <c r="M23" s="4">
        <f>P23+S23</f>
        <v>0</v>
      </c>
      <c r="N23" s="4">
        <v>85000</v>
      </c>
      <c r="O23" s="4">
        <f>D23-L23-M23-N23</f>
        <v>0</v>
      </c>
      <c r="P23" s="4">
        <f>G23-L23</f>
        <v>0</v>
      </c>
      <c r="Q23" s="4"/>
      <c r="R23" s="4"/>
      <c r="S23" s="4">
        <f>SUM(Q23:R23)</f>
        <v>0</v>
      </c>
      <c r="T23" s="4">
        <f>P23-M23+S23</f>
        <v>0</v>
      </c>
      <c r="U23" s="4">
        <f>N23-T23</f>
        <v>85000</v>
      </c>
      <c r="V23" s="11"/>
      <c r="W23" s="4">
        <f>U23-V23-Y23-Z23</f>
        <v>0</v>
      </c>
      <c r="X23" s="4"/>
      <c r="Y23" s="4"/>
      <c r="Z23" s="4">
        <v>85000</v>
      </c>
      <c r="AA23" s="3" t="s">
        <v>662</v>
      </c>
      <c r="AB23" s="3">
        <v>747000</v>
      </c>
      <c r="AC23" s="4">
        <v>85000</v>
      </c>
      <c r="AD23" s="4"/>
      <c r="AE23" s="4"/>
      <c r="AF23" s="4"/>
      <c r="AG23" s="4"/>
      <c r="AH23" s="4"/>
      <c r="AI23" s="4"/>
      <c r="AJ23" s="4"/>
      <c r="AK23" s="4"/>
      <c r="AL23" s="4">
        <f t="shared" si="11"/>
        <v>85000</v>
      </c>
      <c r="AM23" s="4"/>
      <c r="AN23" s="4">
        <f t="shared" si="12"/>
        <v>85000</v>
      </c>
      <c r="AO23" s="4">
        <f t="shared" si="13"/>
        <v>0</v>
      </c>
      <c r="AP23" s="4"/>
      <c r="AQ23" s="4">
        <f t="shared" si="14"/>
        <v>0</v>
      </c>
      <c r="AR23" s="4"/>
      <c r="AS23" s="4"/>
      <c r="AT23" s="4">
        <v>85000</v>
      </c>
      <c r="AU23" s="4"/>
      <c r="AV23" s="4">
        <f t="shared" si="15"/>
        <v>0</v>
      </c>
      <c r="AW23" s="4"/>
      <c r="AX23" s="4"/>
      <c r="AY23" s="4"/>
      <c r="AZ23" s="4"/>
      <c r="BA23" s="4">
        <f t="shared" si="16"/>
        <v>0</v>
      </c>
      <c r="BB23" s="4"/>
      <c r="BC23" s="4"/>
      <c r="BD23" s="4"/>
    </row>
    <row r="24" spans="1:56" s="5" customFormat="1" ht="19.95" customHeight="1">
      <c r="A24" s="3">
        <f t="shared" si="8"/>
        <v>18</v>
      </c>
      <c r="B24" s="39">
        <v>2085</v>
      </c>
      <c r="C24" s="3" t="s">
        <v>561</v>
      </c>
      <c r="D24" s="4">
        <v>85000</v>
      </c>
      <c r="E24" s="4"/>
      <c r="F24" s="4">
        <f>D24-E24</f>
        <v>85000</v>
      </c>
      <c r="G24" s="4">
        <v>0</v>
      </c>
      <c r="H24" s="4">
        <v>0</v>
      </c>
      <c r="I24" s="4"/>
      <c r="J24" s="4"/>
      <c r="K24" s="4">
        <f>I24+J24</f>
        <v>0</v>
      </c>
      <c r="L24" s="4">
        <f>H24+K24</f>
        <v>0</v>
      </c>
      <c r="M24" s="4">
        <f>P24+S24</f>
        <v>0</v>
      </c>
      <c r="N24" s="4">
        <v>85000</v>
      </c>
      <c r="O24" s="4">
        <f>D24-L24-M24-N24</f>
        <v>0</v>
      </c>
      <c r="P24" s="4">
        <f>G24-L24</f>
        <v>0</v>
      </c>
      <c r="Q24" s="4"/>
      <c r="R24" s="4"/>
      <c r="S24" s="4">
        <f>SUM(Q24:R24)</f>
        <v>0</v>
      </c>
      <c r="T24" s="4">
        <f>P24-M24+S24</f>
        <v>0</v>
      </c>
      <c r="U24" s="4">
        <f>N24-T24</f>
        <v>85000</v>
      </c>
      <c r="V24" s="11"/>
      <c r="W24" s="4">
        <f>U24-V24-Y24-Z24</f>
        <v>0</v>
      </c>
      <c r="X24" s="4"/>
      <c r="Y24" s="4"/>
      <c r="Z24" s="4">
        <v>85000</v>
      </c>
      <c r="AA24" s="3" t="s">
        <v>663</v>
      </c>
      <c r="AB24" s="3">
        <v>747000</v>
      </c>
      <c r="AC24" s="4">
        <v>85000</v>
      </c>
      <c r="AD24" s="4"/>
      <c r="AE24" s="4"/>
      <c r="AF24" s="4"/>
      <c r="AG24" s="4"/>
      <c r="AH24" s="4"/>
      <c r="AI24" s="4"/>
      <c r="AJ24" s="4"/>
      <c r="AK24" s="4"/>
      <c r="AL24" s="4">
        <f t="shared" si="11"/>
        <v>85000</v>
      </c>
      <c r="AM24" s="4"/>
      <c r="AN24" s="4">
        <f t="shared" si="12"/>
        <v>85000</v>
      </c>
      <c r="AO24" s="4">
        <f t="shared" si="13"/>
        <v>0</v>
      </c>
      <c r="AP24" s="4"/>
      <c r="AQ24" s="4">
        <f t="shared" si="14"/>
        <v>0</v>
      </c>
      <c r="AR24" s="4"/>
      <c r="AS24" s="4"/>
      <c r="AT24" s="4">
        <v>85000</v>
      </c>
      <c r="AU24" s="4"/>
      <c r="AV24" s="4">
        <f t="shared" si="15"/>
        <v>0</v>
      </c>
      <c r="AW24" s="4"/>
      <c r="AX24" s="4"/>
      <c r="AY24" s="4"/>
      <c r="AZ24" s="4"/>
      <c r="BA24" s="4">
        <f t="shared" si="16"/>
        <v>0</v>
      </c>
      <c r="BB24" s="4"/>
      <c r="BC24" s="4"/>
      <c r="BD24" s="4"/>
    </row>
    <row r="25" spans="1:56" s="5" customFormat="1" ht="19.95" customHeight="1">
      <c r="A25" s="3">
        <f t="shared" si="8"/>
        <v>19</v>
      </c>
      <c r="B25" s="188">
        <v>2086</v>
      </c>
      <c r="C25" s="188" t="s">
        <v>1334</v>
      </c>
      <c r="D25" s="4">
        <v>26159</v>
      </c>
      <c r="E25" s="4"/>
      <c r="F25" s="4">
        <f>D25-E25</f>
        <v>26159</v>
      </c>
      <c r="G25" s="4">
        <v>0</v>
      </c>
      <c r="H25" s="4">
        <v>0</v>
      </c>
      <c r="I25" s="4">
        <v>0</v>
      </c>
      <c r="J25" s="4"/>
      <c r="K25" s="4">
        <f>I25+J25</f>
        <v>0</v>
      </c>
      <c r="L25" s="4">
        <f>H25+K25</f>
        <v>0</v>
      </c>
      <c r="M25" s="4">
        <f>P25+S25</f>
        <v>0</v>
      </c>
      <c r="N25" s="4">
        <v>26159</v>
      </c>
      <c r="O25" s="4">
        <f>D25-L25-M25-N25</f>
        <v>0</v>
      </c>
      <c r="P25" s="4">
        <f>G25-L25</f>
        <v>0</v>
      </c>
      <c r="Q25" s="4"/>
      <c r="R25" s="4"/>
      <c r="S25" s="4">
        <f>SUM(Q25:R25)</f>
        <v>0</v>
      </c>
      <c r="T25" s="4">
        <f>P25-M25+S25</f>
        <v>0</v>
      </c>
      <c r="U25" s="4">
        <f>N25-T25</f>
        <v>26159</v>
      </c>
      <c r="V25" s="11"/>
      <c r="W25" s="4">
        <f>U25-V25-Y25-Z25</f>
        <v>0</v>
      </c>
      <c r="X25" s="4"/>
      <c r="Y25" s="4"/>
      <c r="Z25" s="4">
        <v>26159</v>
      </c>
      <c r="AA25" s="3" t="s">
        <v>664</v>
      </c>
      <c r="AB25" s="3">
        <v>747000</v>
      </c>
      <c r="AC25" s="4">
        <v>26159</v>
      </c>
      <c r="AD25" s="4"/>
      <c r="AE25" s="4"/>
      <c r="AF25" s="4"/>
      <c r="AG25" s="4"/>
      <c r="AH25" s="4"/>
      <c r="AI25" s="4"/>
      <c r="AJ25" s="4"/>
      <c r="AK25" s="4"/>
      <c r="AL25" s="4">
        <f t="shared" si="11"/>
        <v>26159</v>
      </c>
      <c r="AM25" s="4"/>
      <c r="AN25" s="4">
        <f t="shared" si="12"/>
        <v>26159</v>
      </c>
      <c r="AO25" s="4">
        <f t="shared" si="13"/>
        <v>0</v>
      </c>
      <c r="AP25" s="4"/>
      <c r="AQ25" s="4">
        <f t="shared" si="14"/>
        <v>0</v>
      </c>
      <c r="AR25" s="4"/>
      <c r="AS25" s="4"/>
      <c r="AT25" s="4">
        <v>26159</v>
      </c>
      <c r="AU25" s="4"/>
      <c r="AV25" s="4">
        <f t="shared" si="15"/>
        <v>0</v>
      </c>
      <c r="AW25" s="4"/>
      <c r="AX25" s="4"/>
      <c r="AY25" s="4"/>
      <c r="AZ25" s="4"/>
      <c r="BA25" s="4">
        <f t="shared" si="16"/>
        <v>0</v>
      </c>
      <c r="BB25" s="4"/>
      <c r="BC25" s="4"/>
      <c r="BD25" s="4"/>
    </row>
    <row r="26" spans="1:56" s="49" customFormat="1" ht="19.95" customHeight="1">
      <c r="A26" s="44">
        <f>A25</f>
        <v>19</v>
      </c>
      <c r="B26" s="44" t="s">
        <v>59</v>
      </c>
      <c r="C26" s="204" t="s">
        <v>610</v>
      </c>
      <c r="D26" s="12">
        <f t="shared" ref="D26:BD26" si="17">SUM(D7:D25)</f>
        <v>7879159</v>
      </c>
      <c r="E26" s="12">
        <f t="shared" si="17"/>
        <v>9541000</v>
      </c>
      <c r="F26" s="12">
        <f t="shared" si="17"/>
        <v>-1661841</v>
      </c>
      <c r="G26" s="12">
        <f t="shared" si="17"/>
        <v>5613000</v>
      </c>
      <c r="H26" s="12">
        <f t="shared" si="17"/>
        <v>4759043.32</v>
      </c>
      <c r="I26" s="12">
        <f t="shared" si="17"/>
        <v>354044.03</v>
      </c>
      <c r="J26" s="12">
        <f t="shared" si="17"/>
        <v>255698.02000000002</v>
      </c>
      <c r="K26" s="12">
        <f t="shared" si="17"/>
        <v>609742.05000000005</v>
      </c>
      <c r="L26" s="12">
        <f t="shared" si="17"/>
        <v>5368785.3700000001</v>
      </c>
      <c r="M26" s="12">
        <f t="shared" si="17"/>
        <v>214214.62999999998</v>
      </c>
      <c r="N26" s="12">
        <f t="shared" si="17"/>
        <v>1896159</v>
      </c>
      <c r="O26" s="12">
        <f t="shared" si="17"/>
        <v>400000</v>
      </c>
      <c r="P26" s="12">
        <f t="shared" si="17"/>
        <v>244214.62999999998</v>
      </c>
      <c r="Q26" s="12">
        <f t="shared" si="17"/>
        <v>0</v>
      </c>
      <c r="R26" s="12">
        <f t="shared" si="17"/>
        <v>0</v>
      </c>
      <c r="S26" s="12">
        <f t="shared" si="17"/>
        <v>0</v>
      </c>
      <c r="T26" s="12">
        <f t="shared" si="17"/>
        <v>30000</v>
      </c>
      <c r="U26" s="12">
        <f t="shared" si="17"/>
        <v>1866159</v>
      </c>
      <c r="V26" s="12">
        <f t="shared" si="17"/>
        <v>0</v>
      </c>
      <c r="W26" s="12">
        <f t="shared" si="17"/>
        <v>1670000</v>
      </c>
      <c r="X26" s="12">
        <f t="shared" si="17"/>
        <v>0</v>
      </c>
      <c r="Y26" s="12">
        <f t="shared" si="17"/>
        <v>0</v>
      </c>
      <c r="Z26" s="12">
        <f t="shared" si="17"/>
        <v>196159</v>
      </c>
      <c r="AA26" s="12">
        <f t="shared" si="17"/>
        <v>0</v>
      </c>
      <c r="AB26" s="12">
        <f t="shared" si="17"/>
        <v>14193000</v>
      </c>
      <c r="AC26" s="12">
        <f t="shared" ref="AC26:AJ26" si="18">SUM(AC7:AC25)</f>
        <v>1196159</v>
      </c>
      <c r="AD26" s="12">
        <f t="shared" si="18"/>
        <v>400000</v>
      </c>
      <c r="AE26" s="12">
        <f t="shared" si="18"/>
        <v>270000</v>
      </c>
      <c r="AF26" s="12">
        <f t="shared" si="18"/>
        <v>0</v>
      </c>
      <c r="AG26" s="12">
        <f t="shared" si="18"/>
        <v>0</v>
      </c>
      <c r="AH26" s="12">
        <f t="shared" si="18"/>
        <v>0</v>
      </c>
      <c r="AI26" s="12">
        <f t="shared" si="18"/>
        <v>0</v>
      </c>
      <c r="AJ26" s="12">
        <f t="shared" si="18"/>
        <v>0</v>
      </c>
      <c r="AK26" s="12">
        <f t="shared" si="17"/>
        <v>0</v>
      </c>
      <c r="AL26" s="12">
        <f t="shared" si="17"/>
        <v>1866159</v>
      </c>
      <c r="AM26" s="12">
        <f t="shared" si="17"/>
        <v>0</v>
      </c>
      <c r="AN26" s="12">
        <f t="shared" si="17"/>
        <v>1866159</v>
      </c>
      <c r="AO26" s="12">
        <f t="shared" si="17"/>
        <v>0</v>
      </c>
      <c r="AP26" s="12">
        <f t="shared" si="17"/>
        <v>0</v>
      </c>
      <c r="AQ26" s="12">
        <f t="shared" si="17"/>
        <v>1670000</v>
      </c>
      <c r="AR26" s="12">
        <f t="shared" si="17"/>
        <v>0</v>
      </c>
      <c r="AS26" s="12">
        <f t="shared" si="17"/>
        <v>0</v>
      </c>
      <c r="AT26" s="12">
        <f t="shared" si="17"/>
        <v>196159</v>
      </c>
      <c r="AU26" s="12">
        <f>SUM(AU7:AU25)</f>
        <v>0</v>
      </c>
      <c r="AV26" s="12">
        <f>SUM(AV7:AV25)</f>
        <v>0</v>
      </c>
      <c r="AW26" s="12">
        <f>SUM(AW7:AW25)</f>
        <v>0</v>
      </c>
      <c r="AX26" s="12">
        <f>SUM(AX7:AX25)</f>
        <v>0</v>
      </c>
      <c r="AY26" s="12">
        <f>SUM(AY7:AY25)</f>
        <v>0</v>
      </c>
      <c r="AZ26" s="12">
        <f t="shared" si="17"/>
        <v>0</v>
      </c>
      <c r="BA26" s="12">
        <f t="shared" si="17"/>
        <v>0</v>
      </c>
      <c r="BB26" s="12">
        <f t="shared" si="17"/>
        <v>0</v>
      </c>
      <c r="BC26" s="12">
        <f t="shared" si="17"/>
        <v>0</v>
      </c>
      <c r="BD26" s="12">
        <f t="shared" si="17"/>
        <v>0</v>
      </c>
    </row>
    <row r="27" spans="1:56" hidden="1">
      <c r="A27" s="14"/>
      <c r="D27" s="14"/>
      <c r="E27" s="14"/>
      <c r="F27" s="14"/>
      <c r="G27" s="14"/>
      <c r="H27" s="14"/>
      <c r="I27" s="14"/>
      <c r="J27" s="14"/>
      <c r="K27" s="14"/>
      <c r="L27" s="214">
        <f>H26+K26</f>
        <v>5368785.3700000001</v>
      </c>
      <c r="M27" s="214">
        <f>P26+S26-T26</f>
        <v>214214.62999999998</v>
      </c>
      <c r="N27" s="14"/>
      <c r="O27" s="14"/>
      <c r="P27" s="22">
        <f>G26-L26</f>
        <v>244214.62999999989</v>
      </c>
      <c r="U27" s="22">
        <f>N26-T26</f>
        <v>1866159</v>
      </c>
      <c r="W27" s="53"/>
      <c r="Z27" s="53"/>
    </row>
    <row r="28" spans="1:56">
      <c r="A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U28" s="21"/>
      <c r="W28" s="53"/>
      <c r="Z28" s="53"/>
    </row>
    <row r="29" spans="1:56">
      <c r="A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U29" s="21"/>
      <c r="W29" s="53"/>
      <c r="Z29" s="53"/>
    </row>
    <row r="30" spans="1:56">
      <c r="A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U30" s="21"/>
      <c r="W30" s="53"/>
      <c r="Z30" s="53"/>
    </row>
    <row r="31" spans="1:56">
      <c r="A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U31" s="21"/>
      <c r="W31" s="53"/>
      <c r="Z31" s="53"/>
    </row>
    <row r="32" spans="1:56">
      <c r="A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U32" s="21"/>
      <c r="W32" s="53"/>
      <c r="Z32" s="53"/>
    </row>
    <row r="33" spans="1:20">
      <c r="A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R33" s="14"/>
      <c r="S33" s="14"/>
    </row>
    <row r="34" spans="1:20">
      <c r="A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20">
      <c r="A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8" spans="1:20">
      <c r="A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20">
      <c r="A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20">
      <c r="A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20">
      <c r="A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S41" s="14"/>
      <c r="T41" s="14"/>
    </row>
  </sheetData>
  <sheetProtection formatCells="0" formatColumns="0" formatRows="0" insertColumns="0" insertRows="0" insertHyperlinks="0" deleteColumns="0" deleteRows="0" sort="0" autoFilter="0" pivotTables="0"/>
  <mergeCells count="6">
    <mergeCell ref="A4:C4"/>
    <mergeCell ref="T4:Z4"/>
    <mergeCell ref="AZ4:BD4"/>
    <mergeCell ref="AU4:AY4"/>
    <mergeCell ref="AL4:AN4"/>
    <mergeCell ref="AP4:AT4"/>
  </mergeCells>
  <conditionalFormatting sqref="AA5">
    <cfRule type="cellIs" dxfId="144" priority="17" operator="equal">
      <formula>0</formula>
    </cfRule>
  </conditionalFormatting>
  <conditionalFormatting sqref="AC5">
    <cfRule type="cellIs" dxfId="143" priority="16" operator="equal">
      <formula>0</formula>
    </cfRule>
  </conditionalFormatting>
  <conditionalFormatting sqref="AC4">
    <cfRule type="cellIs" dxfId="142" priority="15" operator="equal">
      <formula>0</formula>
    </cfRule>
  </conditionalFormatting>
  <conditionalFormatting sqref="AK5">
    <cfRule type="cellIs" dxfId="141" priority="14" operator="equal">
      <formula>0</formula>
    </cfRule>
  </conditionalFormatting>
  <conditionalFormatting sqref="AD5">
    <cfRule type="cellIs" dxfId="140" priority="13" operator="equal">
      <formula>0</formula>
    </cfRule>
  </conditionalFormatting>
  <conditionalFormatting sqref="AE5">
    <cfRule type="cellIs" dxfId="139" priority="12" operator="equal">
      <formula>0</formula>
    </cfRule>
  </conditionalFormatting>
  <conditionalFormatting sqref="AF5">
    <cfRule type="cellIs" dxfId="138" priority="11" operator="equal">
      <formula>0</formula>
    </cfRule>
  </conditionalFormatting>
  <conditionalFormatting sqref="AG5">
    <cfRule type="cellIs" dxfId="137" priority="10" operator="equal">
      <formula>0</formula>
    </cfRule>
  </conditionalFormatting>
  <conditionalFormatting sqref="AH5">
    <cfRule type="cellIs" dxfId="136" priority="9" operator="equal">
      <formula>0</formula>
    </cfRule>
  </conditionalFormatting>
  <conditionalFormatting sqref="AI5">
    <cfRule type="cellIs" dxfId="135" priority="8" operator="equal">
      <formula>0</formula>
    </cfRule>
  </conditionalFormatting>
  <conditionalFormatting sqref="AJ5">
    <cfRule type="cellIs" dxfId="134" priority="7" operator="equal">
      <formula>0</formula>
    </cfRule>
  </conditionalFormatting>
  <conditionalFormatting sqref="AL5:AN5">
    <cfRule type="cellIs" dxfId="133" priority="4" operator="equal">
      <formula>0</formula>
    </cfRule>
  </conditionalFormatting>
  <conditionalFormatting sqref="AZ5">
    <cfRule type="cellIs" dxfId="132" priority="1" operator="equal">
      <formula>0</formula>
    </cfRule>
  </conditionalFormatting>
  <conditionalFormatting sqref="AP5">
    <cfRule type="cellIs" dxfId="131" priority="3" operator="equal">
      <formula>0</formula>
    </cfRule>
  </conditionalFormatting>
  <conditionalFormatting sqref="AU5">
    <cfRule type="cellIs" dxfId="130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26"/>
  <sheetViews>
    <sheetView showZeros="0" rightToLeft="1" tabSelected="1" zoomScaleNormal="100" workbookViewId="0">
      <pane xSplit="3" ySplit="5" topLeftCell="D9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4.33203125" style="333" customWidth="1"/>
    <col min="2" max="2" width="5.44140625" style="191" customWidth="1"/>
    <col min="3" max="3" width="38.33203125" style="191" customWidth="1"/>
    <col min="4" max="5" width="10.44140625" style="192" hidden="1" customWidth="1"/>
    <col min="6" max="6" width="7.33203125" style="192" hidden="1" customWidth="1"/>
    <col min="7" max="10" width="12.6640625" style="192" hidden="1" customWidth="1"/>
    <col min="11" max="11" width="11.33203125" style="192" hidden="1" customWidth="1"/>
    <col min="12" max="12" width="10.5546875" style="192" hidden="1" customWidth="1"/>
    <col min="13" max="13" width="9.109375" style="192" hidden="1" customWidth="1"/>
    <col min="14" max="14" width="11.109375" style="192" hidden="1" customWidth="1"/>
    <col min="15" max="15" width="10.5546875" style="192" hidden="1" customWidth="1"/>
    <col min="16" max="16" width="9.33203125" style="192" hidden="1" customWidth="1"/>
    <col min="17" max="17" width="11.109375" style="192" hidden="1" customWidth="1"/>
    <col min="18" max="19" width="12" style="192" hidden="1" customWidth="1"/>
    <col min="20" max="20" width="10.33203125" style="192" customWidth="1"/>
    <col min="21" max="21" width="9.88671875" style="191" customWidth="1"/>
    <col min="22" max="22" width="9.33203125" style="191" bestFit="1" customWidth="1"/>
    <col min="23" max="23" width="8" style="191" customWidth="1"/>
    <col min="24" max="24" width="11.88671875" style="191" hidden="1" customWidth="1"/>
    <col min="25" max="25" width="9.6640625" style="191" customWidth="1"/>
    <col min="26" max="26" width="10.88671875" style="191" customWidth="1"/>
    <col min="27" max="27" width="27" style="191" hidden="1" customWidth="1"/>
    <col min="28" max="28" width="7.88671875" style="191" hidden="1" customWidth="1"/>
    <col min="29" max="36" width="12.6640625" style="191" hidden="1" customWidth="1"/>
    <col min="37" max="37" width="10.109375" style="191" hidden="1" customWidth="1"/>
    <col min="38" max="38" width="10.21875" style="348" hidden="1" customWidth="1"/>
    <col min="39" max="39" width="12.6640625" style="331" hidden="1" customWidth="1"/>
    <col min="40" max="40" width="12.6640625" style="331" customWidth="1"/>
    <col min="41" max="41" width="10.44140625" style="331" customWidth="1"/>
    <col min="42" max="42" width="10.88671875" style="191" customWidth="1"/>
    <col min="43" max="43" width="8.88671875" style="191" customWidth="1"/>
    <col min="44" max="44" width="12.6640625" style="191" hidden="1" customWidth="1"/>
    <col min="45" max="45" width="8.88671875" style="191" customWidth="1"/>
    <col min="46" max="46" width="10.33203125" style="191" customWidth="1"/>
    <col min="47" max="48" width="12.6640625" style="331" hidden="1" customWidth="1"/>
    <col min="49" max="51" width="12.6640625" style="191" hidden="1" customWidth="1"/>
    <col min="52" max="52" width="10.109375" style="331" hidden="1" customWidth="1"/>
    <col min="53" max="53" width="12.6640625" style="331" hidden="1" customWidth="1"/>
    <col min="54" max="55" width="12.6640625" style="191" hidden="1" customWidth="1"/>
    <col min="56" max="56" width="10.21875" style="191" hidden="1" customWidth="1"/>
    <col min="57" max="57" width="12.6640625" style="191" customWidth="1"/>
    <col min="58" max="58" width="9.109375" style="191"/>
    <col min="59" max="59" width="12.6640625" style="191" customWidth="1"/>
    <col min="60" max="16384" width="9.109375" style="191"/>
  </cols>
  <sheetData>
    <row r="1" spans="1:59" s="331" customFormat="1">
      <c r="A1" s="329"/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73"/>
      <c r="Y1" s="373"/>
      <c r="AC1" s="191"/>
      <c r="AD1" s="191"/>
      <c r="AE1" s="191"/>
      <c r="AF1" s="191"/>
      <c r="AG1" s="191"/>
      <c r="AH1" s="191"/>
      <c r="AI1" s="191"/>
      <c r="AJ1" s="191"/>
      <c r="AK1" s="191"/>
      <c r="AL1" s="382"/>
      <c r="BE1" s="191"/>
      <c r="BG1" s="191"/>
    </row>
    <row r="2" spans="1:59">
      <c r="A2" s="329" t="s">
        <v>1009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3" spans="1:59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</row>
    <row r="4" spans="1:59" ht="13.8">
      <c r="A4" s="484"/>
      <c r="B4" s="500"/>
      <c r="C4" s="692"/>
      <c r="T4" s="832" t="s">
        <v>111</v>
      </c>
      <c r="U4" s="833"/>
      <c r="V4" s="833"/>
      <c r="W4" s="833"/>
      <c r="X4" s="833"/>
      <c r="Y4" s="833"/>
      <c r="Z4" s="834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2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9" s="336" customFormat="1" ht="86.25" customHeight="1">
      <c r="A5" s="194" t="s">
        <v>0</v>
      </c>
      <c r="B5" s="194" t="s">
        <v>1</v>
      </c>
      <c r="C5" s="194" t="s">
        <v>2</v>
      </c>
      <c r="D5" s="194" t="s">
        <v>3</v>
      </c>
      <c r="E5" s="194" t="s">
        <v>4</v>
      </c>
      <c r="F5" s="194" t="s">
        <v>5</v>
      </c>
      <c r="G5" s="194" t="s">
        <v>6</v>
      </c>
      <c r="H5" s="194" t="s">
        <v>7</v>
      </c>
      <c r="I5" s="194" t="s">
        <v>9</v>
      </c>
      <c r="J5" s="194" t="s">
        <v>215</v>
      </c>
      <c r="K5" s="194" t="s">
        <v>10</v>
      </c>
      <c r="L5" s="194" t="s">
        <v>11</v>
      </c>
      <c r="M5" s="10" t="s">
        <v>402</v>
      </c>
      <c r="N5" s="194" t="s">
        <v>403</v>
      </c>
      <c r="O5" s="194" t="s">
        <v>404</v>
      </c>
      <c r="P5" s="194" t="s">
        <v>12</v>
      </c>
      <c r="Q5" s="194" t="s">
        <v>488</v>
      </c>
      <c r="R5" s="194" t="s">
        <v>489</v>
      </c>
      <c r="S5" s="194" t="s">
        <v>407</v>
      </c>
      <c r="T5" s="194" t="s">
        <v>408</v>
      </c>
      <c r="U5" s="194" t="s">
        <v>409</v>
      </c>
      <c r="V5" s="194" t="s">
        <v>13</v>
      </c>
      <c r="W5" s="194" t="s">
        <v>14</v>
      </c>
      <c r="X5" s="194" t="s">
        <v>15</v>
      </c>
      <c r="Y5" s="194" t="s">
        <v>354</v>
      </c>
      <c r="Z5" s="194" t="s">
        <v>105</v>
      </c>
      <c r="AA5" s="18" t="s">
        <v>410</v>
      </c>
      <c r="AB5" s="194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  <c r="BE5" s="191"/>
      <c r="BG5" s="191"/>
    </row>
    <row r="6" spans="1:59" s="202" customFormat="1">
      <c r="A6" s="198"/>
      <c r="B6" s="198"/>
      <c r="C6" s="198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8"/>
      <c r="AA6" s="198"/>
      <c r="AB6" s="195"/>
      <c r="AC6" s="211"/>
      <c r="AD6" s="211"/>
      <c r="AE6" s="211"/>
      <c r="AF6" s="211"/>
      <c r="AG6" s="211"/>
      <c r="AH6" s="211"/>
      <c r="AI6" s="211"/>
      <c r="AJ6" s="211"/>
      <c r="AK6" s="211"/>
      <c r="AL6" s="198"/>
      <c r="AM6" s="485"/>
      <c r="AN6" s="485"/>
      <c r="AO6" s="485"/>
      <c r="AP6" s="198"/>
      <c r="AQ6" s="198"/>
      <c r="AR6" s="198"/>
      <c r="AS6" s="198"/>
      <c r="AT6" s="198"/>
      <c r="AU6" s="485"/>
      <c r="AV6" s="485"/>
      <c r="AW6" s="198"/>
      <c r="AX6" s="198"/>
      <c r="AY6" s="198"/>
      <c r="AZ6" s="485"/>
      <c r="BA6" s="485"/>
      <c r="BB6" s="198"/>
      <c r="BC6" s="198"/>
      <c r="BD6" s="198"/>
      <c r="BE6" s="191"/>
      <c r="BG6" s="191"/>
    </row>
    <row r="7" spans="1:59" s="203" customFormat="1" ht="19.95" customHeight="1">
      <c r="A7" s="198">
        <f>A6+1</f>
        <v>1</v>
      </c>
      <c r="B7" s="198">
        <v>1519</v>
      </c>
      <c r="C7" s="198" t="s">
        <v>103</v>
      </c>
      <c r="D7" s="199">
        <v>8493000</v>
      </c>
      <c r="E7" s="199">
        <v>8493000</v>
      </c>
      <c r="F7" s="199">
        <f t="shared" ref="F7:F19" si="0">D7-E7</f>
        <v>0</v>
      </c>
      <c r="G7" s="199">
        <v>730000</v>
      </c>
      <c r="H7" s="199">
        <v>727317.36</v>
      </c>
      <c r="I7" s="199"/>
      <c r="J7" s="199"/>
      <c r="K7" s="199">
        <f t="shared" ref="K7:K19" si="1">SUM(I7:J7)</f>
        <v>0</v>
      </c>
      <c r="L7" s="199">
        <f t="shared" ref="L7:L19" si="2">H7+K7</f>
        <v>727317.36</v>
      </c>
      <c r="M7" s="199">
        <f t="shared" ref="M7:M19" si="3">P7+S7</f>
        <v>2682.640000000014</v>
      </c>
      <c r="N7" s="199">
        <f>1000000-1000000</f>
        <v>0</v>
      </c>
      <c r="O7" s="199">
        <f t="shared" ref="O7:O19" si="4">D7-L7-M7-N7</f>
        <v>7763000</v>
      </c>
      <c r="P7" s="199">
        <f t="shared" ref="P7:P19" si="5">G7-L7</f>
        <v>2682.640000000014</v>
      </c>
      <c r="Q7" s="199"/>
      <c r="R7" s="199"/>
      <c r="S7" s="199">
        <f t="shared" ref="S7:S19" si="6">SUM(Q7:R7)</f>
        <v>0</v>
      </c>
      <c r="T7" s="199">
        <f t="shared" ref="T7:T19" si="7">P7-M7+S7</f>
        <v>0</v>
      </c>
      <c r="U7" s="199">
        <f t="shared" ref="U7:U19" si="8">N7-T7</f>
        <v>0</v>
      </c>
      <c r="V7" s="199">
        <f t="shared" ref="V7:V19" si="9">U7-W7-Y7-Z7</f>
        <v>0</v>
      </c>
      <c r="W7" s="199"/>
      <c r="X7" s="199"/>
      <c r="Y7" s="199"/>
      <c r="Z7" s="199"/>
      <c r="AA7" s="198" t="s">
        <v>805</v>
      </c>
      <c r="AB7" s="198">
        <v>732000</v>
      </c>
      <c r="AC7" s="199"/>
      <c r="AD7" s="199"/>
      <c r="AE7" s="199"/>
      <c r="AF7" s="199"/>
      <c r="AG7" s="199"/>
      <c r="AH7" s="199"/>
      <c r="AI7" s="199"/>
      <c r="AJ7" s="199"/>
      <c r="AK7" s="199"/>
      <c r="AL7" s="199">
        <f>SUM(AC7:AK7)</f>
        <v>0</v>
      </c>
      <c r="AM7" s="199"/>
      <c r="AN7" s="199">
        <f>AL7+AM7</f>
        <v>0</v>
      </c>
      <c r="AO7" s="199">
        <f>U7-AN7</f>
        <v>0</v>
      </c>
      <c r="AP7" s="199">
        <f>AN7-AQ7-AR7-AS7-AT7</f>
        <v>0</v>
      </c>
      <c r="AQ7" s="199"/>
      <c r="AR7" s="199"/>
      <c r="AS7" s="199"/>
      <c r="AT7" s="199"/>
      <c r="AU7" s="199">
        <f>AM7-AV7-AW7-AX7-AY7</f>
        <v>0</v>
      </c>
      <c r="AV7" s="199"/>
      <c r="AW7" s="199"/>
      <c r="AX7" s="199"/>
      <c r="AY7" s="199"/>
      <c r="AZ7" s="199">
        <f>AO7-BA7-BB7-BC7-BD7</f>
        <v>0</v>
      </c>
      <c r="BA7" s="199"/>
      <c r="BB7" s="199"/>
      <c r="BC7" s="199"/>
      <c r="BD7" s="199"/>
      <c r="BE7" s="191"/>
      <c r="BG7" s="191"/>
    </row>
    <row r="8" spans="1:59" s="202" customFormat="1" ht="19.95" customHeight="1">
      <c r="A8" s="198">
        <f t="shared" ref="A8:A19" si="10">A7+1</f>
        <v>2</v>
      </c>
      <c r="B8" s="198">
        <v>1867</v>
      </c>
      <c r="C8" s="198" t="s">
        <v>174</v>
      </c>
      <c r="D8" s="199">
        <v>1520000</v>
      </c>
      <c r="E8" s="199">
        <v>1520000</v>
      </c>
      <c r="F8" s="199">
        <f t="shared" si="0"/>
        <v>0</v>
      </c>
      <c r="G8" s="199">
        <f>200000+200000-200000</f>
        <v>200000</v>
      </c>
      <c r="H8" s="199">
        <v>198579</v>
      </c>
      <c r="I8" s="199"/>
      <c r="J8" s="199"/>
      <c r="K8" s="199">
        <f t="shared" si="1"/>
        <v>0</v>
      </c>
      <c r="L8" s="199">
        <f t="shared" si="2"/>
        <v>198579</v>
      </c>
      <c r="M8" s="199">
        <f t="shared" si="3"/>
        <v>201421</v>
      </c>
      <c r="N8" s="199">
        <f>50000-50000</f>
        <v>0</v>
      </c>
      <c r="O8" s="199">
        <f t="shared" si="4"/>
        <v>1120000</v>
      </c>
      <c r="P8" s="199">
        <f t="shared" si="5"/>
        <v>1421</v>
      </c>
      <c r="Q8" s="199">
        <v>200000</v>
      </c>
      <c r="R8" s="199"/>
      <c r="S8" s="199">
        <f t="shared" si="6"/>
        <v>200000</v>
      </c>
      <c r="T8" s="199">
        <f t="shared" si="7"/>
        <v>0</v>
      </c>
      <c r="U8" s="199">
        <f t="shared" si="8"/>
        <v>0</v>
      </c>
      <c r="V8" s="199">
        <f t="shared" si="9"/>
        <v>0</v>
      </c>
      <c r="W8" s="199"/>
      <c r="X8" s="199"/>
      <c r="Y8" s="199"/>
      <c r="Z8" s="199"/>
      <c r="AA8" s="198" t="s">
        <v>805</v>
      </c>
      <c r="AB8" s="198">
        <v>732000</v>
      </c>
      <c r="AC8" s="199"/>
      <c r="AD8" s="199"/>
      <c r="AE8" s="199"/>
      <c r="AF8" s="199"/>
      <c r="AG8" s="199"/>
      <c r="AH8" s="199"/>
      <c r="AI8" s="199"/>
      <c r="AJ8" s="199"/>
      <c r="AK8" s="199"/>
      <c r="AL8" s="199">
        <f t="shared" ref="AL8:AL19" si="11">SUM(AC8:AK8)</f>
        <v>0</v>
      </c>
      <c r="AM8" s="199"/>
      <c r="AN8" s="199">
        <f t="shared" ref="AN8:AN19" si="12">AL8+AM8</f>
        <v>0</v>
      </c>
      <c r="AO8" s="199">
        <f t="shared" ref="AO8:AO19" si="13">U8-AN8</f>
        <v>0</v>
      </c>
      <c r="AP8" s="199">
        <f t="shared" ref="AP8:AP19" si="14">AN8-AQ8-AR8-AS8-AT8</f>
        <v>0</v>
      </c>
      <c r="AQ8" s="199"/>
      <c r="AR8" s="199"/>
      <c r="AS8" s="199"/>
      <c r="AT8" s="199"/>
      <c r="AU8" s="199">
        <f t="shared" ref="AU8:AU19" si="15">AM8-AV8-AW8-AX8-AY8</f>
        <v>0</v>
      </c>
      <c r="AV8" s="199"/>
      <c r="AW8" s="199"/>
      <c r="AX8" s="199"/>
      <c r="AY8" s="199"/>
      <c r="AZ8" s="199">
        <f t="shared" ref="AZ8:AZ19" si="16">AO8-BA8-BB8-BC8-BD8</f>
        <v>0</v>
      </c>
      <c r="BA8" s="199"/>
      <c r="BB8" s="199"/>
      <c r="BC8" s="199"/>
      <c r="BD8" s="199"/>
      <c r="BE8" s="191"/>
      <c r="BG8" s="191"/>
    </row>
    <row r="9" spans="1:59" s="202" customFormat="1" ht="19.95" customHeight="1">
      <c r="A9" s="198">
        <f t="shared" si="10"/>
        <v>3</v>
      </c>
      <c r="B9" s="198">
        <v>1869</v>
      </c>
      <c r="C9" s="198" t="s">
        <v>175</v>
      </c>
      <c r="D9" s="199">
        <v>8200000</v>
      </c>
      <c r="E9" s="199">
        <v>8200000</v>
      </c>
      <c r="F9" s="199">
        <f t="shared" si="0"/>
        <v>0</v>
      </c>
      <c r="G9" s="199">
        <v>100000</v>
      </c>
      <c r="H9" s="199">
        <v>69622.02</v>
      </c>
      <c r="I9" s="199"/>
      <c r="J9" s="199"/>
      <c r="K9" s="199">
        <f t="shared" si="1"/>
        <v>0</v>
      </c>
      <c r="L9" s="199">
        <f t="shared" si="2"/>
        <v>69622.02</v>
      </c>
      <c r="M9" s="199">
        <f t="shared" si="3"/>
        <v>30377.979999999996</v>
      </c>
      <c r="N9" s="199">
        <f>400000-400000</f>
        <v>0</v>
      </c>
      <c r="O9" s="199">
        <f t="shared" si="4"/>
        <v>8100000</v>
      </c>
      <c r="P9" s="199">
        <f t="shared" si="5"/>
        <v>30377.979999999996</v>
      </c>
      <c r="Q9" s="199"/>
      <c r="R9" s="199"/>
      <c r="S9" s="199">
        <f t="shared" si="6"/>
        <v>0</v>
      </c>
      <c r="T9" s="199">
        <f t="shared" si="7"/>
        <v>0</v>
      </c>
      <c r="U9" s="199">
        <f t="shared" si="8"/>
        <v>0</v>
      </c>
      <c r="V9" s="199">
        <f t="shared" si="9"/>
        <v>0</v>
      </c>
      <c r="W9" s="199"/>
      <c r="X9" s="199"/>
      <c r="Y9" s="199"/>
      <c r="Z9" s="199"/>
      <c r="AA9" s="198" t="s">
        <v>806</v>
      </c>
      <c r="AB9" s="198">
        <v>742000</v>
      </c>
      <c r="AC9" s="199"/>
      <c r="AD9" s="199"/>
      <c r="AE9" s="199"/>
      <c r="AF9" s="199"/>
      <c r="AG9" s="199"/>
      <c r="AH9" s="199"/>
      <c r="AI9" s="199"/>
      <c r="AJ9" s="199"/>
      <c r="AK9" s="199"/>
      <c r="AL9" s="199">
        <f t="shared" si="11"/>
        <v>0</v>
      </c>
      <c r="AM9" s="199"/>
      <c r="AN9" s="199">
        <f t="shared" si="12"/>
        <v>0</v>
      </c>
      <c r="AO9" s="199">
        <f t="shared" si="13"/>
        <v>0</v>
      </c>
      <c r="AP9" s="199">
        <f t="shared" si="14"/>
        <v>0</v>
      </c>
      <c r="AQ9" s="199"/>
      <c r="AR9" s="199"/>
      <c r="AS9" s="199"/>
      <c r="AT9" s="199"/>
      <c r="AU9" s="199">
        <f t="shared" si="15"/>
        <v>0</v>
      </c>
      <c r="AV9" s="199"/>
      <c r="AW9" s="199"/>
      <c r="AX9" s="199"/>
      <c r="AY9" s="199"/>
      <c r="AZ9" s="199">
        <f t="shared" si="16"/>
        <v>0</v>
      </c>
      <c r="BA9" s="199"/>
      <c r="BB9" s="199"/>
      <c r="BC9" s="199"/>
      <c r="BD9" s="199"/>
      <c r="BE9" s="191"/>
      <c r="BG9" s="191"/>
    </row>
    <row r="10" spans="1:59" s="202" customFormat="1" ht="19.95" customHeight="1">
      <c r="A10" s="198">
        <f t="shared" si="10"/>
        <v>4</v>
      </c>
      <c r="B10" s="198">
        <v>1870</v>
      </c>
      <c r="C10" s="198" t="s">
        <v>177</v>
      </c>
      <c r="D10" s="199">
        <v>7230000</v>
      </c>
      <c r="E10" s="199">
        <v>7230000</v>
      </c>
      <c r="F10" s="199">
        <f t="shared" si="0"/>
        <v>0</v>
      </c>
      <c r="G10" s="199">
        <v>6500000</v>
      </c>
      <c r="H10" s="199">
        <v>5149035.42</v>
      </c>
      <c r="I10" s="199"/>
      <c r="J10" s="199"/>
      <c r="K10" s="199">
        <f t="shared" si="1"/>
        <v>0</v>
      </c>
      <c r="L10" s="199">
        <f t="shared" si="2"/>
        <v>5149035.42</v>
      </c>
      <c r="M10" s="199">
        <f t="shared" si="3"/>
        <v>1350964.58</v>
      </c>
      <c r="N10" s="199">
        <v>730000</v>
      </c>
      <c r="O10" s="199">
        <f t="shared" si="4"/>
        <v>0</v>
      </c>
      <c r="P10" s="199">
        <f t="shared" si="5"/>
        <v>1350964.58</v>
      </c>
      <c r="Q10" s="199"/>
      <c r="R10" s="199"/>
      <c r="S10" s="199">
        <f t="shared" si="6"/>
        <v>0</v>
      </c>
      <c r="T10" s="199">
        <f t="shared" si="7"/>
        <v>0</v>
      </c>
      <c r="U10" s="199">
        <f t="shared" si="8"/>
        <v>730000</v>
      </c>
      <c r="V10" s="199">
        <f t="shared" si="9"/>
        <v>730000</v>
      </c>
      <c r="W10" s="199"/>
      <c r="X10" s="199"/>
      <c r="Y10" s="199"/>
      <c r="Z10" s="199"/>
      <c r="AA10" s="198" t="s">
        <v>807</v>
      </c>
      <c r="AB10" s="198">
        <v>742000</v>
      </c>
      <c r="AC10" s="199">
        <v>730000</v>
      </c>
      <c r="AD10" s="199"/>
      <c r="AE10" s="199"/>
      <c r="AF10" s="199"/>
      <c r="AG10" s="199"/>
      <c r="AH10" s="199"/>
      <c r="AI10" s="199"/>
      <c r="AJ10" s="199"/>
      <c r="AK10" s="199"/>
      <c r="AL10" s="199">
        <f t="shared" si="11"/>
        <v>730000</v>
      </c>
      <c r="AM10" s="199"/>
      <c r="AN10" s="199">
        <f t="shared" si="12"/>
        <v>730000</v>
      </c>
      <c r="AO10" s="199">
        <f t="shared" si="13"/>
        <v>0</v>
      </c>
      <c r="AP10" s="199">
        <f t="shared" si="14"/>
        <v>730000</v>
      </c>
      <c r="AQ10" s="199"/>
      <c r="AR10" s="199"/>
      <c r="AS10" s="199"/>
      <c r="AT10" s="199"/>
      <c r="AU10" s="199">
        <f t="shared" si="15"/>
        <v>0</v>
      </c>
      <c r="AV10" s="199"/>
      <c r="AW10" s="199"/>
      <c r="AX10" s="199"/>
      <c r="AY10" s="199"/>
      <c r="AZ10" s="199">
        <f t="shared" si="16"/>
        <v>0</v>
      </c>
      <c r="BA10" s="199"/>
      <c r="BB10" s="199"/>
      <c r="BC10" s="199"/>
      <c r="BD10" s="199"/>
      <c r="BE10" s="191"/>
      <c r="BG10" s="191"/>
    </row>
    <row r="11" spans="1:59" s="202" customFormat="1" ht="19.95" customHeight="1">
      <c r="A11" s="198">
        <f t="shared" si="10"/>
        <v>5</v>
      </c>
      <c r="B11" s="198">
        <v>1932</v>
      </c>
      <c r="C11" s="198" t="s">
        <v>176</v>
      </c>
      <c r="D11" s="199">
        <v>5000000</v>
      </c>
      <c r="E11" s="199">
        <v>5000000</v>
      </c>
      <c r="F11" s="199">
        <f t="shared" si="0"/>
        <v>0</v>
      </c>
      <c r="G11" s="199">
        <v>200000</v>
      </c>
      <c r="H11" s="199">
        <v>97534.29</v>
      </c>
      <c r="I11" s="199"/>
      <c r="J11" s="199"/>
      <c r="K11" s="199">
        <f t="shared" si="1"/>
        <v>0</v>
      </c>
      <c r="L11" s="199">
        <f t="shared" si="2"/>
        <v>97534.29</v>
      </c>
      <c r="M11" s="199">
        <f t="shared" si="3"/>
        <v>102465.71</v>
      </c>
      <c r="N11" s="199">
        <v>4800000</v>
      </c>
      <c r="O11" s="199">
        <f t="shared" si="4"/>
        <v>0</v>
      </c>
      <c r="P11" s="199">
        <f t="shared" si="5"/>
        <v>102465.71</v>
      </c>
      <c r="Q11" s="199"/>
      <c r="R11" s="199"/>
      <c r="S11" s="199">
        <f t="shared" si="6"/>
        <v>0</v>
      </c>
      <c r="T11" s="199">
        <f t="shared" si="7"/>
        <v>0</v>
      </c>
      <c r="U11" s="199">
        <f t="shared" si="8"/>
        <v>4800000</v>
      </c>
      <c r="V11" s="199">
        <f t="shared" si="9"/>
        <v>0</v>
      </c>
      <c r="W11" s="199"/>
      <c r="X11" s="199"/>
      <c r="Y11" s="199"/>
      <c r="Z11" s="199">
        <v>4800000</v>
      </c>
      <c r="AA11" s="198" t="s">
        <v>808</v>
      </c>
      <c r="AB11" s="198">
        <v>746000</v>
      </c>
      <c r="AC11" s="199"/>
      <c r="AD11" s="199">
        <v>400000</v>
      </c>
      <c r="AE11" s="199"/>
      <c r="AF11" s="199"/>
      <c r="AG11" s="199"/>
      <c r="AH11" s="199">
        <v>1500000</v>
      </c>
      <c r="AI11" s="199">
        <v>1200000</v>
      </c>
      <c r="AJ11" s="199">
        <v>1700000</v>
      </c>
      <c r="AK11" s="199"/>
      <c r="AL11" s="199">
        <f t="shared" si="11"/>
        <v>4800000</v>
      </c>
      <c r="AM11" s="199"/>
      <c r="AN11" s="199">
        <f t="shared" si="12"/>
        <v>4800000</v>
      </c>
      <c r="AO11" s="199">
        <f t="shared" si="13"/>
        <v>0</v>
      </c>
      <c r="AP11" s="199">
        <f t="shared" si="14"/>
        <v>0</v>
      </c>
      <c r="AQ11" s="199"/>
      <c r="AR11" s="199"/>
      <c r="AS11" s="199"/>
      <c r="AT11" s="199">
        <v>4800000</v>
      </c>
      <c r="AU11" s="199">
        <f t="shared" si="15"/>
        <v>0</v>
      </c>
      <c r="AV11" s="199"/>
      <c r="AW11" s="199"/>
      <c r="AX11" s="199"/>
      <c r="AY11" s="199"/>
      <c r="AZ11" s="199">
        <f t="shared" si="16"/>
        <v>0</v>
      </c>
      <c r="BA11" s="199"/>
      <c r="BB11" s="199"/>
      <c r="BC11" s="199"/>
      <c r="BD11" s="199"/>
      <c r="BE11" s="191"/>
      <c r="BG11" s="191"/>
    </row>
    <row r="12" spans="1:59" s="202" customFormat="1" ht="19.95" customHeight="1">
      <c r="A12" s="198">
        <f t="shared" si="10"/>
        <v>6</v>
      </c>
      <c r="B12" s="188">
        <v>1934</v>
      </c>
      <c r="C12" s="188" t="s">
        <v>1279</v>
      </c>
      <c r="D12" s="220">
        <v>3300000</v>
      </c>
      <c r="E12" s="220">
        <v>3300000</v>
      </c>
      <c r="F12" s="199">
        <f t="shared" si="0"/>
        <v>0</v>
      </c>
      <c r="G12" s="199">
        <v>3300000</v>
      </c>
      <c r="H12" s="199">
        <v>3086593.6</v>
      </c>
      <c r="I12" s="199"/>
      <c r="J12" s="199"/>
      <c r="K12" s="199">
        <f t="shared" si="1"/>
        <v>0</v>
      </c>
      <c r="L12" s="199">
        <f t="shared" si="2"/>
        <v>3086593.6</v>
      </c>
      <c r="M12" s="199">
        <f t="shared" si="3"/>
        <v>213406.39999999991</v>
      </c>
      <c r="N12" s="199"/>
      <c r="O12" s="199">
        <f t="shared" si="4"/>
        <v>0</v>
      </c>
      <c r="P12" s="199">
        <f t="shared" si="5"/>
        <v>213406.39999999991</v>
      </c>
      <c r="Q12" s="199"/>
      <c r="R12" s="199"/>
      <c r="S12" s="199">
        <f t="shared" si="6"/>
        <v>0</v>
      </c>
      <c r="T12" s="199">
        <f t="shared" si="7"/>
        <v>0</v>
      </c>
      <c r="U12" s="199">
        <f t="shared" si="8"/>
        <v>0</v>
      </c>
      <c r="V12" s="199">
        <f t="shared" si="9"/>
        <v>0</v>
      </c>
      <c r="W12" s="199"/>
      <c r="X12" s="199"/>
      <c r="Y12" s="199"/>
      <c r="Z12" s="199"/>
      <c r="AA12" s="198" t="s">
        <v>809</v>
      </c>
      <c r="AB12" s="198">
        <v>742000</v>
      </c>
      <c r="AC12" s="199"/>
      <c r="AD12" s="199"/>
      <c r="AE12" s="199"/>
      <c r="AF12" s="199"/>
      <c r="AG12" s="199"/>
      <c r="AH12" s="199"/>
      <c r="AI12" s="199"/>
      <c r="AJ12" s="199"/>
      <c r="AK12" s="199"/>
      <c r="AL12" s="199">
        <f t="shared" si="11"/>
        <v>0</v>
      </c>
      <c r="AM12" s="199"/>
      <c r="AN12" s="199">
        <f t="shared" si="12"/>
        <v>0</v>
      </c>
      <c r="AO12" s="199">
        <f t="shared" si="13"/>
        <v>0</v>
      </c>
      <c r="AP12" s="199">
        <f t="shared" si="14"/>
        <v>0</v>
      </c>
      <c r="AQ12" s="199"/>
      <c r="AR12" s="199"/>
      <c r="AS12" s="199"/>
      <c r="AT12" s="199"/>
      <c r="AU12" s="199">
        <f t="shared" si="15"/>
        <v>0</v>
      </c>
      <c r="AV12" s="199"/>
      <c r="AW12" s="199"/>
      <c r="AX12" s="199"/>
      <c r="AY12" s="199"/>
      <c r="AZ12" s="199">
        <f t="shared" si="16"/>
        <v>0</v>
      </c>
      <c r="BA12" s="199"/>
      <c r="BB12" s="199"/>
      <c r="BC12" s="199"/>
      <c r="BD12" s="199"/>
      <c r="BE12" s="191"/>
      <c r="BG12" s="191"/>
    </row>
    <row r="13" spans="1:59" s="202" customFormat="1" ht="19.95" customHeight="1">
      <c r="A13" s="198">
        <f t="shared" si="10"/>
        <v>7</v>
      </c>
      <c r="B13" s="198">
        <v>1979</v>
      </c>
      <c r="C13" s="198" t="s">
        <v>203</v>
      </c>
      <c r="D13" s="220">
        <v>195000</v>
      </c>
      <c r="E13" s="220">
        <v>195000</v>
      </c>
      <c r="F13" s="199">
        <f t="shared" si="0"/>
        <v>0</v>
      </c>
      <c r="G13" s="199">
        <v>50000</v>
      </c>
      <c r="H13" s="199">
        <v>0</v>
      </c>
      <c r="I13" s="199"/>
      <c r="J13" s="199"/>
      <c r="K13" s="199">
        <f t="shared" si="1"/>
        <v>0</v>
      </c>
      <c r="L13" s="199">
        <f t="shared" si="2"/>
        <v>0</v>
      </c>
      <c r="M13" s="199">
        <f t="shared" si="3"/>
        <v>50000</v>
      </c>
      <c r="N13" s="199">
        <v>145000</v>
      </c>
      <c r="O13" s="199">
        <f t="shared" si="4"/>
        <v>0</v>
      </c>
      <c r="P13" s="199">
        <f t="shared" si="5"/>
        <v>50000</v>
      </c>
      <c r="Q13" s="199"/>
      <c r="R13" s="199"/>
      <c r="S13" s="199">
        <f t="shared" si="6"/>
        <v>0</v>
      </c>
      <c r="T13" s="199">
        <f t="shared" si="7"/>
        <v>0</v>
      </c>
      <c r="U13" s="199">
        <f t="shared" si="8"/>
        <v>145000</v>
      </c>
      <c r="V13" s="199">
        <f t="shared" si="9"/>
        <v>145000</v>
      </c>
      <c r="W13" s="199"/>
      <c r="X13" s="199"/>
      <c r="Y13" s="199"/>
      <c r="Z13" s="199"/>
      <c r="AA13" s="198" t="s">
        <v>805</v>
      </c>
      <c r="AB13" s="198">
        <v>732000</v>
      </c>
      <c r="AC13" s="199">
        <v>10000</v>
      </c>
      <c r="AD13" s="199"/>
      <c r="AE13" s="199"/>
      <c r="AF13" s="199"/>
      <c r="AG13" s="199"/>
      <c r="AH13" s="199">
        <v>40000</v>
      </c>
      <c r="AI13" s="199"/>
      <c r="AJ13" s="199"/>
      <c r="AK13" s="199"/>
      <c r="AL13" s="199">
        <f t="shared" si="11"/>
        <v>50000</v>
      </c>
      <c r="AM13" s="199"/>
      <c r="AN13" s="199">
        <f t="shared" si="12"/>
        <v>50000</v>
      </c>
      <c r="AO13" s="199">
        <f t="shared" si="13"/>
        <v>95000</v>
      </c>
      <c r="AP13" s="199">
        <f t="shared" si="14"/>
        <v>50000</v>
      </c>
      <c r="AQ13" s="199"/>
      <c r="AR13" s="199"/>
      <c r="AS13" s="199"/>
      <c r="AT13" s="199"/>
      <c r="AU13" s="199">
        <f t="shared" si="15"/>
        <v>0</v>
      </c>
      <c r="AV13" s="199"/>
      <c r="AW13" s="199"/>
      <c r="AX13" s="199"/>
      <c r="AY13" s="199"/>
      <c r="AZ13" s="199">
        <f t="shared" si="16"/>
        <v>95000</v>
      </c>
      <c r="BA13" s="199"/>
      <c r="BB13" s="199"/>
      <c r="BC13" s="199"/>
      <c r="BD13" s="199"/>
      <c r="BE13" s="191"/>
      <c r="BG13" s="191"/>
    </row>
    <row r="14" spans="1:59" s="202" customFormat="1" ht="27.6">
      <c r="A14" s="198">
        <f t="shared" si="10"/>
        <v>8</v>
      </c>
      <c r="B14" s="198">
        <v>1980</v>
      </c>
      <c r="C14" s="198" t="s">
        <v>225</v>
      </c>
      <c r="D14" s="220">
        <v>1150000</v>
      </c>
      <c r="E14" s="220">
        <v>1150000</v>
      </c>
      <c r="F14" s="199">
        <f t="shared" si="0"/>
        <v>0</v>
      </c>
      <c r="G14" s="199">
        <v>450000</v>
      </c>
      <c r="H14" s="199">
        <v>374638.52</v>
      </c>
      <c r="I14" s="199"/>
      <c r="J14" s="199"/>
      <c r="K14" s="199">
        <f t="shared" si="1"/>
        <v>0</v>
      </c>
      <c r="L14" s="199">
        <f t="shared" si="2"/>
        <v>374638.52</v>
      </c>
      <c r="M14" s="199">
        <f t="shared" si="3"/>
        <v>75361.479999999981</v>
      </c>
      <c r="N14" s="199">
        <f>400000-400000</f>
        <v>0</v>
      </c>
      <c r="O14" s="199">
        <f t="shared" si="4"/>
        <v>700000</v>
      </c>
      <c r="P14" s="199">
        <f t="shared" si="5"/>
        <v>75361.479999999981</v>
      </c>
      <c r="Q14" s="199"/>
      <c r="R14" s="199"/>
      <c r="S14" s="199">
        <f t="shared" si="6"/>
        <v>0</v>
      </c>
      <c r="T14" s="199">
        <f t="shared" si="7"/>
        <v>0</v>
      </c>
      <c r="U14" s="199">
        <f t="shared" si="8"/>
        <v>0</v>
      </c>
      <c r="V14" s="199">
        <f t="shared" si="9"/>
        <v>0</v>
      </c>
      <c r="W14" s="199"/>
      <c r="X14" s="199"/>
      <c r="Y14" s="199"/>
      <c r="Z14" s="199"/>
      <c r="AA14" s="198" t="s">
        <v>810</v>
      </c>
      <c r="AB14" s="198">
        <v>732000</v>
      </c>
      <c r="AC14" s="199"/>
      <c r="AD14" s="199"/>
      <c r="AE14" s="199"/>
      <c r="AF14" s="199"/>
      <c r="AG14" s="199"/>
      <c r="AH14" s="199"/>
      <c r="AI14" s="199"/>
      <c r="AJ14" s="199"/>
      <c r="AK14" s="199"/>
      <c r="AL14" s="199">
        <f t="shared" si="11"/>
        <v>0</v>
      </c>
      <c r="AM14" s="199"/>
      <c r="AN14" s="199">
        <f t="shared" si="12"/>
        <v>0</v>
      </c>
      <c r="AO14" s="199">
        <f t="shared" si="13"/>
        <v>0</v>
      </c>
      <c r="AP14" s="199">
        <f t="shared" si="14"/>
        <v>0</v>
      </c>
      <c r="AQ14" s="199"/>
      <c r="AR14" s="199"/>
      <c r="AS14" s="199"/>
      <c r="AT14" s="199"/>
      <c r="AU14" s="199">
        <f t="shared" si="15"/>
        <v>0</v>
      </c>
      <c r="AV14" s="199"/>
      <c r="AW14" s="199"/>
      <c r="AX14" s="199"/>
      <c r="AY14" s="199"/>
      <c r="AZ14" s="199">
        <f t="shared" si="16"/>
        <v>0</v>
      </c>
      <c r="BA14" s="199"/>
      <c r="BB14" s="199"/>
      <c r="BC14" s="199"/>
      <c r="BD14" s="199"/>
      <c r="BE14" s="191"/>
      <c r="BG14" s="191"/>
    </row>
    <row r="15" spans="1:59" s="202" customFormat="1" ht="19.95" customHeight="1">
      <c r="A15" s="198">
        <f t="shared" si="10"/>
        <v>9</v>
      </c>
      <c r="B15" s="198">
        <v>1981</v>
      </c>
      <c r="C15" s="198" t="s">
        <v>204</v>
      </c>
      <c r="D15" s="220">
        <v>1100000</v>
      </c>
      <c r="E15" s="220">
        <v>1100000</v>
      </c>
      <c r="F15" s="199">
        <f t="shared" si="0"/>
        <v>0</v>
      </c>
      <c r="G15" s="199">
        <v>600000</v>
      </c>
      <c r="H15" s="199">
        <v>549187.35</v>
      </c>
      <c r="I15" s="199"/>
      <c r="J15" s="199"/>
      <c r="K15" s="199">
        <f t="shared" si="1"/>
        <v>0</v>
      </c>
      <c r="L15" s="199">
        <f t="shared" si="2"/>
        <v>549187.35</v>
      </c>
      <c r="M15" s="199">
        <f t="shared" si="3"/>
        <v>50812.650000000023</v>
      </c>
      <c r="N15" s="199">
        <v>400000</v>
      </c>
      <c r="O15" s="199">
        <f t="shared" si="4"/>
        <v>100000</v>
      </c>
      <c r="P15" s="199">
        <f t="shared" si="5"/>
        <v>50812.650000000023</v>
      </c>
      <c r="Q15" s="199"/>
      <c r="R15" s="199"/>
      <c r="S15" s="199">
        <f t="shared" si="6"/>
        <v>0</v>
      </c>
      <c r="T15" s="199">
        <f t="shared" si="7"/>
        <v>0</v>
      </c>
      <c r="U15" s="199">
        <f t="shared" si="8"/>
        <v>400000</v>
      </c>
      <c r="V15" s="199">
        <f t="shared" si="9"/>
        <v>400000</v>
      </c>
      <c r="W15" s="199"/>
      <c r="X15" s="199"/>
      <c r="Y15" s="199"/>
      <c r="Z15" s="199"/>
      <c r="AA15" s="198" t="s">
        <v>805</v>
      </c>
      <c r="AB15" s="198">
        <v>732000</v>
      </c>
      <c r="AC15" s="199">
        <v>250000</v>
      </c>
      <c r="AD15" s="199"/>
      <c r="AE15" s="199"/>
      <c r="AF15" s="199"/>
      <c r="AG15" s="199"/>
      <c r="AH15" s="199"/>
      <c r="AI15" s="199"/>
      <c r="AJ15" s="199"/>
      <c r="AK15" s="199">
        <v>100000</v>
      </c>
      <c r="AL15" s="199">
        <f t="shared" si="11"/>
        <v>350000</v>
      </c>
      <c r="AM15" s="199"/>
      <c r="AN15" s="199">
        <f t="shared" si="12"/>
        <v>350000</v>
      </c>
      <c r="AO15" s="199">
        <f t="shared" si="13"/>
        <v>50000</v>
      </c>
      <c r="AP15" s="199">
        <f t="shared" si="14"/>
        <v>350000</v>
      </c>
      <c r="AQ15" s="199"/>
      <c r="AR15" s="199"/>
      <c r="AS15" s="199"/>
      <c r="AT15" s="199"/>
      <c r="AU15" s="199">
        <f t="shared" si="15"/>
        <v>0</v>
      </c>
      <c r="AV15" s="199"/>
      <c r="AW15" s="199"/>
      <c r="AX15" s="199"/>
      <c r="AY15" s="199"/>
      <c r="AZ15" s="199">
        <f t="shared" si="16"/>
        <v>50000</v>
      </c>
      <c r="BA15" s="199"/>
      <c r="BB15" s="199"/>
      <c r="BC15" s="199"/>
      <c r="BD15" s="199"/>
      <c r="BE15" s="191"/>
      <c r="BG15" s="191"/>
    </row>
    <row r="16" spans="1:59" s="202" customFormat="1" ht="19.95" customHeight="1">
      <c r="A16" s="198">
        <f t="shared" si="10"/>
        <v>10</v>
      </c>
      <c r="B16" s="198">
        <v>2052</v>
      </c>
      <c r="C16" s="397" t="s">
        <v>575</v>
      </c>
      <c r="D16" s="220">
        <v>355000</v>
      </c>
      <c r="E16" s="220">
        <v>355000</v>
      </c>
      <c r="F16" s="199">
        <f t="shared" si="0"/>
        <v>0</v>
      </c>
      <c r="G16" s="199">
        <v>0</v>
      </c>
      <c r="H16" s="199">
        <v>0</v>
      </c>
      <c r="I16" s="199"/>
      <c r="J16" s="199"/>
      <c r="K16" s="199">
        <f t="shared" si="1"/>
        <v>0</v>
      </c>
      <c r="L16" s="199">
        <f t="shared" si="2"/>
        <v>0</v>
      </c>
      <c r="M16" s="199">
        <f t="shared" si="3"/>
        <v>0</v>
      </c>
      <c r="N16" s="199">
        <v>355000</v>
      </c>
      <c r="O16" s="199">
        <f t="shared" si="4"/>
        <v>0</v>
      </c>
      <c r="P16" s="199">
        <f t="shared" si="5"/>
        <v>0</v>
      </c>
      <c r="Q16" s="199"/>
      <c r="R16" s="199"/>
      <c r="S16" s="199">
        <f t="shared" si="6"/>
        <v>0</v>
      </c>
      <c r="T16" s="199">
        <f t="shared" si="7"/>
        <v>0</v>
      </c>
      <c r="U16" s="199">
        <f t="shared" si="8"/>
        <v>355000</v>
      </c>
      <c r="V16" s="199">
        <f t="shared" si="9"/>
        <v>355000</v>
      </c>
      <c r="W16" s="199"/>
      <c r="X16" s="199"/>
      <c r="Y16" s="199"/>
      <c r="Z16" s="199"/>
      <c r="AA16" s="198" t="s">
        <v>805</v>
      </c>
      <c r="AB16" s="198">
        <v>732000</v>
      </c>
      <c r="AC16" s="199"/>
      <c r="AD16" s="199"/>
      <c r="AE16" s="199">
        <v>200000</v>
      </c>
      <c r="AF16" s="199"/>
      <c r="AG16" s="199"/>
      <c r="AH16" s="199"/>
      <c r="AI16" s="199"/>
      <c r="AJ16" s="199"/>
      <c r="AK16" s="199">
        <v>155000</v>
      </c>
      <c r="AL16" s="199">
        <f t="shared" si="11"/>
        <v>355000</v>
      </c>
      <c r="AM16" s="199"/>
      <c r="AN16" s="199">
        <f t="shared" si="12"/>
        <v>355000</v>
      </c>
      <c r="AO16" s="199">
        <f t="shared" si="13"/>
        <v>0</v>
      </c>
      <c r="AP16" s="199">
        <f t="shared" si="14"/>
        <v>355000</v>
      </c>
      <c r="AQ16" s="199"/>
      <c r="AR16" s="199"/>
      <c r="AS16" s="199"/>
      <c r="AT16" s="199"/>
      <c r="AU16" s="199">
        <f t="shared" si="15"/>
        <v>0</v>
      </c>
      <c r="AV16" s="199"/>
      <c r="AW16" s="199"/>
      <c r="AX16" s="199"/>
      <c r="AY16" s="199"/>
      <c r="AZ16" s="199">
        <f t="shared" si="16"/>
        <v>0</v>
      </c>
      <c r="BA16" s="199"/>
      <c r="BB16" s="199"/>
      <c r="BC16" s="199"/>
      <c r="BD16" s="199"/>
      <c r="BE16" s="191"/>
      <c r="BG16" s="191"/>
    </row>
    <row r="17" spans="1:59" s="202" customFormat="1" ht="19.95" customHeight="1">
      <c r="A17" s="198">
        <f t="shared" si="10"/>
        <v>11</v>
      </c>
      <c r="B17" s="188">
        <v>2053</v>
      </c>
      <c r="C17" s="188" t="s">
        <v>1278</v>
      </c>
      <c r="D17" s="220">
        <v>1000000</v>
      </c>
      <c r="E17" s="220">
        <v>1000000</v>
      </c>
      <c r="F17" s="199">
        <f t="shared" si="0"/>
        <v>0</v>
      </c>
      <c r="G17" s="199">
        <v>0</v>
      </c>
      <c r="H17" s="199">
        <v>0</v>
      </c>
      <c r="I17" s="199"/>
      <c r="J17" s="199"/>
      <c r="K17" s="199">
        <f t="shared" si="1"/>
        <v>0</v>
      </c>
      <c r="L17" s="199">
        <f t="shared" si="2"/>
        <v>0</v>
      </c>
      <c r="M17" s="199">
        <f t="shared" si="3"/>
        <v>0</v>
      </c>
      <c r="N17" s="199">
        <f>500000-500000</f>
        <v>0</v>
      </c>
      <c r="O17" s="199">
        <f t="shared" si="4"/>
        <v>1000000</v>
      </c>
      <c r="P17" s="199">
        <f t="shared" si="5"/>
        <v>0</v>
      </c>
      <c r="Q17" s="199"/>
      <c r="R17" s="199"/>
      <c r="S17" s="199">
        <f t="shared" si="6"/>
        <v>0</v>
      </c>
      <c r="T17" s="199">
        <f t="shared" si="7"/>
        <v>0</v>
      </c>
      <c r="U17" s="199">
        <f t="shared" si="8"/>
        <v>0</v>
      </c>
      <c r="V17" s="199">
        <f t="shared" si="9"/>
        <v>0</v>
      </c>
      <c r="W17" s="199"/>
      <c r="X17" s="199"/>
      <c r="Y17" s="199"/>
      <c r="Z17" s="199"/>
      <c r="AA17" s="198"/>
      <c r="AB17" s="198">
        <v>749000</v>
      </c>
      <c r="AC17" s="199"/>
      <c r="AD17" s="199"/>
      <c r="AE17" s="199"/>
      <c r="AF17" s="199"/>
      <c r="AG17" s="199"/>
      <c r="AH17" s="199"/>
      <c r="AI17" s="199"/>
      <c r="AJ17" s="199"/>
      <c r="AK17" s="199"/>
      <c r="AL17" s="199">
        <f t="shared" si="11"/>
        <v>0</v>
      </c>
      <c r="AM17" s="199"/>
      <c r="AN17" s="199">
        <f t="shared" si="12"/>
        <v>0</v>
      </c>
      <c r="AO17" s="199">
        <f t="shared" si="13"/>
        <v>0</v>
      </c>
      <c r="AP17" s="199">
        <f t="shared" si="14"/>
        <v>0</v>
      </c>
      <c r="AQ17" s="199"/>
      <c r="AR17" s="199"/>
      <c r="AS17" s="199"/>
      <c r="AT17" s="199"/>
      <c r="AU17" s="199">
        <f t="shared" si="15"/>
        <v>0</v>
      </c>
      <c r="AV17" s="199"/>
      <c r="AW17" s="199"/>
      <c r="AX17" s="199"/>
      <c r="AY17" s="199"/>
      <c r="AZ17" s="199">
        <f t="shared" si="16"/>
        <v>0</v>
      </c>
      <c r="BA17" s="199"/>
      <c r="BB17" s="199"/>
      <c r="BC17" s="199"/>
      <c r="BD17" s="199"/>
      <c r="BE17" s="191"/>
      <c r="BG17" s="191"/>
    </row>
    <row r="18" spans="1:59" s="202" customFormat="1" ht="19.95" customHeight="1">
      <c r="A18" s="198">
        <f t="shared" si="10"/>
        <v>12</v>
      </c>
      <c r="B18" s="188">
        <v>2054</v>
      </c>
      <c r="C18" s="188" t="s">
        <v>1277</v>
      </c>
      <c r="D18" s="220">
        <v>650000</v>
      </c>
      <c r="E18" s="220">
        <v>650000</v>
      </c>
      <c r="F18" s="199">
        <f t="shared" si="0"/>
        <v>0</v>
      </c>
      <c r="G18" s="199">
        <v>0</v>
      </c>
      <c r="H18" s="199">
        <v>0</v>
      </c>
      <c r="I18" s="199"/>
      <c r="J18" s="199"/>
      <c r="K18" s="199">
        <f t="shared" si="1"/>
        <v>0</v>
      </c>
      <c r="L18" s="199">
        <f t="shared" si="2"/>
        <v>0</v>
      </c>
      <c r="M18" s="199">
        <f t="shared" si="3"/>
        <v>0</v>
      </c>
      <c r="N18" s="199">
        <f>200000-200000</f>
        <v>0</v>
      </c>
      <c r="O18" s="199">
        <f t="shared" si="4"/>
        <v>650000</v>
      </c>
      <c r="P18" s="199">
        <f t="shared" si="5"/>
        <v>0</v>
      </c>
      <c r="Q18" s="199"/>
      <c r="R18" s="199"/>
      <c r="S18" s="199">
        <f t="shared" si="6"/>
        <v>0</v>
      </c>
      <c r="T18" s="199">
        <f t="shared" si="7"/>
        <v>0</v>
      </c>
      <c r="U18" s="199">
        <f t="shared" si="8"/>
        <v>0</v>
      </c>
      <c r="V18" s="199">
        <f t="shared" si="9"/>
        <v>0</v>
      </c>
      <c r="W18" s="199"/>
      <c r="X18" s="199"/>
      <c r="Y18" s="199"/>
      <c r="Z18" s="199"/>
      <c r="AA18" s="198"/>
      <c r="AB18" s="198">
        <v>749000</v>
      </c>
      <c r="AC18" s="199"/>
      <c r="AD18" s="199"/>
      <c r="AE18" s="199"/>
      <c r="AF18" s="199"/>
      <c r="AG18" s="199"/>
      <c r="AH18" s="199"/>
      <c r="AI18" s="199"/>
      <c r="AJ18" s="199"/>
      <c r="AK18" s="199"/>
      <c r="AL18" s="199">
        <f t="shared" si="11"/>
        <v>0</v>
      </c>
      <c r="AM18" s="199"/>
      <c r="AN18" s="199">
        <f t="shared" si="12"/>
        <v>0</v>
      </c>
      <c r="AO18" s="199">
        <f t="shared" si="13"/>
        <v>0</v>
      </c>
      <c r="AP18" s="199">
        <f t="shared" si="14"/>
        <v>0</v>
      </c>
      <c r="AQ18" s="199"/>
      <c r="AR18" s="199"/>
      <c r="AS18" s="199"/>
      <c r="AT18" s="199"/>
      <c r="AU18" s="199">
        <f t="shared" si="15"/>
        <v>0</v>
      </c>
      <c r="AV18" s="199"/>
      <c r="AW18" s="199"/>
      <c r="AX18" s="199"/>
      <c r="AY18" s="199"/>
      <c r="AZ18" s="199">
        <f t="shared" si="16"/>
        <v>0</v>
      </c>
      <c r="BA18" s="199"/>
      <c r="BB18" s="199"/>
      <c r="BC18" s="199"/>
      <c r="BD18" s="199"/>
      <c r="BE18" s="191"/>
      <c r="BG18" s="191"/>
    </row>
    <row r="19" spans="1:59" s="202" customFormat="1" ht="19.95" customHeight="1">
      <c r="A19" s="198">
        <f t="shared" si="10"/>
        <v>13</v>
      </c>
      <c r="B19" s="188">
        <v>2057</v>
      </c>
      <c r="C19" s="188" t="s">
        <v>1266</v>
      </c>
      <c r="D19" s="220">
        <v>1500000</v>
      </c>
      <c r="E19" s="220">
        <v>1500000</v>
      </c>
      <c r="F19" s="199">
        <f t="shared" si="0"/>
        <v>0</v>
      </c>
      <c r="G19" s="199">
        <v>0</v>
      </c>
      <c r="H19" s="199">
        <v>0</v>
      </c>
      <c r="I19" s="199"/>
      <c r="J19" s="199"/>
      <c r="K19" s="199">
        <f t="shared" si="1"/>
        <v>0</v>
      </c>
      <c r="L19" s="199">
        <f t="shared" si="2"/>
        <v>0</v>
      </c>
      <c r="M19" s="199">
        <f t="shared" si="3"/>
        <v>0</v>
      </c>
      <c r="N19" s="199">
        <v>1500000</v>
      </c>
      <c r="O19" s="199">
        <f t="shared" si="4"/>
        <v>0</v>
      </c>
      <c r="P19" s="199">
        <f t="shared" si="5"/>
        <v>0</v>
      </c>
      <c r="Q19" s="199"/>
      <c r="R19" s="199"/>
      <c r="S19" s="199">
        <f t="shared" si="6"/>
        <v>0</v>
      </c>
      <c r="T19" s="199">
        <f t="shared" si="7"/>
        <v>0</v>
      </c>
      <c r="U19" s="199">
        <f t="shared" si="8"/>
        <v>1500000</v>
      </c>
      <c r="V19" s="199">
        <f t="shared" si="9"/>
        <v>1500000</v>
      </c>
      <c r="W19" s="199"/>
      <c r="X19" s="199"/>
      <c r="Y19" s="199"/>
      <c r="Z19" s="199"/>
      <c r="AA19" s="198" t="s">
        <v>811</v>
      </c>
      <c r="AB19" s="198">
        <v>747000</v>
      </c>
      <c r="AC19" s="199"/>
      <c r="AD19" s="199"/>
      <c r="AE19" s="199"/>
      <c r="AF19" s="199"/>
      <c r="AG19" s="199"/>
      <c r="AH19" s="199">
        <v>1500000</v>
      </c>
      <c r="AI19" s="199"/>
      <c r="AJ19" s="199"/>
      <c r="AK19" s="199"/>
      <c r="AL19" s="199">
        <f t="shared" si="11"/>
        <v>1500000</v>
      </c>
      <c r="AM19" s="199"/>
      <c r="AN19" s="199">
        <f t="shared" si="12"/>
        <v>1500000</v>
      </c>
      <c r="AO19" s="199">
        <f t="shared" si="13"/>
        <v>0</v>
      </c>
      <c r="AP19" s="199">
        <f t="shared" si="14"/>
        <v>1500000</v>
      </c>
      <c r="AQ19" s="199"/>
      <c r="AR19" s="199"/>
      <c r="AS19" s="199"/>
      <c r="AT19" s="199"/>
      <c r="AU19" s="199">
        <f t="shared" si="15"/>
        <v>0</v>
      </c>
      <c r="AV19" s="199"/>
      <c r="AW19" s="199"/>
      <c r="AX19" s="199"/>
      <c r="AY19" s="199"/>
      <c r="AZ19" s="199">
        <f t="shared" si="16"/>
        <v>0</v>
      </c>
      <c r="BA19" s="199"/>
      <c r="BB19" s="199"/>
      <c r="BC19" s="199"/>
      <c r="BD19" s="199"/>
      <c r="BE19" s="191"/>
      <c r="BG19" s="191"/>
    </row>
    <row r="20" spans="1:59" s="203" customFormat="1" ht="19.95" customHeight="1">
      <c r="A20" s="204">
        <f>A19</f>
        <v>13</v>
      </c>
      <c r="B20" s="383"/>
      <c r="C20" s="204" t="s">
        <v>352</v>
      </c>
      <c r="D20" s="179">
        <f t="shared" ref="D20:BD20" si="17">SUM(D7:D19)</f>
        <v>39693000</v>
      </c>
      <c r="E20" s="179">
        <f t="shared" si="17"/>
        <v>39693000</v>
      </c>
      <c r="F20" s="179">
        <f t="shared" si="17"/>
        <v>0</v>
      </c>
      <c r="G20" s="179">
        <f t="shared" si="17"/>
        <v>12130000</v>
      </c>
      <c r="H20" s="179">
        <f t="shared" si="17"/>
        <v>10252507.559999999</v>
      </c>
      <c r="I20" s="179">
        <f t="shared" si="17"/>
        <v>0</v>
      </c>
      <c r="J20" s="179">
        <f t="shared" si="17"/>
        <v>0</v>
      </c>
      <c r="K20" s="179">
        <f t="shared" si="17"/>
        <v>0</v>
      </c>
      <c r="L20" s="179">
        <f t="shared" si="17"/>
        <v>10252507.559999999</v>
      </c>
      <c r="M20" s="179">
        <f t="shared" si="17"/>
        <v>2077492.44</v>
      </c>
      <c r="N20" s="179">
        <f t="shared" si="17"/>
        <v>7930000</v>
      </c>
      <c r="O20" s="179">
        <f t="shared" si="17"/>
        <v>19433000</v>
      </c>
      <c r="P20" s="179">
        <f t="shared" si="17"/>
        <v>1877492.44</v>
      </c>
      <c r="Q20" s="179">
        <f t="shared" si="17"/>
        <v>200000</v>
      </c>
      <c r="R20" s="179">
        <f t="shared" si="17"/>
        <v>0</v>
      </c>
      <c r="S20" s="179">
        <f t="shared" si="17"/>
        <v>200000</v>
      </c>
      <c r="T20" s="179">
        <f t="shared" si="17"/>
        <v>0</v>
      </c>
      <c r="U20" s="179">
        <f t="shared" si="17"/>
        <v>7930000</v>
      </c>
      <c r="V20" s="179">
        <f t="shared" si="17"/>
        <v>3130000</v>
      </c>
      <c r="W20" s="179">
        <f t="shared" si="17"/>
        <v>0</v>
      </c>
      <c r="X20" s="179">
        <f>SUM(X7:X19)</f>
        <v>0</v>
      </c>
      <c r="Y20" s="179">
        <f t="shared" si="17"/>
        <v>0</v>
      </c>
      <c r="Z20" s="179">
        <f t="shared" si="17"/>
        <v>4800000</v>
      </c>
      <c r="AA20" s="179">
        <f t="shared" si="17"/>
        <v>0</v>
      </c>
      <c r="AB20" s="179">
        <f t="shared" si="17"/>
        <v>9609000</v>
      </c>
      <c r="AC20" s="179">
        <f t="shared" ref="AC20:AJ20" si="18">SUM(AC7:AC19)</f>
        <v>990000</v>
      </c>
      <c r="AD20" s="179">
        <f t="shared" si="18"/>
        <v>400000</v>
      </c>
      <c r="AE20" s="179">
        <f t="shared" si="18"/>
        <v>200000</v>
      </c>
      <c r="AF20" s="179">
        <f t="shared" si="18"/>
        <v>0</v>
      </c>
      <c r="AG20" s="179">
        <f t="shared" si="18"/>
        <v>0</v>
      </c>
      <c r="AH20" s="179">
        <f t="shared" si="18"/>
        <v>3040000</v>
      </c>
      <c r="AI20" s="179">
        <f t="shared" si="18"/>
        <v>1200000</v>
      </c>
      <c r="AJ20" s="179">
        <f t="shared" si="18"/>
        <v>1700000</v>
      </c>
      <c r="AK20" s="179">
        <f t="shared" si="17"/>
        <v>255000</v>
      </c>
      <c r="AL20" s="179">
        <f t="shared" si="17"/>
        <v>7785000</v>
      </c>
      <c r="AM20" s="179">
        <f t="shared" si="17"/>
        <v>0</v>
      </c>
      <c r="AN20" s="179">
        <f t="shared" si="17"/>
        <v>7785000</v>
      </c>
      <c r="AO20" s="179">
        <f t="shared" si="17"/>
        <v>145000</v>
      </c>
      <c r="AP20" s="179">
        <f>SUM(AP7:AP19)</f>
        <v>2985000</v>
      </c>
      <c r="AQ20" s="179">
        <f>SUM(AQ7:AQ19)</f>
        <v>0</v>
      </c>
      <c r="AR20" s="179">
        <f t="shared" si="17"/>
        <v>0</v>
      </c>
      <c r="AS20" s="179">
        <f t="shared" si="17"/>
        <v>0</v>
      </c>
      <c r="AT20" s="179">
        <f t="shared" si="17"/>
        <v>4800000</v>
      </c>
      <c r="AU20" s="179">
        <f>SUM(AU7:AU19)</f>
        <v>0</v>
      </c>
      <c r="AV20" s="179">
        <f>SUM(AV7:AV19)</f>
        <v>0</v>
      </c>
      <c r="AW20" s="179">
        <f>SUM(AW7:AW19)</f>
        <v>0</v>
      </c>
      <c r="AX20" s="179">
        <f>SUM(AX7:AX19)</f>
        <v>0</v>
      </c>
      <c r="AY20" s="179">
        <f>SUM(AY7:AY19)</f>
        <v>0</v>
      </c>
      <c r="AZ20" s="179">
        <f t="shared" si="17"/>
        <v>145000</v>
      </c>
      <c r="BA20" s="179">
        <f t="shared" si="17"/>
        <v>0</v>
      </c>
      <c r="BB20" s="179">
        <f t="shared" si="17"/>
        <v>0</v>
      </c>
      <c r="BC20" s="179">
        <f t="shared" si="17"/>
        <v>0</v>
      </c>
      <c r="BD20" s="179">
        <f t="shared" si="17"/>
        <v>0</v>
      </c>
      <c r="BE20" s="191"/>
      <c r="BG20" s="191"/>
    </row>
    <row r="21" spans="1:59" hidden="1">
      <c r="L21" s="214">
        <f>H20+K20</f>
        <v>10252507.559999999</v>
      </c>
      <c r="M21" s="214">
        <f>P20+S20-T20</f>
        <v>2077492.44</v>
      </c>
      <c r="P21" s="214">
        <f>G20-L20</f>
        <v>1877492.4400000013</v>
      </c>
      <c r="U21" s="215">
        <f>N20-T20</f>
        <v>7930000</v>
      </c>
    </row>
    <row r="22" spans="1:59">
      <c r="M22" s="349"/>
      <c r="P22" s="349"/>
    </row>
    <row r="23" spans="1:59">
      <c r="M23" s="349"/>
      <c r="P23" s="349"/>
    </row>
    <row r="24" spans="1:59">
      <c r="M24" s="349"/>
      <c r="P24" s="349"/>
    </row>
    <row r="25" spans="1:59">
      <c r="M25" s="349"/>
      <c r="P25" s="349"/>
    </row>
    <row r="26" spans="1:59">
      <c r="M26" s="349"/>
      <c r="P26" s="349"/>
    </row>
  </sheetData>
  <sheetProtection formatCells="0" formatColumns="0" formatRows="0" insertColumns="0" insertRows="0" insertHyperlinks="0" deleteColumns="0" deleteRows="0" sort="0" autoFilter="0" pivotTables="0"/>
  <mergeCells count="5">
    <mergeCell ref="T4:Z4"/>
    <mergeCell ref="AZ4:BD4"/>
    <mergeCell ref="AU4:AY4"/>
    <mergeCell ref="AL4:AN4"/>
    <mergeCell ref="AP4:AT4"/>
  </mergeCells>
  <conditionalFormatting sqref="AZ5">
    <cfRule type="cellIs" dxfId="129" priority="15" operator="equal">
      <formula>0</formula>
    </cfRule>
  </conditionalFormatting>
  <conditionalFormatting sqref="AC5">
    <cfRule type="cellIs" dxfId="128" priority="14" operator="equal">
      <formula>0</formula>
    </cfRule>
  </conditionalFormatting>
  <conditionalFormatting sqref="AC4">
    <cfRule type="cellIs" dxfId="127" priority="13" operator="equal">
      <formula>0</formula>
    </cfRule>
  </conditionalFormatting>
  <conditionalFormatting sqref="AK5">
    <cfRule type="cellIs" dxfId="126" priority="12" operator="equal">
      <formula>0</formula>
    </cfRule>
  </conditionalFormatting>
  <conditionalFormatting sqref="AD5">
    <cfRule type="cellIs" dxfId="125" priority="11" operator="equal">
      <formula>0</formula>
    </cfRule>
  </conditionalFormatting>
  <conditionalFormatting sqref="AE5">
    <cfRule type="cellIs" dxfId="124" priority="10" operator="equal">
      <formula>0</formula>
    </cfRule>
  </conditionalFormatting>
  <conditionalFormatting sqref="AF5">
    <cfRule type="cellIs" dxfId="123" priority="9" operator="equal">
      <formula>0</formula>
    </cfRule>
  </conditionalFormatting>
  <conditionalFormatting sqref="AG5">
    <cfRule type="cellIs" dxfId="122" priority="8" operator="equal">
      <formula>0</formula>
    </cfRule>
  </conditionalFormatting>
  <conditionalFormatting sqref="AH5">
    <cfRule type="cellIs" dxfId="121" priority="7" operator="equal">
      <formula>0</formula>
    </cfRule>
  </conditionalFormatting>
  <conditionalFormatting sqref="AI5">
    <cfRule type="cellIs" dxfId="120" priority="6" operator="equal">
      <formula>0</formula>
    </cfRule>
  </conditionalFormatting>
  <conditionalFormatting sqref="AJ5">
    <cfRule type="cellIs" dxfId="119" priority="5" operator="equal">
      <formula>0</formula>
    </cfRule>
  </conditionalFormatting>
  <conditionalFormatting sqref="AU5">
    <cfRule type="cellIs" dxfId="118" priority="4" operator="equal">
      <formula>0</formula>
    </cfRule>
  </conditionalFormatting>
  <conditionalFormatting sqref="AL5:AN5">
    <cfRule type="cellIs" dxfId="117" priority="2" operator="equal">
      <formula>0</formula>
    </cfRule>
  </conditionalFormatting>
  <conditionalFormatting sqref="AP5">
    <cfRule type="cellIs" dxfId="11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4"/>
  <sheetViews>
    <sheetView showZeros="0" rightToLeft="1" tabSelected="1" zoomScaleNormal="100" workbookViewId="0">
      <pane xSplit="3" ySplit="6" topLeftCell="D7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2.44140625" style="520" customWidth="1"/>
    <col min="2" max="2" width="5.6640625" style="521" customWidth="1"/>
    <col min="3" max="3" width="27.88671875" style="521" customWidth="1"/>
    <col min="4" max="5" width="9.88671875" style="525" hidden="1" customWidth="1"/>
    <col min="6" max="6" width="9.5546875" style="525" hidden="1" customWidth="1"/>
    <col min="7" max="10" width="12.6640625" style="525" hidden="1" customWidth="1"/>
    <col min="11" max="11" width="11.33203125" style="525" hidden="1" customWidth="1"/>
    <col min="12" max="12" width="10.44140625" style="525" hidden="1" customWidth="1"/>
    <col min="13" max="13" width="9.44140625" style="525" hidden="1" customWidth="1"/>
    <col min="14" max="14" width="10.44140625" style="525" hidden="1" customWidth="1"/>
    <col min="15" max="15" width="10.109375" style="525" hidden="1" customWidth="1"/>
    <col min="16" max="17" width="11.109375" style="525" hidden="1" customWidth="1"/>
    <col min="18" max="19" width="12" style="525" hidden="1" customWidth="1"/>
    <col min="20" max="20" width="8.5546875" style="525" customWidth="1"/>
    <col min="21" max="21" width="10.44140625" style="521" customWidth="1"/>
    <col min="22" max="22" width="9" style="521" customWidth="1"/>
    <col min="23" max="23" width="9.44140625" style="521" customWidth="1"/>
    <col min="24" max="24" width="6" style="521" hidden="1" customWidth="1"/>
    <col min="25" max="26" width="9.109375" style="521" customWidth="1"/>
    <col min="27" max="27" width="33.5546875" style="520" hidden="1" customWidth="1"/>
    <col min="28" max="28" width="7.88671875" style="521" hidden="1" customWidth="1"/>
    <col min="29" max="36" width="12.6640625" style="520" hidden="1" customWidth="1"/>
    <col min="37" max="37" width="8.33203125" style="520" hidden="1" customWidth="1"/>
    <col min="38" max="39" width="12.6640625" style="521" hidden="1" customWidth="1"/>
    <col min="40" max="40" width="12.6640625" style="521" customWidth="1"/>
    <col min="41" max="41" width="10.77734375" style="520" customWidth="1"/>
    <col min="42" max="42" width="11.21875" style="520" customWidth="1"/>
    <col min="43" max="43" width="11.109375" style="521" customWidth="1"/>
    <col min="44" max="44" width="12.6640625" style="520" hidden="1" customWidth="1"/>
    <col min="45" max="45" width="9.109375" style="520" customWidth="1"/>
    <col min="46" max="46" width="11" style="520" customWidth="1"/>
    <col min="47" max="47" width="12.6640625" style="520" hidden="1" customWidth="1"/>
    <col min="48" max="48" width="12.6640625" style="521" hidden="1" customWidth="1"/>
    <col min="49" max="51" width="12.6640625" style="520" hidden="1" customWidth="1"/>
    <col min="52" max="52" width="11.109375" style="521" hidden="1" customWidth="1"/>
    <col min="53" max="55" width="12.6640625" style="520" hidden="1" customWidth="1"/>
    <col min="56" max="56" width="12.6640625" style="521" hidden="1" customWidth="1"/>
    <col min="57" max="57" width="9.109375" style="515"/>
    <col min="58" max="58" width="12.6640625" style="515" customWidth="1"/>
    <col min="59" max="16384" width="9.109375" style="515"/>
  </cols>
  <sheetData>
    <row r="1" spans="1:58" ht="18">
      <c r="A1" s="513"/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8"/>
      <c r="Y1" s="518"/>
      <c r="Z1" s="519"/>
      <c r="AA1" s="514"/>
      <c r="AB1" s="519"/>
      <c r="AO1" s="514"/>
      <c r="AP1" s="514"/>
      <c r="AR1" s="514"/>
      <c r="AS1" s="514"/>
      <c r="AT1" s="514"/>
      <c r="AU1" s="514"/>
      <c r="AW1" s="514"/>
      <c r="AX1" s="514"/>
      <c r="AY1" s="514"/>
      <c r="BA1" s="514"/>
      <c r="BB1" s="514"/>
      <c r="BC1" s="514"/>
      <c r="BD1" s="519"/>
    </row>
    <row r="2" spans="1:58" ht="18">
      <c r="A2" s="86" t="s">
        <v>1010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</row>
    <row r="3" spans="1:58" ht="18">
      <c r="A3" s="513"/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</row>
    <row r="4" spans="1:58">
      <c r="A4" s="522"/>
      <c r="B4" s="523"/>
      <c r="C4" s="524"/>
      <c r="T4" s="832" t="s">
        <v>111</v>
      </c>
      <c r="U4" s="833"/>
      <c r="V4" s="833"/>
      <c r="W4" s="833"/>
      <c r="X4" s="833"/>
      <c r="Y4" s="833"/>
      <c r="Z4" s="834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4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8" ht="97.5" customHeight="1">
      <c r="A5" s="18" t="s">
        <v>0</v>
      </c>
      <c r="B5" s="526" t="s">
        <v>1</v>
      </c>
      <c r="C5" s="526" t="s">
        <v>2</v>
      </c>
      <c r="D5" s="526" t="s">
        <v>3</v>
      </c>
      <c r="E5" s="526" t="s">
        <v>4</v>
      </c>
      <c r="F5" s="526" t="s">
        <v>5</v>
      </c>
      <c r="G5" s="526" t="s">
        <v>6</v>
      </c>
      <c r="H5" s="526" t="s">
        <v>7</v>
      </c>
      <c r="I5" s="526" t="s">
        <v>9</v>
      </c>
      <c r="J5" s="526" t="s">
        <v>215</v>
      </c>
      <c r="K5" s="526" t="s">
        <v>10</v>
      </c>
      <c r="L5" s="526" t="s">
        <v>11</v>
      </c>
      <c r="M5" s="2" t="s">
        <v>402</v>
      </c>
      <c r="N5" s="526" t="s">
        <v>403</v>
      </c>
      <c r="O5" s="526" t="s">
        <v>404</v>
      </c>
      <c r="P5" s="526" t="s">
        <v>12</v>
      </c>
      <c r="Q5" s="526" t="s">
        <v>405</v>
      </c>
      <c r="R5" s="526" t="s">
        <v>406</v>
      </c>
      <c r="S5" s="526" t="s">
        <v>407</v>
      </c>
      <c r="T5" s="526" t="s">
        <v>408</v>
      </c>
      <c r="U5" s="526" t="s">
        <v>409</v>
      </c>
      <c r="V5" s="526" t="s">
        <v>13</v>
      </c>
      <c r="W5" s="526" t="s">
        <v>14</v>
      </c>
      <c r="X5" s="526" t="s">
        <v>15</v>
      </c>
      <c r="Y5" s="526" t="s">
        <v>354</v>
      </c>
      <c r="Z5" s="526" t="s">
        <v>105</v>
      </c>
      <c r="AA5" s="517" t="s">
        <v>410</v>
      </c>
      <c r="AB5" s="526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8" ht="19.95" customHeight="1">
      <c r="A6" s="527"/>
      <c r="B6" s="527"/>
      <c r="C6" s="527"/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>
        <f>P6-M6+R6</f>
        <v>0</v>
      </c>
      <c r="U6" s="528">
        <f t="shared" ref="U6:U14" si="0">N6-T6</f>
        <v>0</v>
      </c>
      <c r="V6" s="528"/>
      <c r="W6" s="528"/>
      <c r="X6" s="528"/>
      <c r="Y6" s="528"/>
      <c r="Z6" s="527"/>
      <c r="AA6" s="529"/>
      <c r="AB6" s="527"/>
      <c r="AC6" s="530"/>
      <c r="AD6" s="531"/>
      <c r="AE6" s="531"/>
      <c r="AF6" s="531"/>
      <c r="AG6" s="531"/>
      <c r="AH6" s="531"/>
      <c r="AI6" s="531"/>
      <c r="AJ6" s="531"/>
      <c r="AK6" s="531"/>
      <c r="AL6" s="531"/>
      <c r="AM6" s="531"/>
      <c r="AN6" s="531"/>
      <c r="AO6" s="531"/>
      <c r="AP6" s="531"/>
      <c r="AQ6" s="531"/>
      <c r="AR6" s="531"/>
      <c r="AS6" s="531"/>
      <c r="AT6" s="531"/>
      <c r="AU6" s="531"/>
      <c r="AV6" s="531"/>
      <c r="AW6" s="531"/>
      <c r="AX6" s="531"/>
      <c r="AY6" s="531"/>
      <c r="AZ6" s="531"/>
      <c r="BA6" s="531"/>
      <c r="BB6" s="531"/>
      <c r="BC6" s="531"/>
      <c r="BD6" s="531"/>
    </row>
    <row r="7" spans="1:58" ht="19.95" customHeight="1">
      <c r="A7" s="527">
        <f t="shared" ref="A7:A14" si="1">A6+1</f>
        <v>1</v>
      </c>
      <c r="B7" s="527">
        <v>1002</v>
      </c>
      <c r="C7" s="527" t="s">
        <v>182</v>
      </c>
      <c r="D7" s="528">
        <v>2290000</v>
      </c>
      <c r="E7" s="528">
        <v>2290000</v>
      </c>
      <c r="F7" s="528">
        <f t="shared" ref="F7:F14" si="2">D7-E7</f>
        <v>0</v>
      </c>
      <c r="G7" s="528">
        <v>2060000</v>
      </c>
      <c r="H7" s="528">
        <v>2028624.26</v>
      </c>
      <c r="I7" s="528"/>
      <c r="J7" s="528">
        <v>30402</v>
      </c>
      <c r="K7" s="528">
        <f t="shared" ref="K7:K14" si="3">SUM(I7:J7)</f>
        <v>30402</v>
      </c>
      <c r="L7" s="528">
        <f t="shared" ref="L7:L14" si="4">H7+K7</f>
        <v>2059026.26</v>
      </c>
      <c r="M7" s="531">
        <f>P7+S7</f>
        <v>973.73999999999069</v>
      </c>
      <c r="N7" s="531">
        <v>100000</v>
      </c>
      <c r="O7" s="531">
        <f t="shared" ref="O7:O14" si="5">D7-L7-M7-N7</f>
        <v>130000</v>
      </c>
      <c r="P7" s="531">
        <f t="shared" ref="P7:P14" si="6">G7-L7</f>
        <v>973.73999999999069</v>
      </c>
      <c r="Q7" s="531"/>
      <c r="R7" s="531"/>
      <c r="S7" s="531">
        <f t="shared" ref="S7:S14" si="7">SUM(Q7:R7)</f>
        <v>0</v>
      </c>
      <c r="T7" s="531">
        <f t="shared" ref="T7:T14" si="8">P7-M7+S7</f>
        <v>0</v>
      </c>
      <c r="U7" s="531">
        <f t="shared" si="0"/>
        <v>100000</v>
      </c>
      <c r="V7" s="531"/>
      <c r="W7" s="531">
        <f>U7-V7-X7-Y7-Z7</f>
        <v>100000</v>
      </c>
      <c r="X7" s="528"/>
      <c r="Y7" s="528"/>
      <c r="Z7" s="527"/>
      <c r="AA7" s="527" t="s">
        <v>621</v>
      </c>
      <c r="AB7" s="527">
        <v>760000</v>
      </c>
      <c r="AC7" s="530"/>
      <c r="AD7" s="531"/>
      <c r="AE7" s="531"/>
      <c r="AF7" s="531">
        <f>100000</f>
        <v>100000</v>
      </c>
      <c r="AG7" s="531"/>
      <c r="AH7" s="531"/>
      <c r="AI7" s="531"/>
      <c r="AJ7" s="531"/>
      <c r="AK7" s="531"/>
      <c r="AL7" s="531">
        <f>SUM(AC7:AK7)</f>
        <v>100000</v>
      </c>
      <c r="AM7" s="531"/>
      <c r="AN7" s="531">
        <f>AL7+AM7</f>
        <v>100000</v>
      </c>
      <c r="AO7" s="531">
        <f>U7-AN7</f>
        <v>0</v>
      </c>
      <c r="AP7" s="531"/>
      <c r="AQ7" s="531">
        <f>AN7-AP7-AR7-AS7-AT7</f>
        <v>100000</v>
      </c>
      <c r="AR7" s="531"/>
      <c r="AS7" s="531"/>
      <c r="AT7" s="531"/>
      <c r="AU7" s="531"/>
      <c r="AV7" s="531">
        <f>AM7-AU7-AW7-AX7-AY7</f>
        <v>0</v>
      </c>
      <c r="AW7" s="531"/>
      <c r="AX7" s="531"/>
      <c r="AY7" s="531"/>
      <c r="AZ7" s="531"/>
      <c r="BA7" s="531">
        <f>AO7-AZ7-BB7-BC7-BD7</f>
        <v>0</v>
      </c>
      <c r="BB7" s="531"/>
      <c r="BC7" s="531"/>
      <c r="BD7" s="531"/>
    </row>
    <row r="8" spans="1:58" ht="19.95" customHeight="1">
      <c r="A8" s="527">
        <f t="shared" si="1"/>
        <v>2</v>
      </c>
      <c r="B8" s="527">
        <v>1497</v>
      </c>
      <c r="C8" s="527" t="s">
        <v>79</v>
      </c>
      <c r="D8" s="528">
        <v>8820000</v>
      </c>
      <c r="E8" s="528">
        <v>8820000</v>
      </c>
      <c r="F8" s="528">
        <f t="shared" si="2"/>
        <v>0</v>
      </c>
      <c r="G8" s="528">
        <v>2798000</v>
      </c>
      <c r="H8" s="528">
        <v>2504763.06</v>
      </c>
      <c r="I8" s="528">
        <v>136200</v>
      </c>
      <c r="J8" s="528">
        <v>101825</v>
      </c>
      <c r="K8" s="528">
        <f t="shared" si="3"/>
        <v>238025</v>
      </c>
      <c r="L8" s="528">
        <f t="shared" si="4"/>
        <v>2742788.06</v>
      </c>
      <c r="M8" s="531">
        <f>30000+212</f>
        <v>30212</v>
      </c>
      <c r="N8" s="531">
        <f>200000-50000</f>
        <v>150000</v>
      </c>
      <c r="O8" s="531">
        <f t="shared" si="5"/>
        <v>5896999.9399999995</v>
      </c>
      <c r="P8" s="531">
        <f t="shared" si="6"/>
        <v>55211.939999999944</v>
      </c>
      <c r="Q8" s="531"/>
      <c r="R8" s="531"/>
      <c r="S8" s="531">
        <f t="shared" si="7"/>
        <v>0</v>
      </c>
      <c r="T8" s="531">
        <f t="shared" si="8"/>
        <v>24999.939999999944</v>
      </c>
      <c r="U8" s="531">
        <f t="shared" si="0"/>
        <v>125000.06000000006</v>
      </c>
      <c r="V8" s="531"/>
      <c r="W8" s="531">
        <f>U8-V8-X8-Y8-Z8</f>
        <v>125000.06000000006</v>
      </c>
      <c r="X8" s="528"/>
      <c r="Y8" s="528"/>
      <c r="Z8" s="527"/>
      <c r="AA8" s="527" t="s">
        <v>620</v>
      </c>
      <c r="AB8" s="527">
        <v>610000</v>
      </c>
      <c r="AC8" s="530"/>
      <c r="AD8" s="531"/>
      <c r="AE8" s="531"/>
      <c r="AF8" s="531">
        <f>100000</f>
        <v>100000</v>
      </c>
      <c r="AG8" s="531"/>
      <c r="AH8" s="531"/>
      <c r="AI8" s="531"/>
      <c r="AJ8" s="531">
        <v>25000</v>
      </c>
      <c r="AK8" s="531"/>
      <c r="AL8" s="531">
        <f t="shared" ref="AL8:AL14" si="9">SUM(AC8:AK8)</f>
        <v>125000</v>
      </c>
      <c r="AM8" s="531"/>
      <c r="AN8" s="531">
        <f t="shared" ref="AN8:AN14" si="10">AL8+AM8</f>
        <v>125000</v>
      </c>
      <c r="AO8" s="531">
        <f t="shared" ref="AO8:AO14" si="11">U8-AN8</f>
        <v>6.0000000055879354E-2</v>
      </c>
      <c r="AP8" s="531"/>
      <c r="AQ8" s="531">
        <f t="shared" ref="AQ8:AQ14" si="12">AN8-AP8-AR8-AS8-AT8</f>
        <v>125000</v>
      </c>
      <c r="AR8" s="531"/>
      <c r="AS8" s="531"/>
      <c r="AT8" s="531"/>
      <c r="AU8" s="531"/>
      <c r="AV8" s="531">
        <f t="shared" ref="AV8:AV14" si="13">AM8-AU8-AW8-AX8-AY8</f>
        <v>0</v>
      </c>
      <c r="AW8" s="531"/>
      <c r="AX8" s="531"/>
      <c r="AY8" s="531"/>
      <c r="AZ8" s="531"/>
      <c r="BA8" s="531">
        <f t="shared" ref="BA8:BA14" si="14">AO8-AZ8-BB8-BC8-BD8</f>
        <v>6.0000000055879354E-2</v>
      </c>
      <c r="BB8" s="531"/>
      <c r="BC8" s="531"/>
      <c r="BD8" s="531"/>
    </row>
    <row r="9" spans="1:58" ht="19.95" customHeight="1">
      <c r="A9" s="527">
        <f t="shared" si="1"/>
        <v>3</v>
      </c>
      <c r="B9" s="527">
        <v>1647</v>
      </c>
      <c r="C9" s="527" t="s">
        <v>565</v>
      </c>
      <c r="D9" s="528">
        <v>4700000</v>
      </c>
      <c r="E9" s="528">
        <v>4700000</v>
      </c>
      <c r="F9" s="528">
        <f t="shared" si="2"/>
        <v>0</v>
      </c>
      <c r="G9" s="528">
        <v>4150000</v>
      </c>
      <c r="H9" s="528">
        <v>3886873</v>
      </c>
      <c r="I9" s="528"/>
      <c r="J9" s="528">
        <v>174850</v>
      </c>
      <c r="K9" s="528">
        <f t="shared" si="3"/>
        <v>174850</v>
      </c>
      <c r="L9" s="528">
        <f t="shared" si="4"/>
        <v>4061723</v>
      </c>
      <c r="M9" s="531">
        <f>30000+277</f>
        <v>30277</v>
      </c>
      <c r="N9" s="531">
        <f>300000-242000</f>
        <v>58000</v>
      </c>
      <c r="O9" s="531">
        <f t="shared" si="5"/>
        <v>550000</v>
      </c>
      <c r="P9" s="531">
        <f t="shared" si="6"/>
        <v>88277</v>
      </c>
      <c r="Q9" s="531"/>
      <c r="R9" s="531"/>
      <c r="S9" s="531">
        <f t="shared" si="7"/>
        <v>0</v>
      </c>
      <c r="T9" s="531">
        <f t="shared" si="8"/>
        <v>58000</v>
      </c>
      <c r="U9" s="531">
        <f t="shared" si="0"/>
        <v>0</v>
      </c>
      <c r="V9" s="531">
        <f>U9*0.5</f>
        <v>0</v>
      </c>
      <c r="W9" s="531">
        <f>U9-V9-X9-Y9-Z9</f>
        <v>0</v>
      </c>
      <c r="X9" s="528"/>
      <c r="Y9" s="528"/>
      <c r="Z9" s="527"/>
      <c r="AA9" s="527" t="s">
        <v>657</v>
      </c>
      <c r="AB9" s="527">
        <v>810000</v>
      </c>
      <c r="AC9" s="530"/>
      <c r="AD9" s="531"/>
      <c r="AE9" s="531"/>
      <c r="AF9" s="531"/>
      <c r="AG9" s="531"/>
      <c r="AH9" s="531"/>
      <c r="AI9" s="531"/>
      <c r="AJ9" s="531"/>
      <c r="AK9" s="531"/>
      <c r="AL9" s="531">
        <f t="shared" si="9"/>
        <v>0</v>
      </c>
      <c r="AM9" s="531"/>
      <c r="AN9" s="531">
        <f t="shared" si="10"/>
        <v>0</v>
      </c>
      <c r="AO9" s="531">
        <f t="shared" si="11"/>
        <v>0</v>
      </c>
      <c r="AP9" s="531"/>
      <c r="AQ9" s="531">
        <f t="shared" si="12"/>
        <v>0</v>
      </c>
      <c r="AR9" s="531"/>
      <c r="AS9" s="531"/>
      <c r="AT9" s="531"/>
      <c r="AU9" s="531"/>
      <c r="AV9" s="531">
        <f t="shared" si="13"/>
        <v>0</v>
      </c>
      <c r="AW9" s="531"/>
      <c r="AX9" s="531"/>
      <c r="AY9" s="531"/>
      <c r="AZ9" s="531"/>
      <c r="BA9" s="531">
        <f t="shared" si="14"/>
        <v>0</v>
      </c>
      <c r="BB9" s="531"/>
      <c r="BC9" s="531"/>
      <c r="BD9" s="531"/>
    </row>
    <row r="10" spans="1:58" ht="41.4">
      <c r="A10" s="527">
        <f t="shared" si="1"/>
        <v>4</v>
      </c>
      <c r="B10" s="527">
        <v>1871</v>
      </c>
      <c r="C10" s="527" t="s">
        <v>812</v>
      </c>
      <c r="D10" s="528">
        <v>6000000</v>
      </c>
      <c r="E10" s="528">
        <v>3200000</v>
      </c>
      <c r="F10" s="528">
        <f t="shared" si="2"/>
        <v>2800000</v>
      </c>
      <c r="G10" s="528">
        <v>1990000</v>
      </c>
      <c r="H10" s="528">
        <v>0</v>
      </c>
      <c r="I10" s="528"/>
      <c r="J10" s="528"/>
      <c r="K10" s="528">
        <f t="shared" si="3"/>
        <v>0</v>
      </c>
      <c r="L10" s="528">
        <f t="shared" si="4"/>
        <v>0</v>
      </c>
      <c r="M10" s="531">
        <f>P10+S10</f>
        <v>1990000</v>
      </c>
      <c r="N10" s="531">
        <f>4010000-1010000</f>
        <v>3000000</v>
      </c>
      <c r="O10" s="531">
        <f t="shared" si="5"/>
        <v>1010000</v>
      </c>
      <c r="P10" s="531">
        <f t="shared" si="6"/>
        <v>1990000</v>
      </c>
      <c r="Q10" s="531"/>
      <c r="R10" s="531"/>
      <c r="S10" s="531">
        <f t="shared" si="7"/>
        <v>0</v>
      </c>
      <c r="T10" s="531">
        <f t="shared" si="8"/>
        <v>0</v>
      </c>
      <c r="U10" s="531">
        <f t="shared" si="0"/>
        <v>3000000</v>
      </c>
      <c r="V10" s="531">
        <f>U10-W10-Y10-Z10</f>
        <v>3000000</v>
      </c>
      <c r="W10" s="531"/>
      <c r="X10" s="528"/>
      <c r="Y10" s="528"/>
      <c r="Z10" s="527"/>
      <c r="AA10" s="527" t="s">
        <v>564</v>
      </c>
      <c r="AB10" s="527">
        <v>760000</v>
      </c>
      <c r="AC10" s="530"/>
      <c r="AD10" s="531"/>
      <c r="AE10" s="531"/>
      <c r="AF10" s="531">
        <f>500000</f>
        <v>500000</v>
      </c>
      <c r="AG10" s="531"/>
      <c r="AH10" s="531"/>
      <c r="AI10" s="531"/>
      <c r="AJ10" s="531"/>
      <c r="AK10" s="531"/>
      <c r="AL10" s="531">
        <f t="shared" si="9"/>
        <v>500000</v>
      </c>
      <c r="AM10" s="531"/>
      <c r="AN10" s="531">
        <f t="shared" si="10"/>
        <v>500000</v>
      </c>
      <c r="AO10" s="531">
        <f t="shared" si="11"/>
        <v>2500000</v>
      </c>
      <c r="AP10" s="531">
        <v>500000</v>
      </c>
      <c r="AQ10" s="531">
        <f t="shared" si="12"/>
        <v>0</v>
      </c>
      <c r="AR10" s="531"/>
      <c r="AS10" s="531"/>
      <c r="AT10" s="531"/>
      <c r="AU10" s="531"/>
      <c r="AV10" s="531">
        <f t="shared" si="13"/>
        <v>0</v>
      </c>
      <c r="AW10" s="531"/>
      <c r="AX10" s="531"/>
      <c r="AY10" s="531"/>
      <c r="AZ10" s="531">
        <v>2500000</v>
      </c>
      <c r="BA10" s="531">
        <f t="shared" si="14"/>
        <v>0</v>
      </c>
      <c r="BB10" s="531"/>
      <c r="BC10" s="531"/>
      <c r="BD10" s="531"/>
    </row>
    <row r="11" spans="1:58" ht="27.6">
      <c r="A11" s="527">
        <f t="shared" si="1"/>
        <v>5</v>
      </c>
      <c r="B11" s="527">
        <v>1982</v>
      </c>
      <c r="C11" s="527" t="s">
        <v>813</v>
      </c>
      <c r="D11" s="528">
        <v>19700000</v>
      </c>
      <c r="E11" s="528">
        <v>22500000</v>
      </c>
      <c r="F11" s="528">
        <f t="shared" si="2"/>
        <v>-2800000</v>
      </c>
      <c r="G11" s="528">
        <v>7050000</v>
      </c>
      <c r="H11" s="528">
        <v>75360</v>
      </c>
      <c r="I11" s="528">
        <v>5477214</v>
      </c>
      <c r="J11" s="528">
        <v>24092</v>
      </c>
      <c r="K11" s="528">
        <f t="shared" si="3"/>
        <v>5501306</v>
      </c>
      <c r="L11" s="528">
        <f t="shared" si="4"/>
        <v>5576666</v>
      </c>
      <c r="M11" s="531">
        <f>P11+S11</f>
        <v>1473334</v>
      </c>
      <c r="N11" s="531">
        <f>6000000-1000000</f>
        <v>5000000</v>
      </c>
      <c r="O11" s="531">
        <f t="shared" si="5"/>
        <v>7650000</v>
      </c>
      <c r="P11" s="531">
        <f t="shared" si="6"/>
        <v>1473334</v>
      </c>
      <c r="Q11" s="531"/>
      <c r="R11" s="531">
        <f>500000-500000</f>
        <v>0</v>
      </c>
      <c r="S11" s="531">
        <f t="shared" si="7"/>
        <v>0</v>
      </c>
      <c r="T11" s="531">
        <f t="shared" si="8"/>
        <v>0</v>
      </c>
      <c r="U11" s="531">
        <f t="shared" si="0"/>
        <v>5000000</v>
      </c>
      <c r="V11" s="531">
        <f>U11*0.4</f>
        <v>2000000</v>
      </c>
      <c r="W11" s="531">
        <f>U11-V11-X11-Y11-Z11</f>
        <v>3000000</v>
      </c>
      <c r="X11" s="528"/>
      <c r="Y11" s="528"/>
      <c r="Z11" s="527"/>
      <c r="AA11" s="527" t="s">
        <v>563</v>
      </c>
      <c r="AB11" s="527">
        <v>722000</v>
      </c>
      <c r="AC11" s="530"/>
      <c r="AD11" s="531">
        <v>600000</v>
      </c>
      <c r="AE11" s="531"/>
      <c r="AF11" s="531">
        <f>1500000</f>
        <v>1500000</v>
      </c>
      <c r="AG11" s="531"/>
      <c r="AH11" s="531"/>
      <c r="AI11" s="531"/>
      <c r="AJ11" s="531">
        <v>1000000</v>
      </c>
      <c r="AK11" s="531"/>
      <c r="AL11" s="531">
        <f t="shared" si="9"/>
        <v>3100000</v>
      </c>
      <c r="AM11" s="531"/>
      <c r="AN11" s="531">
        <f t="shared" si="10"/>
        <v>3100000</v>
      </c>
      <c r="AO11" s="531">
        <f t="shared" si="11"/>
        <v>1900000</v>
      </c>
      <c r="AP11" s="531">
        <v>600000</v>
      </c>
      <c r="AQ11" s="531">
        <f t="shared" si="12"/>
        <v>2500000</v>
      </c>
      <c r="AR11" s="531"/>
      <c r="AS11" s="531"/>
      <c r="AT11" s="531"/>
      <c r="AU11" s="531"/>
      <c r="AV11" s="531">
        <f t="shared" si="13"/>
        <v>0</v>
      </c>
      <c r="AW11" s="531"/>
      <c r="AX11" s="531"/>
      <c r="AY11" s="531"/>
      <c r="AZ11" s="531">
        <v>1400000</v>
      </c>
      <c r="BA11" s="531">
        <f t="shared" si="14"/>
        <v>500000</v>
      </c>
      <c r="BB11" s="531"/>
      <c r="BC11" s="531"/>
      <c r="BD11" s="531"/>
    </row>
    <row r="12" spans="1:58" ht="19.95" customHeight="1">
      <c r="A12" s="527">
        <f t="shared" si="1"/>
        <v>6</v>
      </c>
      <c r="B12" s="527">
        <v>2081</v>
      </c>
      <c r="C12" s="527" t="s">
        <v>566</v>
      </c>
      <c r="D12" s="528">
        <v>1500000</v>
      </c>
      <c r="E12" s="528"/>
      <c r="F12" s="528">
        <f t="shared" si="2"/>
        <v>1500000</v>
      </c>
      <c r="G12" s="528"/>
      <c r="H12" s="528"/>
      <c r="I12" s="528"/>
      <c r="J12" s="528"/>
      <c r="K12" s="528">
        <f t="shared" si="3"/>
        <v>0</v>
      </c>
      <c r="L12" s="528">
        <f t="shared" si="4"/>
        <v>0</v>
      </c>
      <c r="M12" s="531">
        <f>P12+S12</f>
        <v>0</v>
      </c>
      <c r="N12" s="531">
        <f>1500000-650000</f>
        <v>850000</v>
      </c>
      <c r="O12" s="531">
        <f t="shared" si="5"/>
        <v>650000</v>
      </c>
      <c r="P12" s="531">
        <f t="shared" si="6"/>
        <v>0</v>
      </c>
      <c r="Q12" s="531"/>
      <c r="R12" s="531"/>
      <c r="S12" s="531">
        <f t="shared" si="7"/>
        <v>0</v>
      </c>
      <c r="T12" s="531">
        <f t="shared" si="8"/>
        <v>0</v>
      </c>
      <c r="U12" s="531">
        <f t="shared" si="0"/>
        <v>850000</v>
      </c>
      <c r="V12" s="531">
        <v>450000</v>
      </c>
      <c r="W12" s="531">
        <f>U12-V12-X12-Y12-Z12</f>
        <v>400000</v>
      </c>
      <c r="X12" s="528"/>
      <c r="Y12" s="528"/>
      <c r="Z12" s="527"/>
      <c r="AA12" s="527" t="s">
        <v>814</v>
      </c>
      <c r="AB12" s="527">
        <v>760000</v>
      </c>
      <c r="AC12" s="530"/>
      <c r="AD12" s="531"/>
      <c r="AE12" s="531"/>
      <c r="AF12" s="531"/>
      <c r="AG12" s="531"/>
      <c r="AH12" s="531"/>
      <c r="AI12" s="531"/>
      <c r="AJ12" s="531"/>
      <c r="AK12" s="531"/>
      <c r="AL12" s="531">
        <f t="shared" si="9"/>
        <v>0</v>
      </c>
      <c r="AM12" s="531"/>
      <c r="AN12" s="531">
        <f t="shared" si="10"/>
        <v>0</v>
      </c>
      <c r="AO12" s="531">
        <f t="shared" si="11"/>
        <v>850000</v>
      </c>
      <c r="AP12" s="531"/>
      <c r="AQ12" s="531">
        <f t="shared" si="12"/>
        <v>0</v>
      </c>
      <c r="AR12" s="531"/>
      <c r="AS12" s="531"/>
      <c r="AT12" s="531"/>
      <c r="AU12" s="531"/>
      <c r="AV12" s="531">
        <f t="shared" si="13"/>
        <v>0</v>
      </c>
      <c r="AW12" s="531"/>
      <c r="AX12" s="531"/>
      <c r="AY12" s="531"/>
      <c r="AZ12" s="531">
        <v>450000</v>
      </c>
      <c r="BA12" s="531">
        <f t="shared" si="14"/>
        <v>400000</v>
      </c>
      <c r="BB12" s="531"/>
      <c r="BC12" s="531"/>
      <c r="BD12" s="531"/>
    </row>
    <row r="13" spans="1:58" ht="19.95" customHeight="1">
      <c r="A13" s="527">
        <f t="shared" si="1"/>
        <v>7</v>
      </c>
      <c r="B13" s="527">
        <v>2082</v>
      </c>
      <c r="C13" s="527" t="s">
        <v>567</v>
      </c>
      <c r="D13" s="528">
        <v>1000000</v>
      </c>
      <c r="E13" s="528"/>
      <c r="F13" s="528">
        <f t="shared" si="2"/>
        <v>1000000</v>
      </c>
      <c r="G13" s="528"/>
      <c r="H13" s="528"/>
      <c r="I13" s="528"/>
      <c r="J13" s="528"/>
      <c r="K13" s="528">
        <f t="shared" si="3"/>
        <v>0</v>
      </c>
      <c r="L13" s="528">
        <f t="shared" si="4"/>
        <v>0</v>
      </c>
      <c r="M13" s="531">
        <f>P13+S13</f>
        <v>0</v>
      </c>
      <c r="N13" s="531">
        <f>1000000-150000</f>
        <v>850000</v>
      </c>
      <c r="O13" s="531">
        <f t="shared" si="5"/>
        <v>150000</v>
      </c>
      <c r="P13" s="531">
        <f t="shared" si="6"/>
        <v>0</v>
      </c>
      <c r="Q13" s="531"/>
      <c r="R13" s="531"/>
      <c r="S13" s="531">
        <f t="shared" si="7"/>
        <v>0</v>
      </c>
      <c r="T13" s="531">
        <f t="shared" si="8"/>
        <v>0</v>
      </c>
      <c r="U13" s="531">
        <f t="shared" si="0"/>
        <v>850000</v>
      </c>
      <c r="V13" s="531">
        <f>U13-W13-Y13-Z13</f>
        <v>0</v>
      </c>
      <c r="W13" s="531">
        <v>850000</v>
      </c>
      <c r="X13" s="528"/>
      <c r="Y13" s="528"/>
      <c r="Z13" s="527"/>
      <c r="AA13" s="527" t="s">
        <v>815</v>
      </c>
      <c r="AB13" s="527">
        <v>760000</v>
      </c>
      <c r="AC13" s="530"/>
      <c r="AD13" s="531">
        <v>100000</v>
      </c>
      <c r="AE13" s="531"/>
      <c r="AF13" s="531"/>
      <c r="AG13" s="531"/>
      <c r="AH13" s="531"/>
      <c r="AI13" s="531"/>
      <c r="AJ13" s="531"/>
      <c r="AK13" s="531"/>
      <c r="AL13" s="531">
        <f t="shared" si="9"/>
        <v>100000</v>
      </c>
      <c r="AM13" s="531"/>
      <c r="AN13" s="531">
        <f t="shared" si="10"/>
        <v>100000</v>
      </c>
      <c r="AO13" s="531">
        <f t="shared" si="11"/>
        <v>750000</v>
      </c>
      <c r="AP13" s="531"/>
      <c r="AQ13" s="531">
        <f t="shared" si="12"/>
        <v>100000</v>
      </c>
      <c r="AR13" s="531"/>
      <c r="AS13" s="531"/>
      <c r="AT13" s="531"/>
      <c r="AU13" s="531"/>
      <c r="AV13" s="531">
        <f t="shared" si="13"/>
        <v>0</v>
      </c>
      <c r="AW13" s="531"/>
      <c r="AX13" s="531"/>
      <c r="AY13" s="531"/>
      <c r="AZ13" s="531"/>
      <c r="BA13" s="531">
        <f t="shared" si="14"/>
        <v>750000</v>
      </c>
      <c r="BB13" s="531"/>
      <c r="BC13" s="531"/>
      <c r="BD13" s="531"/>
    </row>
    <row r="14" spans="1:58" ht="19.95" customHeight="1">
      <c r="A14" s="527">
        <f t="shared" si="1"/>
        <v>8</v>
      </c>
      <c r="B14" s="527">
        <v>2083</v>
      </c>
      <c r="C14" s="527" t="s">
        <v>615</v>
      </c>
      <c r="D14" s="528">
        <v>5580000</v>
      </c>
      <c r="E14" s="528"/>
      <c r="F14" s="528">
        <f t="shared" si="2"/>
        <v>5580000</v>
      </c>
      <c r="G14" s="528"/>
      <c r="H14" s="528"/>
      <c r="I14" s="528"/>
      <c r="J14" s="528"/>
      <c r="K14" s="528">
        <f t="shared" si="3"/>
        <v>0</v>
      </c>
      <c r="L14" s="528">
        <f t="shared" si="4"/>
        <v>0</v>
      </c>
      <c r="M14" s="531">
        <f>P14+S14</f>
        <v>0</v>
      </c>
      <c r="N14" s="531">
        <f>5580000-2580000</f>
        <v>3000000</v>
      </c>
      <c r="O14" s="531">
        <f t="shared" si="5"/>
        <v>2580000</v>
      </c>
      <c r="P14" s="531">
        <f t="shared" si="6"/>
        <v>0</v>
      </c>
      <c r="Q14" s="531"/>
      <c r="R14" s="531"/>
      <c r="S14" s="531">
        <f t="shared" si="7"/>
        <v>0</v>
      </c>
      <c r="T14" s="531">
        <f t="shared" si="8"/>
        <v>0</v>
      </c>
      <c r="U14" s="531">
        <f t="shared" si="0"/>
        <v>3000000</v>
      </c>
      <c r="V14" s="531"/>
      <c r="W14" s="531">
        <f>U14-V14-X14-Y14-Z14</f>
        <v>0</v>
      </c>
      <c r="X14" s="528"/>
      <c r="Y14" s="528"/>
      <c r="Z14" s="531">
        <v>3000000</v>
      </c>
      <c r="AA14" s="527" t="s">
        <v>658</v>
      </c>
      <c r="AB14" s="527">
        <v>810000</v>
      </c>
      <c r="AC14" s="530"/>
      <c r="AD14" s="531"/>
      <c r="AE14" s="531">
        <v>3000000</v>
      </c>
      <c r="AF14" s="531"/>
      <c r="AG14" s="531"/>
      <c r="AH14" s="531"/>
      <c r="AI14" s="531"/>
      <c r="AJ14" s="531"/>
      <c r="AK14" s="531"/>
      <c r="AL14" s="531">
        <f t="shared" si="9"/>
        <v>3000000</v>
      </c>
      <c r="AM14" s="531"/>
      <c r="AN14" s="531">
        <f t="shared" si="10"/>
        <v>3000000</v>
      </c>
      <c r="AO14" s="531">
        <f t="shared" si="11"/>
        <v>0</v>
      </c>
      <c r="AP14" s="531"/>
      <c r="AQ14" s="531">
        <f t="shared" si="12"/>
        <v>0</v>
      </c>
      <c r="AR14" s="531"/>
      <c r="AS14" s="531"/>
      <c r="AT14" s="531">
        <v>3000000</v>
      </c>
      <c r="AU14" s="531"/>
      <c r="AV14" s="531">
        <f t="shared" si="13"/>
        <v>0</v>
      </c>
      <c r="AW14" s="531"/>
      <c r="AX14" s="531"/>
      <c r="AY14" s="531"/>
      <c r="AZ14" s="531"/>
      <c r="BA14" s="531">
        <f t="shared" si="14"/>
        <v>0</v>
      </c>
      <c r="BB14" s="531"/>
      <c r="BC14" s="531"/>
      <c r="BD14" s="531"/>
    </row>
    <row r="15" spans="1:58" s="535" customFormat="1" ht="19.95" customHeight="1">
      <c r="A15" s="532">
        <f>A14</f>
        <v>8</v>
      </c>
      <c r="B15" s="532"/>
      <c r="C15" s="533" t="s">
        <v>656</v>
      </c>
      <c r="D15" s="534">
        <f t="shared" ref="D15:BD15" si="15">SUM(D7:D14)</f>
        <v>49590000</v>
      </c>
      <c r="E15" s="534">
        <f t="shared" si="15"/>
        <v>41510000</v>
      </c>
      <c r="F15" s="534">
        <f t="shared" si="15"/>
        <v>8080000</v>
      </c>
      <c r="G15" s="534">
        <f t="shared" si="15"/>
        <v>18048000</v>
      </c>
      <c r="H15" s="534">
        <f t="shared" si="15"/>
        <v>8495620.3200000003</v>
      </c>
      <c r="I15" s="534">
        <f t="shared" si="15"/>
        <v>5613414</v>
      </c>
      <c r="J15" s="534">
        <f t="shared" si="15"/>
        <v>331169</v>
      </c>
      <c r="K15" s="534">
        <f t="shared" si="15"/>
        <v>5944583</v>
      </c>
      <c r="L15" s="534">
        <f t="shared" si="15"/>
        <v>14440203.32</v>
      </c>
      <c r="M15" s="534">
        <f t="shared" si="15"/>
        <v>3524796.74</v>
      </c>
      <c r="N15" s="534">
        <f t="shared" si="15"/>
        <v>13008000</v>
      </c>
      <c r="O15" s="534">
        <f t="shared" si="15"/>
        <v>18616999.939999998</v>
      </c>
      <c r="P15" s="534">
        <f t="shared" si="15"/>
        <v>3607796.6799999997</v>
      </c>
      <c r="Q15" s="534">
        <f t="shared" si="15"/>
        <v>0</v>
      </c>
      <c r="R15" s="534">
        <f t="shared" si="15"/>
        <v>0</v>
      </c>
      <c r="S15" s="534">
        <f t="shared" si="15"/>
        <v>0</v>
      </c>
      <c r="T15" s="534">
        <f t="shared" si="15"/>
        <v>82999.939999999944</v>
      </c>
      <c r="U15" s="534">
        <f t="shared" si="15"/>
        <v>12925000.060000001</v>
      </c>
      <c r="V15" s="534">
        <f t="shared" si="15"/>
        <v>5450000</v>
      </c>
      <c r="W15" s="534">
        <f t="shared" si="15"/>
        <v>4475000.0600000005</v>
      </c>
      <c r="X15" s="534">
        <f t="shared" si="15"/>
        <v>0</v>
      </c>
      <c r="Y15" s="534">
        <f t="shared" si="15"/>
        <v>0</v>
      </c>
      <c r="Z15" s="534">
        <f t="shared" si="15"/>
        <v>3000000</v>
      </c>
      <c r="AA15" s="534">
        <f t="shared" si="15"/>
        <v>0</v>
      </c>
      <c r="AB15" s="534">
        <f t="shared" si="15"/>
        <v>5992000</v>
      </c>
      <c r="AC15" s="534">
        <f t="shared" ref="AC15:AJ15" si="16">SUM(AC7:AC14)</f>
        <v>0</v>
      </c>
      <c r="AD15" s="534">
        <f t="shared" si="16"/>
        <v>700000</v>
      </c>
      <c r="AE15" s="534">
        <f t="shared" si="16"/>
        <v>3000000</v>
      </c>
      <c r="AF15" s="534">
        <f t="shared" si="16"/>
        <v>2200000</v>
      </c>
      <c r="AG15" s="534">
        <f t="shared" si="16"/>
        <v>0</v>
      </c>
      <c r="AH15" s="534">
        <f t="shared" si="16"/>
        <v>0</v>
      </c>
      <c r="AI15" s="534">
        <f t="shared" si="16"/>
        <v>0</v>
      </c>
      <c r="AJ15" s="534">
        <f t="shared" si="16"/>
        <v>1025000</v>
      </c>
      <c r="AK15" s="534">
        <f t="shared" si="15"/>
        <v>0</v>
      </c>
      <c r="AL15" s="534">
        <f t="shared" si="15"/>
        <v>6925000</v>
      </c>
      <c r="AM15" s="534">
        <f t="shared" si="15"/>
        <v>0</v>
      </c>
      <c r="AN15" s="534">
        <f t="shared" ref="AN15:AY15" si="17">SUM(AN7:AN14)</f>
        <v>6925000</v>
      </c>
      <c r="AO15" s="534">
        <f t="shared" si="17"/>
        <v>6000000.0600000005</v>
      </c>
      <c r="AP15" s="534">
        <f t="shared" si="17"/>
        <v>1100000</v>
      </c>
      <c r="AQ15" s="534">
        <f t="shared" si="17"/>
        <v>2825000</v>
      </c>
      <c r="AR15" s="534">
        <f t="shared" si="17"/>
        <v>0</v>
      </c>
      <c r="AS15" s="534">
        <f t="shared" si="17"/>
        <v>0</v>
      </c>
      <c r="AT15" s="534">
        <f>SUM(AT7:AT14)</f>
        <v>3000000</v>
      </c>
      <c r="AU15" s="534">
        <f>SUM(AU7:AU14)</f>
        <v>0</v>
      </c>
      <c r="AV15" s="534">
        <f>SUM(AV7:AV14)</f>
        <v>0</v>
      </c>
      <c r="AW15" s="534">
        <f>SUM(AW7:AW14)</f>
        <v>0</v>
      </c>
      <c r="AX15" s="534">
        <f>SUM(AX7:AX14)</f>
        <v>0</v>
      </c>
      <c r="AY15" s="534">
        <f t="shared" si="17"/>
        <v>0</v>
      </c>
      <c r="AZ15" s="534">
        <f t="shared" si="15"/>
        <v>4350000</v>
      </c>
      <c r="BA15" s="534">
        <f t="shared" si="15"/>
        <v>1650000.06</v>
      </c>
      <c r="BB15" s="534">
        <f t="shared" si="15"/>
        <v>0</v>
      </c>
      <c r="BC15" s="534">
        <f t="shared" si="15"/>
        <v>0</v>
      </c>
      <c r="BD15" s="534">
        <f t="shared" si="15"/>
        <v>0</v>
      </c>
      <c r="BE15" s="515"/>
      <c r="BF15" s="515"/>
    </row>
    <row r="16" spans="1:58" ht="18.75" hidden="1" customHeight="1">
      <c r="L16" s="215">
        <f>H15+K15</f>
        <v>14440203.32</v>
      </c>
      <c r="M16" s="215">
        <f>P15+S15-T15</f>
        <v>3524796.7399999998</v>
      </c>
      <c r="P16" s="215">
        <f>G15-L15</f>
        <v>3607796.6799999997</v>
      </c>
      <c r="U16" s="215">
        <f>N15-T15</f>
        <v>12925000.060000001</v>
      </c>
    </row>
    <row r="17" spans="1:56">
      <c r="AA17" s="521"/>
    </row>
    <row r="18" spans="1:56">
      <c r="E18" s="536"/>
      <c r="F18" s="537"/>
      <c r="G18" s="537"/>
      <c r="H18" s="537"/>
      <c r="I18" s="537"/>
      <c r="AA18" s="521"/>
    </row>
    <row r="19" spans="1:56">
      <c r="A19" s="515"/>
      <c r="B19" s="515"/>
      <c r="C19" s="515"/>
      <c r="D19" s="515"/>
      <c r="E19" s="515"/>
      <c r="F19" s="515"/>
      <c r="G19" s="515"/>
      <c r="H19" s="515"/>
      <c r="I19" s="515"/>
      <c r="J19" s="515"/>
      <c r="K19" s="515"/>
      <c r="L19" s="515"/>
      <c r="M19" s="515"/>
      <c r="N19" s="515"/>
      <c r="O19" s="515"/>
      <c r="P19" s="515"/>
      <c r="Q19" s="515"/>
      <c r="R19" s="515"/>
      <c r="S19" s="515"/>
      <c r="T19" s="515"/>
      <c r="U19" s="515"/>
      <c r="V19" s="515"/>
      <c r="W19" s="515"/>
      <c r="X19" s="515"/>
      <c r="AA19" s="521"/>
      <c r="AB19" s="515"/>
      <c r="BD19" s="515"/>
    </row>
    <row r="20" spans="1:56">
      <c r="A20" s="515"/>
      <c r="B20" s="515"/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5"/>
      <c r="X20" s="515"/>
      <c r="AA20" s="521"/>
      <c r="AB20" s="515"/>
      <c r="AL20" s="515"/>
      <c r="AM20" s="515"/>
      <c r="AN20" s="515"/>
      <c r="AO20" s="515"/>
      <c r="AP20" s="515"/>
      <c r="AQ20" s="515"/>
      <c r="AR20" s="515"/>
      <c r="AS20" s="515"/>
      <c r="AT20" s="515"/>
      <c r="AU20" s="515"/>
      <c r="AV20" s="515"/>
      <c r="AW20" s="515"/>
      <c r="AX20" s="515"/>
      <c r="AY20" s="515"/>
      <c r="AZ20" s="515"/>
      <c r="BA20" s="515"/>
      <c r="BB20" s="515"/>
      <c r="BC20" s="515"/>
      <c r="BD20" s="515"/>
    </row>
    <row r="21" spans="1:56">
      <c r="A21" s="515"/>
      <c r="B21" s="515"/>
      <c r="C21" s="515"/>
      <c r="D21" s="515"/>
      <c r="E21" s="515"/>
      <c r="F21" s="515"/>
      <c r="G21" s="515"/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5"/>
      <c r="X21" s="515"/>
      <c r="AA21" s="521"/>
      <c r="AB21" s="515"/>
      <c r="BD21" s="515"/>
    </row>
    <row r="22" spans="1:56">
      <c r="A22" s="515"/>
      <c r="B22" s="515"/>
      <c r="C22" s="515"/>
      <c r="D22" s="515"/>
      <c r="E22" s="515"/>
      <c r="F22" s="515"/>
      <c r="G22" s="515"/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5"/>
      <c r="X22" s="515"/>
      <c r="AA22" s="521"/>
      <c r="AB22" s="515"/>
      <c r="BD22" s="515"/>
    </row>
    <row r="23" spans="1:56">
      <c r="A23" s="515"/>
      <c r="B23" s="515"/>
      <c r="C23" s="515"/>
      <c r="D23" s="515"/>
      <c r="E23" s="515"/>
      <c r="F23" s="515"/>
      <c r="G23" s="515"/>
      <c r="H23" s="515"/>
      <c r="I23" s="515"/>
      <c r="J23" s="515"/>
      <c r="K23" s="515"/>
      <c r="L23" s="515"/>
      <c r="M23" s="515"/>
      <c r="N23" s="515"/>
      <c r="O23" s="515"/>
      <c r="P23" s="515"/>
      <c r="Q23" s="515"/>
      <c r="R23" s="515"/>
      <c r="S23" s="515"/>
      <c r="T23" s="515"/>
      <c r="U23" s="515"/>
      <c r="V23" s="515"/>
      <c r="W23" s="515"/>
      <c r="X23" s="515"/>
      <c r="Y23" s="515"/>
      <c r="Z23" s="515"/>
      <c r="AA23" s="515"/>
      <c r="AB23" s="515"/>
      <c r="BD23" s="515"/>
    </row>
    <row r="24" spans="1:56">
      <c r="A24" s="515"/>
      <c r="B24" s="515"/>
      <c r="C24" s="515"/>
      <c r="D24" s="515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5"/>
      <c r="X24" s="515"/>
      <c r="Y24" s="515"/>
      <c r="Z24" s="515"/>
      <c r="AA24" s="515"/>
      <c r="AB24" s="515"/>
      <c r="BD24" s="515"/>
    </row>
    <row r="25" spans="1:56">
      <c r="A25" s="515"/>
      <c r="B25" s="515"/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5"/>
      <c r="X25" s="515"/>
      <c r="Y25" s="515"/>
      <c r="Z25" s="515"/>
      <c r="AA25" s="515"/>
      <c r="AB25" s="515"/>
      <c r="BD25" s="515"/>
    </row>
    <row r="26" spans="1:56">
      <c r="A26" s="515"/>
      <c r="B26" s="515"/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5"/>
      <c r="X26" s="515"/>
      <c r="Y26" s="515"/>
      <c r="Z26" s="515"/>
      <c r="AA26" s="515"/>
      <c r="AB26" s="515"/>
      <c r="BD26" s="515"/>
    </row>
    <row r="27" spans="1:56">
      <c r="A27" s="515"/>
      <c r="B27" s="515"/>
      <c r="C27" s="515"/>
      <c r="D27" s="515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5"/>
      <c r="X27" s="515"/>
      <c r="Y27" s="515"/>
      <c r="Z27" s="515"/>
      <c r="AA27" s="515"/>
      <c r="AB27" s="515"/>
      <c r="BD27" s="515"/>
    </row>
    <row r="28" spans="1:56">
      <c r="A28" s="515"/>
      <c r="B28" s="515"/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5"/>
      <c r="X28" s="515"/>
      <c r="Y28" s="515"/>
      <c r="Z28" s="515"/>
      <c r="AA28" s="515"/>
      <c r="AB28" s="515"/>
      <c r="BD28" s="515"/>
    </row>
    <row r="31" spans="1:56">
      <c r="A31" s="515"/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515"/>
      <c r="Y31" s="515"/>
      <c r="Z31" s="515"/>
      <c r="AA31" s="515"/>
      <c r="AB31" s="515"/>
      <c r="AO31" s="515"/>
      <c r="AP31" s="515"/>
      <c r="AR31" s="515"/>
      <c r="AS31" s="515"/>
      <c r="AT31" s="515"/>
      <c r="AU31" s="515"/>
      <c r="AW31" s="515"/>
      <c r="AX31" s="515"/>
      <c r="AY31" s="515"/>
      <c r="BA31" s="515"/>
      <c r="BB31" s="515"/>
      <c r="BC31" s="515"/>
      <c r="BD31" s="515"/>
    </row>
    <row r="32" spans="1:56">
      <c r="A32" s="515"/>
      <c r="B32" s="515"/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5"/>
      <c r="X32" s="515"/>
      <c r="Y32" s="515"/>
      <c r="Z32" s="515"/>
      <c r="AA32" s="515"/>
      <c r="AB32" s="515"/>
      <c r="AO32" s="515"/>
      <c r="AP32" s="515"/>
      <c r="AR32" s="515"/>
      <c r="AS32" s="515"/>
      <c r="AT32" s="515"/>
      <c r="AU32" s="515"/>
      <c r="AW32" s="515"/>
      <c r="AX32" s="515"/>
      <c r="AY32" s="515"/>
      <c r="BA32" s="515"/>
      <c r="BB32" s="515"/>
      <c r="BC32" s="515"/>
      <c r="BD32" s="515"/>
    </row>
    <row r="33" spans="1:56">
      <c r="A33" s="515"/>
      <c r="B33" s="515"/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  <c r="X33" s="515"/>
      <c r="Y33" s="515"/>
      <c r="Z33" s="515"/>
      <c r="AA33" s="515"/>
      <c r="AB33" s="515"/>
      <c r="AO33" s="515"/>
      <c r="AP33" s="515"/>
      <c r="AR33" s="515"/>
      <c r="AS33" s="515"/>
      <c r="AT33" s="515"/>
      <c r="AU33" s="515"/>
      <c r="AW33" s="515"/>
      <c r="AX33" s="515"/>
      <c r="AY33" s="515"/>
      <c r="BA33" s="515"/>
      <c r="BB33" s="515"/>
      <c r="BC33" s="515"/>
      <c r="BD33" s="515"/>
    </row>
    <row r="34" spans="1:56">
      <c r="A34" s="515"/>
      <c r="B34" s="515"/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5"/>
      <c r="X34" s="515"/>
      <c r="Y34" s="515"/>
      <c r="Z34" s="515"/>
      <c r="AA34" s="515"/>
      <c r="AB34" s="515"/>
      <c r="AO34" s="515"/>
      <c r="AP34" s="515"/>
      <c r="AR34" s="515"/>
      <c r="AS34" s="515"/>
      <c r="AT34" s="515"/>
      <c r="AU34" s="515"/>
      <c r="AW34" s="515"/>
      <c r="AX34" s="515"/>
      <c r="AY34" s="515"/>
      <c r="BA34" s="515"/>
      <c r="BB34" s="515"/>
      <c r="BC34" s="515"/>
      <c r="BD34" s="515"/>
    </row>
  </sheetData>
  <mergeCells count="5">
    <mergeCell ref="T4:Z4"/>
    <mergeCell ref="AZ4:BD4"/>
    <mergeCell ref="AL4:AN4"/>
    <mergeCell ref="AP4:AT4"/>
    <mergeCell ref="AU4:AY4"/>
  </mergeCells>
  <conditionalFormatting sqref="F7">
    <cfRule type="cellIs" dxfId="115" priority="90" operator="equal">
      <formula>0</formula>
    </cfRule>
  </conditionalFormatting>
  <conditionalFormatting sqref="A15:B15 Y8:Z10 A6:W9 AB21:AB1048576 A21:W1048576 A1:AA1 AB1:AB10 B10:W10 A10:A14 A16:K16 N16:O16 Q16:T16 V16:AA16 B5:W5 X5:X10 Y5:AA7 AA4 A4:S4 D15:AB15 AL1:AM3 BE4:BE10 BG1:XFD10 BG21:XFD1048576 AB16:AB19 A17:X19 BG15:XFD19 AC15:AF1048576 Y17:AA1048576 BF1:BF1048576 AK15:AM1048576 AZ15:BE1048576 AZ5 AZ1:BE3 A3:AA3 B2:AA2">
    <cfRule type="cellIs" dxfId="114" priority="89" operator="equal">
      <formula>0</formula>
    </cfRule>
  </conditionalFormatting>
  <conditionalFormatting sqref="AA10">
    <cfRule type="cellIs" dxfId="113" priority="86" operator="equal">
      <formula>0</formula>
    </cfRule>
  </conditionalFormatting>
  <conditionalFormatting sqref="AA8">
    <cfRule type="cellIs" dxfId="112" priority="88" operator="equal">
      <formula>0</formula>
    </cfRule>
  </conditionalFormatting>
  <conditionalFormatting sqref="AA9">
    <cfRule type="cellIs" dxfId="111" priority="87" operator="equal">
      <formula>0</formula>
    </cfRule>
  </conditionalFormatting>
  <conditionalFormatting sqref="X21:X1048576">
    <cfRule type="cellIs" dxfId="110" priority="85" operator="equal">
      <formula>0</formula>
    </cfRule>
  </conditionalFormatting>
  <conditionalFormatting sqref="A20:X20 AB20 BG20:XFD20">
    <cfRule type="cellIs" dxfId="109" priority="84" operator="equal">
      <formula>0</formula>
    </cfRule>
  </conditionalFormatting>
  <conditionalFormatting sqref="AK1:AK3">
    <cfRule type="cellIs" dxfId="108" priority="83" operator="equal">
      <formula>0</formula>
    </cfRule>
  </conditionalFormatting>
  <conditionalFormatting sqref="AB11 B11:Z11 BE11 BG11:XFD11">
    <cfRule type="cellIs" dxfId="107" priority="82" operator="equal">
      <formula>0</formula>
    </cfRule>
  </conditionalFormatting>
  <conditionalFormatting sqref="AA11">
    <cfRule type="cellIs" dxfId="106" priority="81" operator="equal">
      <formula>0</formula>
    </cfRule>
  </conditionalFormatting>
  <conditionalFormatting sqref="AA14:AB14 AA12:AB12">
    <cfRule type="cellIs" dxfId="105" priority="80" operator="equal">
      <formula>0</formula>
    </cfRule>
  </conditionalFormatting>
  <conditionalFormatting sqref="B14:J14 BE14 B12:C12 BG14:XFD14">
    <cfRule type="cellIs" dxfId="104" priority="79" operator="equal">
      <formula>0</formula>
    </cfRule>
  </conditionalFormatting>
  <conditionalFormatting sqref="B12 E12:J12 BE12 BG12:XFD12">
    <cfRule type="cellIs" dxfId="103" priority="78" operator="equal">
      <formula>0</formula>
    </cfRule>
  </conditionalFormatting>
  <conditionalFormatting sqref="Y12:Z12 K12:V12 Y14 K14:U14">
    <cfRule type="cellIs" dxfId="102" priority="77" operator="equal">
      <formula>0</formula>
    </cfRule>
  </conditionalFormatting>
  <conditionalFormatting sqref="C12">
    <cfRule type="cellIs" dxfId="101" priority="76" operator="equal">
      <formula>0</formula>
    </cfRule>
  </conditionalFormatting>
  <conditionalFormatting sqref="D12">
    <cfRule type="cellIs" dxfId="100" priority="75" operator="equal">
      <formula>0</formula>
    </cfRule>
  </conditionalFormatting>
  <conditionalFormatting sqref="X12 X14">
    <cfRule type="cellIs" dxfId="99" priority="74" operator="equal">
      <formula>0</formula>
    </cfRule>
  </conditionalFormatting>
  <conditionalFormatting sqref="V14">
    <cfRule type="cellIs" dxfId="98" priority="73" operator="equal">
      <formula>0</formula>
    </cfRule>
  </conditionalFormatting>
  <conditionalFormatting sqref="AA13">
    <cfRule type="cellIs" dxfId="97" priority="72" operator="equal">
      <formula>0</formula>
    </cfRule>
  </conditionalFormatting>
  <conditionalFormatting sqref="B13:J13 BE13 BG13:XFD13">
    <cfRule type="cellIs" dxfId="96" priority="71" operator="equal">
      <formula>0</formula>
    </cfRule>
  </conditionalFormatting>
  <conditionalFormatting sqref="W13">
    <cfRule type="cellIs" dxfId="95" priority="68" operator="equal">
      <formula>0</formula>
    </cfRule>
  </conditionalFormatting>
  <conditionalFormatting sqref="K13:U13 Y13:Z13">
    <cfRule type="cellIs" dxfId="94" priority="70" operator="equal">
      <formula>0</formula>
    </cfRule>
  </conditionalFormatting>
  <conditionalFormatting sqref="X13">
    <cfRule type="cellIs" dxfId="93" priority="69" operator="equal">
      <formula>0</formula>
    </cfRule>
  </conditionalFormatting>
  <conditionalFormatting sqref="V13">
    <cfRule type="cellIs" dxfId="92" priority="67" operator="equal">
      <formula>0</formula>
    </cfRule>
  </conditionalFormatting>
  <conditionalFormatting sqref="W12">
    <cfRule type="cellIs" dxfId="91" priority="66" operator="equal">
      <formula>0</formula>
    </cfRule>
  </conditionalFormatting>
  <conditionalFormatting sqref="Z14">
    <cfRule type="cellIs" dxfId="90" priority="64" operator="equal">
      <formula>0</formula>
    </cfRule>
  </conditionalFormatting>
  <conditionalFormatting sqref="W14">
    <cfRule type="cellIs" dxfId="89" priority="65" operator="equal">
      <formula>0</formula>
    </cfRule>
  </conditionalFormatting>
  <conditionalFormatting sqref="AB13">
    <cfRule type="cellIs" dxfId="88" priority="63" operator="equal">
      <formula>0</formula>
    </cfRule>
  </conditionalFormatting>
  <conditionalFormatting sqref="AC1:AC3 AC6:AC10">
    <cfRule type="cellIs" dxfId="87" priority="62" operator="equal">
      <formula>0</formula>
    </cfRule>
  </conditionalFormatting>
  <conditionalFormatting sqref="AC11">
    <cfRule type="cellIs" dxfId="86" priority="61" operator="equal">
      <formula>0</formula>
    </cfRule>
  </conditionalFormatting>
  <conditionalFormatting sqref="AC12:AC14">
    <cfRule type="cellIs" dxfId="85" priority="60" operator="equal">
      <formula>0</formula>
    </cfRule>
  </conditionalFormatting>
  <conditionalFormatting sqref="AC5">
    <cfRule type="cellIs" dxfId="84" priority="59" operator="equal">
      <formula>0</formula>
    </cfRule>
  </conditionalFormatting>
  <conditionalFormatting sqref="AC4">
    <cfRule type="cellIs" dxfId="83" priority="58" operator="equal">
      <formula>0</formula>
    </cfRule>
  </conditionalFormatting>
  <conditionalFormatting sqref="AK5">
    <cfRule type="cellIs" dxfId="82" priority="57" operator="equal">
      <formula>0</formula>
    </cfRule>
  </conditionalFormatting>
  <conditionalFormatting sqref="AD1:AD3">
    <cfRule type="cellIs" dxfId="81" priority="56" operator="equal">
      <formula>0</formula>
    </cfRule>
  </conditionalFormatting>
  <conditionalFormatting sqref="AD5">
    <cfRule type="cellIs" dxfId="80" priority="55" operator="equal">
      <formula>0</formula>
    </cfRule>
  </conditionalFormatting>
  <conditionalFormatting sqref="AD6:AD14 AK6:AM6 AL7:AM14 AZ6:BD14">
    <cfRule type="cellIs" dxfId="79" priority="54" operator="equal">
      <formula>0</formula>
    </cfRule>
  </conditionalFormatting>
  <conditionalFormatting sqref="AE1:AE3">
    <cfRule type="cellIs" dxfId="78" priority="53" operator="equal">
      <formula>0</formula>
    </cfRule>
  </conditionalFormatting>
  <conditionalFormatting sqref="AE5">
    <cfRule type="cellIs" dxfId="77" priority="52" operator="equal">
      <formula>0</formula>
    </cfRule>
  </conditionalFormatting>
  <conditionalFormatting sqref="AE6:AE14">
    <cfRule type="cellIs" dxfId="76" priority="51" operator="equal">
      <formula>0</formula>
    </cfRule>
  </conditionalFormatting>
  <conditionalFormatting sqref="AK12:AK14">
    <cfRule type="cellIs" dxfId="75" priority="50" operator="equal">
      <formula>0</formula>
    </cfRule>
  </conditionalFormatting>
  <conditionalFormatting sqref="AK7:AK11">
    <cfRule type="cellIs" dxfId="74" priority="49" operator="equal">
      <formula>0</formula>
    </cfRule>
  </conditionalFormatting>
  <conditionalFormatting sqref="AF1:AF3">
    <cfRule type="cellIs" dxfId="73" priority="47" operator="equal">
      <formula>0</formula>
    </cfRule>
  </conditionalFormatting>
  <conditionalFormatting sqref="AF5">
    <cfRule type="cellIs" dxfId="72" priority="46" operator="equal">
      <formula>0</formula>
    </cfRule>
  </conditionalFormatting>
  <conditionalFormatting sqref="AF6">
    <cfRule type="cellIs" dxfId="71" priority="45" operator="equal">
      <formula>0</formula>
    </cfRule>
  </conditionalFormatting>
  <conditionalFormatting sqref="AF12:AF14">
    <cfRule type="cellIs" dxfId="70" priority="44" operator="equal">
      <formula>0</formula>
    </cfRule>
  </conditionalFormatting>
  <conditionalFormatting sqref="AF7:AF11">
    <cfRule type="cellIs" dxfId="69" priority="43" operator="equal">
      <formula>0</formula>
    </cfRule>
  </conditionalFormatting>
  <conditionalFormatting sqref="AG15:AG1048576">
    <cfRule type="cellIs" dxfId="68" priority="42" operator="equal">
      <formula>0</formula>
    </cfRule>
  </conditionalFormatting>
  <conditionalFormatting sqref="AG1:AG3">
    <cfRule type="cellIs" dxfId="67" priority="41" operator="equal">
      <formula>0</formula>
    </cfRule>
  </conditionalFormatting>
  <conditionalFormatting sqref="AG5">
    <cfRule type="cellIs" dxfId="66" priority="40" operator="equal">
      <formula>0</formula>
    </cfRule>
  </conditionalFormatting>
  <conditionalFormatting sqref="AG6">
    <cfRule type="cellIs" dxfId="65" priority="39" operator="equal">
      <formula>0</formula>
    </cfRule>
  </conditionalFormatting>
  <conditionalFormatting sqref="AG12:AG14">
    <cfRule type="cellIs" dxfId="64" priority="38" operator="equal">
      <formula>0</formula>
    </cfRule>
  </conditionalFormatting>
  <conditionalFormatting sqref="AG7:AG11">
    <cfRule type="cellIs" dxfId="63" priority="37" operator="equal">
      <formula>0</formula>
    </cfRule>
  </conditionalFormatting>
  <conditionalFormatting sqref="AH15:AH1048576">
    <cfRule type="cellIs" dxfId="62" priority="36" operator="equal">
      <formula>0</formula>
    </cfRule>
  </conditionalFormatting>
  <conditionalFormatting sqref="AH1:AH3">
    <cfRule type="cellIs" dxfId="61" priority="35" operator="equal">
      <formula>0</formula>
    </cfRule>
  </conditionalFormatting>
  <conditionalFormatting sqref="AH5">
    <cfRule type="cellIs" dxfId="60" priority="34" operator="equal">
      <formula>0</formula>
    </cfRule>
  </conditionalFormatting>
  <conditionalFormatting sqref="AH6">
    <cfRule type="cellIs" dxfId="59" priority="33" operator="equal">
      <formula>0</formula>
    </cfRule>
  </conditionalFormatting>
  <conditionalFormatting sqref="AH12:AH14">
    <cfRule type="cellIs" dxfId="58" priority="32" operator="equal">
      <formula>0</formula>
    </cfRule>
  </conditionalFormatting>
  <conditionalFormatting sqref="AH7:AH11">
    <cfRule type="cellIs" dxfId="57" priority="31" operator="equal">
      <formula>0</formula>
    </cfRule>
  </conditionalFormatting>
  <conditionalFormatting sqref="AI15:AI1048576">
    <cfRule type="cellIs" dxfId="56" priority="30" operator="equal">
      <formula>0</formula>
    </cfRule>
  </conditionalFormatting>
  <conditionalFormatting sqref="AI1:AI3">
    <cfRule type="cellIs" dxfId="55" priority="29" operator="equal">
      <formula>0</formula>
    </cfRule>
  </conditionalFormatting>
  <conditionalFormatting sqref="AI5">
    <cfRule type="cellIs" dxfId="54" priority="28" operator="equal">
      <formula>0</formula>
    </cfRule>
  </conditionalFormatting>
  <conditionalFormatting sqref="AI6">
    <cfRule type="cellIs" dxfId="53" priority="27" operator="equal">
      <formula>0</formula>
    </cfRule>
  </conditionalFormatting>
  <conditionalFormatting sqref="AI12:AI14">
    <cfRule type="cellIs" dxfId="52" priority="26" operator="equal">
      <formula>0</formula>
    </cfRule>
  </conditionalFormatting>
  <conditionalFormatting sqref="AI7:AI11">
    <cfRule type="cellIs" dxfId="51" priority="25" operator="equal">
      <formula>0</formula>
    </cfRule>
  </conditionalFormatting>
  <conditionalFormatting sqref="AJ15:AJ1048576">
    <cfRule type="cellIs" dxfId="50" priority="24" operator="equal">
      <formula>0</formula>
    </cfRule>
  </conditionalFormatting>
  <conditionalFormatting sqref="AJ1:AJ3">
    <cfRule type="cellIs" dxfId="49" priority="23" operator="equal">
      <formula>0</formula>
    </cfRule>
  </conditionalFormatting>
  <conditionalFormatting sqref="AJ5">
    <cfRule type="cellIs" dxfId="48" priority="22" operator="equal">
      <formula>0</formula>
    </cfRule>
  </conditionalFormatting>
  <conditionalFormatting sqref="AJ6">
    <cfRule type="cellIs" dxfId="47" priority="21" operator="equal">
      <formula>0</formula>
    </cfRule>
  </conditionalFormatting>
  <conditionalFormatting sqref="AJ12:AJ14">
    <cfRule type="cellIs" dxfId="46" priority="20" operator="equal">
      <formula>0</formula>
    </cfRule>
  </conditionalFormatting>
  <conditionalFormatting sqref="AJ7:AJ11">
    <cfRule type="cellIs" dxfId="45" priority="19" operator="equal">
      <formula>0</formula>
    </cfRule>
  </conditionalFormatting>
  <conditionalFormatting sqref="AN15:AO1048576 AN1:AO3 AY1:AY3 AY15:AY1048576">
    <cfRule type="cellIs" dxfId="44" priority="18" operator="equal">
      <formula>0</formula>
    </cfRule>
  </conditionalFormatting>
  <conditionalFormatting sqref="AN6:AO14 AY6:AY14">
    <cfRule type="cellIs" dxfId="43" priority="17" operator="equal">
      <formula>0</formula>
    </cfRule>
  </conditionalFormatting>
  <conditionalFormatting sqref="AL5:AN5">
    <cfRule type="cellIs" dxfId="42" priority="15" operator="equal">
      <formula>0</formula>
    </cfRule>
  </conditionalFormatting>
  <conditionalFormatting sqref="AV15:AX1048576 AV1:AX3">
    <cfRule type="cellIs" dxfId="41" priority="14" operator="equal">
      <formula>0</formula>
    </cfRule>
  </conditionalFormatting>
  <conditionalFormatting sqref="AV6:AX14">
    <cfRule type="cellIs" dxfId="40" priority="13" operator="equal">
      <formula>0</formula>
    </cfRule>
  </conditionalFormatting>
  <conditionalFormatting sqref="AU1:AU3 AU15:AU1048576">
    <cfRule type="cellIs" dxfId="39" priority="11" operator="equal">
      <formula>0</formula>
    </cfRule>
  </conditionalFormatting>
  <conditionalFormatting sqref="AU6:AU14">
    <cfRule type="cellIs" dxfId="38" priority="10" operator="equal">
      <formula>0</formula>
    </cfRule>
  </conditionalFormatting>
  <conditionalFormatting sqref="AU5">
    <cfRule type="cellIs" dxfId="37" priority="9" operator="equal">
      <formula>0</formula>
    </cfRule>
  </conditionalFormatting>
  <conditionalFormatting sqref="AT1:AT3 AT15:AT1048576">
    <cfRule type="cellIs" dxfId="36" priority="8" operator="equal">
      <formula>0</formula>
    </cfRule>
  </conditionalFormatting>
  <conditionalFormatting sqref="AT6:AT14">
    <cfRule type="cellIs" dxfId="35" priority="7" operator="equal">
      <formula>0</formula>
    </cfRule>
  </conditionalFormatting>
  <conditionalFormatting sqref="AQ15:AS1048576 AQ1:AS3">
    <cfRule type="cellIs" dxfId="34" priority="6" operator="equal">
      <formula>0</formula>
    </cfRule>
  </conditionalFormatting>
  <conditionalFormatting sqref="AQ6:AS14">
    <cfRule type="cellIs" dxfId="33" priority="5" operator="equal">
      <formula>0</formula>
    </cfRule>
  </conditionalFormatting>
  <conditionalFormatting sqref="AP1:AP3 AP15:AP1048576">
    <cfRule type="cellIs" dxfId="32" priority="3" operator="equal">
      <formula>0</formula>
    </cfRule>
  </conditionalFormatting>
  <conditionalFormatting sqref="AP6:AP14">
    <cfRule type="cellIs" dxfId="31" priority="2" operator="equal">
      <formula>0</formula>
    </cfRule>
  </conditionalFormatting>
  <conditionalFormatting sqref="AP5">
    <cfRule type="cellIs" dxfId="3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25"/>
  <sheetViews>
    <sheetView showZeros="0" rightToLeft="1" tabSelected="1" zoomScaleNormal="100" workbookViewId="0">
      <pane xSplit="3" ySplit="5" topLeftCell="T15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3.8"/>
  <cols>
    <col min="1" max="1" width="5.33203125" style="190" customWidth="1"/>
    <col min="2" max="2" width="5.44140625" style="189" customWidth="1"/>
    <col min="3" max="3" width="36.88671875" style="189" customWidth="1"/>
    <col min="4" max="4" width="11.6640625" style="193" hidden="1" customWidth="1"/>
    <col min="5" max="5" width="11.44140625" style="193" hidden="1" customWidth="1"/>
    <col min="6" max="6" width="9.88671875" style="193" hidden="1" customWidth="1"/>
    <col min="7" max="10" width="12.6640625" style="193" hidden="1" customWidth="1"/>
    <col min="11" max="11" width="11.33203125" style="193" hidden="1" customWidth="1"/>
    <col min="12" max="12" width="11" style="193" hidden="1" customWidth="1"/>
    <col min="13" max="13" width="10.44140625" style="193" hidden="1" customWidth="1"/>
    <col min="14" max="14" width="9.5546875" style="193" hidden="1" customWidth="1"/>
    <col min="15" max="15" width="10.6640625" style="193" hidden="1" customWidth="1"/>
    <col min="16" max="17" width="11.109375" style="193" hidden="1" customWidth="1"/>
    <col min="18" max="19" width="12" style="193" hidden="1" customWidth="1"/>
    <col min="20" max="20" width="10.33203125" style="193" customWidth="1"/>
    <col min="21" max="21" width="9.88671875" style="189" customWidth="1"/>
    <col min="22" max="22" width="8.88671875" style="189" customWidth="1"/>
    <col min="23" max="23" width="9.88671875" style="189" customWidth="1"/>
    <col min="24" max="24" width="10.109375" style="189" hidden="1" customWidth="1"/>
    <col min="25" max="25" width="9.5546875" style="189" customWidth="1"/>
    <col min="26" max="26" width="9.6640625" style="189" customWidth="1"/>
    <col min="27" max="27" width="32.6640625" style="189" hidden="1" customWidth="1"/>
    <col min="28" max="28" width="7.88671875" style="189" hidden="1" customWidth="1"/>
    <col min="29" max="39" width="12.6640625" style="189" hidden="1" customWidth="1"/>
    <col min="40" max="42" width="12.6640625" style="189" customWidth="1"/>
    <col min="43" max="43" width="10.44140625" style="189" customWidth="1"/>
    <col min="44" max="44" width="12.6640625" style="189" hidden="1" customWidth="1"/>
    <col min="45" max="45" width="9.6640625" style="189" customWidth="1"/>
    <col min="46" max="46" width="9.21875" style="189" customWidth="1"/>
    <col min="47" max="56" width="12.6640625" style="189" hidden="1" customWidth="1"/>
    <col min="57" max="57" width="9.109375" style="189"/>
    <col min="58" max="58" width="12.6640625" style="218" customWidth="1"/>
    <col min="59" max="16384" width="9.109375" style="189"/>
  </cols>
  <sheetData>
    <row r="1" spans="1:58" s="217" customFormat="1" ht="18">
      <c r="A1" s="248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AC1" s="189"/>
      <c r="AD1" s="189"/>
      <c r="AE1" s="189"/>
      <c r="AF1" s="189"/>
      <c r="AG1" s="189"/>
      <c r="AH1" s="189"/>
      <c r="AI1" s="189"/>
      <c r="AJ1" s="189"/>
      <c r="AK1" s="189"/>
      <c r="BF1" s="218"/>
    </row>
    <row r="2" spans="1:58" ht="18">
      <c r="A2" s="86" t="s">
        <v>1011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</row>
    <row r="3" spans="1:58" ht="18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</row>
    <row r="4" spans="1:58">
      <c r="A4" s="841"/>
      <c r="B4" s="842"/>
      <c r="C4" s="843"/>
      <c r="T4" s="832" t="s">
        <v>111</v>
      </c>
      <c r="U4" s="833"/>
      <c r="V4" s="833"/>
      <c r="W4" s="833"/>
      <c r="X4" s="833"/>
      <c r="Y4" s="833"/>
      <c r="Z4" s="834"/>
      <c r="AC4" s="539"/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3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8" s="218" customFormat="1" ht="86.25" customHeight="1">
      <c r="A5" s="187" t="s">
        <v>0</v>
      </c>
      <c r="B5" s="187" t="s">
        <v>1</v>
      </c>
      <c r="C5" s="187" t="s">
        <v>2</v>
      </c>
      <c r="D5" s="187" t="s">
        <v>3</v>
      </c>
      <c r="E5" s="187" t="s">
        <v>4</v>
      </c>
      <c r="F5" s="187" t="s">
        <v>5</v>
      </c>
      <c r="G5" s="187" t="s">
        <v>6</v>
      </c>
      <c r="H5" s="187" t="s">
        <v>7</v>
      </c>
      <c r="I5" s="187" t="s">
        <v>9</v>
      </c>
      <c r="J5" s="187" t="s">
        <v>215</v>
      </c>
      <c r="K5" s="187" t="s">
        <v>10</v>
      </c>
      <c r="L5" s="187" t="s">
        <v>11</v>
      </c>
      <c r="M5" s="2" t="s">
        <v>402</v>
      </c>
      <c r="N5" s="187" t="s">
        <v>403</v>
      </c>
      <c r="O5" s="187" t="s">
        <v>404</v>
      </c>
      <c r="P5" s="187" t="s">
        <v>12</v>
      </c>
      <c r="Q5" s="187" t="s">
        <v>405</v>
      </c>
      <c r="R5" s="187" t="s">
        <v>406</v>
      </c>
      <c r="S5" s="187" t="s">
        <v>407</v>
      </c>
      <c r="T5" s="187" t="s">
        <v>408</v>
      </c>
      <c r="U5" s="187" t="s">
        <v>409</v>
      </c>
      <c r="V5" s="187" t="s">
        <v>13</v>
      </c>
      <c r="W5" s="187" t="s">
        <v>14</v>
      </c>
      <c r="X5" s="187" t="s">
        <v>15</v>
      </c>
      <c r="Y5" s="187" t="s">
        <v>354</v>
      </c>
      <c r="Z5" s="187" t="s">
        <v>105</v>
      </c>
      <c r="AA5" s="517" t="s">
        <v>410</v>
      </c>
      <c r="AB5" s="187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</row>
    <row r="6" spans="1:58" s="196" customFormat="1" ht="18.75" customHeight="1">
      <c r="A6" s="197"/>
      <c r="B6" s="197"/>
      <c r="C6" s="197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>
        <f t="shared" ref="O6:O23" si="0">D6-L6-M6-N6</f>
        <v>0</v>
      </c>
      <c r="P6" s="172"/>
      <c r="Q6" s="172"/>
      <c r="R6" s="172"/>
      <c r="S6" s="172"/>
      <c r="T6" s="172">
        <f>P6-M6+R6</f>
        <v>0</v>
      </c>
      <c r="U6" s="172">
        <f t="shared" ref="U6:U23" si="1">N6-T6</f>
        <v>0</v>
      </c>
      <c r="V6" s="172"/>
      <c r="W6" s="172"/>
      <c r="X6" s="172"/>
      <c r="Y6" s="172"/>
      <c r="Z6" s="197"/>
      <c r="AA6" s="197"/>
      <c r="AB6" s="197"/>
      <c r="AC6" s="538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97"/>
      <c r="AQ6" s="172"/>
      <c r="AR6" s="172"/>
      <c r="AS6" s="197"/>
      <c r="AT6" s="197"/>
      <c r="AU6" s="172"/>
      <c r="AV6" s="172"/>
      <c r="AW6" s="197"/>
      <c r="AX6" s="197"/>
      <c r="AY6" s="197"/>
      <c r="AZ6" s="172"/>
      <c r="BA6" s="172"/>
      <c r="BB6" s="197"/>
      <c r="BC6" s="197"/>
      <c r="BD6" s="197"/>
      <c r="BF6" s="218"/>
    </row>
    <row r="7" spans="1:58" s="196" customFormat="1" ht="19.95" customHeight="1">
      <c r="A7" s="197">
        <f>1+A6</f>
        <v>1</v>
      </c>
      <c r="B7" s="197">
        <v>470</v>
      </c>
      <c r="C7" s="197" t="s">
        <v>82</v>
      </c>
      <c r="D7" s="172">
        <v>1830000</v>
      </c>
      <c r="E7" s="172">
        <v>1830000</v>
      </c>
      <c r="F7" s="172">
        <f t="shared" ref="F7:F23" si="2">D7-E7</f>
        <v>0</v>
      </c>
      <c r="G7" s="172">
        <v>1630000</v>
      </c>
      <c r="H7" s="172">
        <v>1567821.93</v>
      </c>
      <c r="I7" s="172"/>
      <c r="J7" s="172"/>
      <c r="K7" s="172">
        <f t="shared" ref="K7:K23" si="3">SUM(I7:J7)</f>
        <v>0</v>
      </c>
      <c r="L7" s="172">
        <f t="shared" ref="L7:L23" si="4">H7+K7</f>
        <v>1567821.93</v>
      </c>
      <c r="M7" s="172">
        <f t="shared" ref="M7:M23" si="5">P7+S7</f>
        <v>62178.070000000065</v>
      </c>
      <c r="N7" s="172">
        <v>200000</v>
      </c>
      <c r="O7" s="172">
        <f t="shared" si="0"/>
        <v>0</v>
      </c>
      <c r="P7" s="172">
        <f t="shared" ref="P7:P23" si="6">G7-L7</f>
        <v>62178.070000000065</v>
      </c>
      <c r="Q7" s="172"/>
      <c r="R7" s="172"/>
      <c r="S7" s="172">
        <f t="shared" ref="S7:S23" si="7">SUM(Q7:R7)</f>
        <v>0</v>
      </c>
      <c r="T7" s="172">
        <f t="shared" ref="T7:T23" si="8">P7-M7+S7</f>
        <v>0</v>
      </c>
      <c r="U7" s="172">
        <f t="shared" si="1"/>
        <v>200000</v>
      </c>
      <c r="V7" s="172">
        <f t="shared" ref="V7:V23" si="9">U7-W7-Y7-Z7</f>
        <v>200000</v>
      </c>
      <c r="W7" s="172"/>
      <c r="X7" s="172"/>
      <c r="Y7" s="172"/>
      <c r="Z7" s="197"/>
      <c r="AA7" s="388" t="s">
        <v>579</v>
      </c>
      <c r="AB7" s="197">
        <v>935000</v>
      </c>
      <c r="AC7" s="538"/>
      <c r="AD7" s="172">
        <v>200000</v>
      </c>
      <c r="AE7" s="172"/>
      <c r="AF7" s="172"/>
      <c r="AG7" s="172"/>
      <c r="AH7" s="172"/>
      <c r="AI7" s="172"/>
      <c r="AJ7" s="172"/>
      <c r="AK7" s="172"/>
      <c r="AL7" s="172">
        <f>SUM(AC7:AK7)</f>
        <v>200000</v>
      </c>
      <c r="AM7" s="172"/>
      <c r="AN7" s="172">
        <f>AL7+AM7</f>
        <v>200000</v>
      </c>
      <c r="AO7" s="172">
        <f>U7-AN7</f>
        <v>0</v>
      </c>
      <c r="AP7" s="172">
        <f>AN7-AQ7-AR7-AS7-AT7</f>
        <v>200000</v>
      </c>
      <c r="AQ7" s="172"/>
      <c r="AR7" s="172"/>
      <c r="AS7" s="197"/>
      <c r="AT7" s="197"/>
      <c r="AU7" s="172">
        <f>AM7-AV7-AW7-AX7-AY7</f>
        <v>0</v>
      </c>
      <c r="AV7" s="172"/>
      <c r="AW7" s="197"/>
      <c r="AX7" s="197"/>
      <c r="AY7" s="197"/>
      <c r="AZ7" s="172">
        <f>AO7-BA7-BB7-BC7-BD7</f>
        <v>0</v>
      </c>
      <c r="BA7" s="172"/>
      <c r="BB7" s="197"/>
      <c r="BC7" s="197"/>
      <c r="BD7" s="197"/>
      <c r="BF7" s="218"/>
    </row>
    <row r="8" spans="1:58" s="196" customFormat="1" ht="19.95" customHeight="1">
      <c r="A8" s="197">
        <f t="shared" ref="A8:A23" si="10">1+A7</f>
        <v>2</v>
      </c>
      <c r="B8" s="197">
        <v>649</v>
      </c>
      <c r="C8" s="197" t="s">
        <v>816</v>
      </c>
      <c r="D8" s="172">
        <v>70000</v>
      </c>
      <c r="E8" s="172">
        <v>70000</v>
      </c>
      <c r="F8" s="172">
        <f t="shared" si="2"/>
        <v>0</v>
      </c>
      <c r="G8" s="172">
        <v>70000</v>
      </c>
      <c r="H8" s="172">
        <v>43111.48</v>
      </c>
      <c r="I8" s="172"/>
      <c r="J8" s="172"/>
      <c r="K8" s="172">
        <f t="shared" si="3"/>
        <v>0</v>
      </c>
      <c r="L8" s="172">
        <f t="shared" si="4"/>
        <v>43111.48</v>
      </c>
      <c r="M8" s="172">
        <f t="shared" si="5"/>
        <v>26888.519999999997</v>
      </c>
      <c r="N8" s="172"/>
      <c r="O8" s="172">
        <f t="shared" si="0"/>
        <v>0</v>
      </c>
      <c r="P8" s="172">
        <f t="shared" si="6"/>
        <v>26888.519999999997</v>
      </c>
      <c r="Q8" s="172"/>
      <c r="R8" s="172"/>
      <c r="S8" s="172">
        <f t="shared" si="7"/>
        <v>0</v>
      </c>
      <c r="T8" s="172">
        <f t="shared" si="8"/>
        <v>0</v>
      </c>
      <c r="U8" s="172">
        <f t="shared" si="1"/>
        <v>0</v>
      </c>
      <c r="V8" s="172">
        <f t="shared" si="9"/>
        <v>0</v>
      </c>
      <c r="W8" s="172"/>
      <c r="X8" s="172"/>
      <c r="Y8" s="172"/>
      <c r="Z8" s="197"/>
      <c r="AA8" s="197" t="s">
        <v>648</v>
      </c>
      <c r="AB8" s="197">
        <v>930000</v>
      </c>
      <c r="AC8" s="538"/>
      <c r="AD8" s="172"/>
      <c r="AE8" s="172"/>
      <c r="AF8" s="172"/>
      <c r="AG8" s="172"/>
      <c r="AH8" s="172"/>
      <c r="AI8" s="172"/>
      <c r="AJ8" s="172"/>
      <c r="AK8" s="172"/>
      <c r="AL8" s="172">
        <f t="shared" ref="AL8:AL23" si="11">SUM(AC8:AK8)</f>
        <v>0</v>
      </c>
      <c r="AM8" s="172"/>
      <c r="AN8" s="172">
        <f t="shared" ref="AN8:AN23" si="12">AL8+AM8</f>
        <v>0</v>
      </c>
      <c r="AO8" s="172">
        <f t="shared" ref="AO8:AO23" si="13">U8-AN8</f>
        <v>0</v>
      </c>
      <c r="AP8" s="172">
        <f t="shared" ref="AP8:AP23" si="14">AN8-AQ8-AR8-AS8-AT8</f>
        <v>0</v>
      </c>
      <c r="AQ8" s="172"/>
      <c r="AR8" s="172"/>
      <c r="AS8" s="197"/>
      <c r="AT8" s="197"/>
      <c r="AU8" s="172">
        <f t="shared" ref="AU8:AU23" si="15">AM8-AV8-AW8-AX8-AY8</f>
        <v>0</v>
      </c>
      <c r="AV8" s="172"/>
      <c r="AW8" s="197"/>
      <c r="AX8" s="197"/>
      <c r="AY8" s="197"/>
      <c r="AZ8" s="172">
        <f t="shared" ref="AZ8:AZ23" si="16">AO8-BA8-BB8-BC8-BD8</f>
        <v>0</v>
      </c>
      <c r="BA8" s="172"/>
      <c r="BB8" s="197"/>
      <c r="BC8" s="197"/>
      <c r="BD8" s="197"/>
      <c r="BF8" s="218"/>
    </row>
    <row r="9" spans="1:58" s="196" customFormat="1" ht="19.95" customHeight="1">
      <c r="A9" s="197">
        <f t="shared" si="10"/>
        <v>3</v>
      </c>
      <c r="B9" s="197">
        <v>1066</v>
      </c>
      <c r="C9" s="197" t="s">
        <v>83</v>
      </c>
      <c r="D9" s="172">
        <v>75000</v>
      </c>
      <c r="E9" s="172">
        <v>75000</v>
      </c>
      <c r="F9" s="172">
        <f t="shared" si="2"/>
        <v>0</v>
      </c>
      <c r="G9" s="172">
        <v>75000</v>
      </c>
      <c r="H9" s="172">
        <v>40172</v>
      </c>
      <c r="I9" s="172"/>
      <c r="J9" s="172"/>
      <c r="K9" s="172">
        <f t="shared" si="3"/>
        <v>0</v>
      </c>
      <c r="L9" s="172">
        <f t="shared" si="4"/>
        <v>40172</v>
      </c>
      <c r="M9" s="172">
        <f t="shared" si="5"/>
        <v>34828</v>
      </c>
      <c r="N9" s="172"/>
      <c r="O9" s="172">
        <f t="shared" si="0"/>
        <v>0</v>
      </c>
      <c r="P9" s="172">
        <f t="shared" si="6"/>
        <v>34828</v>
      </c>
      <c r="Q9" s="172"/>
      <c r="R9" s="172"/>
      <c r="S9" s="172">
        <f t="shared" si="7"/>
        <v>0</v>
      </c>
      <c r="T9" s="172">
        <f t="shared" si="8"/>
        <v>0</v>
      </c>
      <c r="U9" s="172">
        <f t="shared" si="1"/>
        <v>0</v>
      </c>
      <c r="V9" s="172">
        <f t="shared" si="9"/>
        <v>0</v>
      </c>
      <c r="W9" s="172"/>
      <c r="X9" s="172"/>
      <c r="Y9" s="172"/>
      <c r="Z9" s="197"/>
      <c r="AA9" s="197" t="s">
        <v>649</v>
      </c>
      <c r="AB9" s="197">
        <v>935000</v>
      </c>
      <c r="AC9" s="538"/>
      <c r="AD9" s="172"/>
      <c r="AE9" s="172"/>
      <c r="AF9" s="172"/>
      <c r="AG9" s="172"/>
      <c r="AH9" s="172"/>
      <c r="AI9" s="172"/>
      <c r="AJ9" s="172"/>
      <c r="AK9" s="172"/>
      <c r="AL9" s="172">
        <f t="shared" si="11"/>
        <v>0</v>
      </c>
      <c r="AM9" s="172"/>
      <c r="AN9" s="172">
        <f t="shared" si="12"/>
        <v>0</v>
      </c>
      <c r="AO9" s="172">
        <f t="shared" si="13"/>
        <v>0</v>
      </c>
      <c r="AP9" s="172">
        <f t="shared" si="14"/>
        <v>0</v>
      </c>
      <c r="AQ9" s="172"/>
      <c r="AR9" s="172"/>
      <c r="AS9" s="197"/>
      <c r="AT9" s="197"/>
      <c r="AU9" s="172">
        <f t="shared" si="15"/>
        <v>0</v>
      </c>
      <c r="AV9" s="172"/>
      <c r="AW9" s="197"/>
      <c r="AX9" s="197"/>
      <c r="AY9" s="197"/>
      <c r="AZ9" s="172">
        <f t="shared" si="16"/>
        <v>0</v>
      </c>
      <c r="BA9" s="172"/>
      <c r="BB9" s="197"/>
      <c r="BC9" s="197"/>
      <c r="BD9" s="197"/>
      <c r="BF9" s="218"/>
    </row>
    <row r="10" spans="1:58" s="196" customFormat="1" ht="19.95" customHeight="1">
      <c r="A10" s="197">
        <f t="shared" si="10"/>
        <v>4</v>
      </c>
      <c r="B10" s="197">
        <v>1177</v>
      </c>
      <c r="C10" s="197" t="s">
        <v>84</v>
      </c>
      <c r="D10" s="172">
        <v>41850000</v>
      </c>
      <c r="E10" s="172">
        <v>41850000</v>
      </c>
      <c r="F10" s="172">
        <f t="shared" si="2"/>
        <v>0</v>
      </c>
      <c r="G10" s="172">
        <v>28957000</v>
      </c>
      <c r="H10" s="172">
        <v>26727455.199999999</v>
      </c>
      <c r="I10" s="172"/>
      <c r="J10" s="172"/>
      <c r="K10" s="172">
        <f t="shared" si="3"/>
        <v>0</v>
      </c>
      <c r="L10" s="172">
        <f t="shared" si="4"/>
        <v>26727455.199999999</v>
      </c>
      <c r="M10" s="172">
        <f t="shared" si="5"/>
        <v>2229544.8000000007</v>
      </c>
      <c r="N10" s="172"/>
      <c r="O10" s="172">
        <f t="shared" si="0"/>
        <v>12893000</v>
      </c>
      <c r="P10" s="172">
        <f t="shared" si="6"/>
        <v>2229544.8000000007</v>
      </c>
      <c r="Q10" s="172"/>
      <c r="R10" s="172"/>
      <c r="S10" s="172">
        <f t="shared" si="7"/>
        <v>0</v>
      </c>
      <c r="T10" s="172">
        <f t="shared" si="8"/>
        <v>0</v>
      </c>
      <c r="U10" s="172">
        <f t="shared" si="1"/>
        <v>0</v>
      </c>
      <c r="V10" s="172">
        <f t="shared" si="9"/>
        <v>0</v>
      </c>
      <c r="W10" s="172"/>
      <c r="X10" s="172"/>
      <c r="Y10" s="172"/>
      <c r="Z10" s="197"/>
      <c r="AA10" s="197" t="s">
        <v>650</v>
      </c>
      <c r="AB10" s="197">
        <v>930000</v>
      </c>
      <c r="AC10" s="538"/>
      <c r="AD10" s="172"/>
      <c r="AE10" s="172"/>
      <c r="AF10" s="172"/>
      <c r="AG10" s="172"/>
      <c r="AH10" s="172"/>
      <c r="AI10" s="172"/>
      <c r="AJ10" s="172"/>
      <c r="AK10" s="172"/>
      <c r="AL10" s="172">
        <f t="shared" si="11"/>
        <v>0</v>
      </c>
      <c r="AM10" s="172"/>
      <c r="AN10" s="172">
        <f t="shared" si="12"/>
        <v>0</v>
      </c>
      <c r="AO10" s="172">
        <f t="shared" si="13"/>
        <v>0</v>
      </c>
      <c r="AP10" s="172">
        <f t="shared" si="14"/>
        <v>0</v>
      </c>
      <c r="AQ10" s="172"/>
      <c r="AR10" s="172"/>
      <c r="AS10" s="197"/>
      <c r="AT10" s="197"/>
      <c r="AU10" s="172">
        <f t="shared" si="15"/>
        <v>0</v>
      </c>
      <c r="AV10" s="172"/>
      <c r="AW10" s="197"/>
      <c r="AX10" s="197"/>
      <c r="AY10" s="197"/>
      <c r="AZ10" s="172">
        <f t="shared" si="16"/>
        <v>0</v>
      </c>
      <c r="BA10" s="172"/>
      <c r="BB10" s="197"/>
      <c r="BC10" s="197"/>
      <c r="BD10" s="197"/>
      <c r="BF10" s="218"/>
    </row>
    <row r="11" spans="1:58" s="196" customFormat="1" ht="19.95" customHeight="1">
      <c r="A11" s="197">
        <f t="shared" si="10"/>
        <v>5</v>
      </c>
      <c r="B11" s="197">
        <v>1258</v>
      </c>
      <c r="C11" s="197" t="s">
        <v>85</v>
      </c>
      <c r="D11" s="172">
        <v>1400000</v>
      </c>
      <c r="E11" s="172">
        <v>1400000</v>
      </c>
      <c r="F11" s="172">
        <f t="shared" si="2"/>
        <v>0</v>
      </c>
      <c r="G11" s="172">
        <v>900000</v>
      </c>
      <c r="H11" s="172">
        <v>862669.34</v>
      </c>
      <c r="I11" s="172"/>
      <c r="J11" s="172"/>
      <c r="K11" s="172">
        <f t="shared" si="3"/>
        <v>0</v>
      </c>
      <c r="L11" s="172">
        <f t="shared" si="4"/>
        <v>862669.34</v>
      </c>
      <c r="M11" s="172">
        <f t="shared" si="5"/>
        <v>37330.660000000033</v>
      </c>
      <c r="N11" s="172">
        <v>50000</v>
      </c>
      <c r="O11" s="172">
        <f t="shared" si="0"/>
        <v>450000</v>
      </c>
      <c r="P11" s="172">
        <f t="shared" si="6"/>
        <v>37330.660000000033</v>
      </c>
      <c r="Q11" s="172"/>
      <c r="R11" s="172"/>
      <c r="S11" s="172">
        <f t="shared" si="7"/>
        <v>0</v>
      </c>
      <c r="T11" s="172">
        <f t="shared" si="8"/>
        <v>0</v>
      </c>
      <c r="U11" s="172">
        <f t="shared" si="1"/>
        <v>50000</v>
      </c>
      <c r="V11" s="172">
        <f t="shared" si="9"/>
        <v>50000</v>
      </c>
      <c r="W11" s="172"/>
      <c r="X11" s="172"/>
      <c r="Y11" s="172"/>
      <c r="Z11" s="197"/>
      <c r="AA11" s="320" t="s">
        <v>396</v>
      </c>
      <c r="AB11" s="197">
        <v>930000</v>
      </c>
      <c r="AC11" s="538"/>
      <c r="AD11" s="172"/>
      <c r="AE11" s="172"/>
      <c r="AF11" s="172"/>
      <c r="AG11" s="172"/>
      <c r="AH11" s="172"/>
      <c r="AI11" s="172"/>
      <c r="AJ11" s="172"/>
      <c r="AK11" s="172">
        <v>50000</v>
      </c>
      <c r="AL11" s="172">
        <f t="shared" si="11"/>
        <v>50000</v>
      </c>
      <c r="AM11" s="172"/>
      <c r="AN11" s="172">
        <f t="shared" si="12"/>
        <v>50000</v>
      </c>
      <c r="AO11" s="172">
        <f t="shared" si="13"/>
        <v>0</v>
      </c>
      <c r="AP11" s="172">
        <f t="shared" si="14"/>
        <v>50000</v>
      </c>
      <c r="AQ11" s="172"/>
      <c r="AR11" s="172"/>
      <c r="AS11" s="197"/>
      <c r="AT11" s="197"/>
      <c r="AU11" s="172">
        <f t="shared" si="15"/>
        <v>0</v>
      </c>
      <c r="AV11" s="172"/>
      <c r="AW11" s="197"/>
      <c r="AX11" s="197"/>
      <c r="AY11" s="197"/>
      <c r="AZ11" s="172">
        <f t="shared" si="16"/>
        <v>0</v>
      </c>
      <c r="BA11" s="172"/>
      <c r="BB11" s="197"/>
      <c r="BC11" s="197"/>
      <c r="BD11" s="197"/>
      <c r="BF11" s="218"/>
    </row>
    <row r="12" spans="1:58" s="196" customFormat="1" ht="19.95" customHeight="1">
      <c r="A12" s="197">
        <f t="shared" si="10"/>
        <v>6</v>
      </c>
      <c r="B12" s="197">
        <v>1330</v>
      </c>
      <c r="C12" s="197" t="s">
        <v>86</v>
      </c>
      <c r="D12" s="172">
        <v>60700000</v>
      </c>
      <c r="E12" s="172">
        <v>60700000</v>
      </c>
      <c r="F12" s="172">
        <f t="shared" si="2"/>
        <v>0</v>
      </c>
      <c r="G12" s="172">
        <v>17249825</v>
      </c>
      <c r="H12" s="172">
        <v>6279465.6299999999</v>
      </c>
      <c r="I12" s="172"/>
      <c r="J12" s="172">
        <v>6107</v>
      </c>
      <c r="K12" s="172">
        <f t="shared" si="3"/>
        <v>6107</v>
      </c>
      <c r="L12" s="172">
        <f t="shared" si="4"/>
        <v>6285572.6299999999</v>
      </c>
      <c r="M12" s="172">
        <f t="shared" si="5"/>
        <v>10964252.370000001</v>
      </c>
      <c r="N12" s="172"/>
      <c r="O12" s="172">
        <f t="shared" si="0"/>
        <v>43450175</v>
      </c>
      <c r="P12" s="172">
        <f t="shared" si="6"/>
        <v>10964252.370000001</v>
      </c>
      <c r="Q12" s="172"/>
      <c r="R12" s="172"/>
      <c r="S12" s="172">
        <f t="shared" si="7"/>
        <v>0</v>
      </c>
      <c r="T12" s="172">
        <f t="shared" si="8"/>
        <v>0</v>
      </c>
      <c r="U12" s="172">
        <f t="shared" si="1"/>
        <v>0</v>
      </c>
      <c r="V12" s="172">
        <f t="shared" si="9"/>
        <v>0</v>
      </c>
      <c r="W12" s="172"/>
      <c r="X12" s="172"/>
      <c r="Y12" s="172"/>
      <c r="Z12" s="197"/>
      <c r="AA12" s="197" t="s">
        <v>651</v>
      </c>
      <c r="AB12" s="197">
        <v>930000</v>
      </c>
      <c r="AC12" s="538"/>
      <c r="AD12" s="172"/>
      <c r="AE12" s="172"/>
      <c r="AF12" s="172"/>
      <c r="AG12" s="172"/>
      <c r="AH12" s="172"/>
      <c r="AI12" s="172"/>
      <c r="AJ12" s="172"/>
      <c r="AK12" s="172"/>
      <c r="AL12" s="172">
        <f t="shared" si="11"/>
        <v>0</v>
      </c>
      <c r="AM12" s="172"/>
      <c r="AN12" s="172">
        <f t="shared" si="12"/>
        <v>0</v>
      </c>
      <c r="AO12" s="172">
        <f t="shared" si="13"/>
        <v>0</v>
      </c>
      <c r="AP12" s="172">
        <f t="shared" si="14"/>
        <v>0</v>
      </c>
      <c r="AQ12" s="172"/>
      <c r="AR12" s="172"/>
      <c r="AS12" s="197"/>
      <c r="AT12" s="197"/>
      <c r="AU12" s="172">
        <f t="shared" si="15"/>
        <v>0</v>
      </c>
      <c r="AV12" s="172"/>
      <c r="AW12" s="197"/>
      <c r="AX12" s="197"/>
      <c r="AY12" s="197"/>
      <c r="AZ12" s="172">
        <f t="shared" si="16"/>
        <v>0</v>
      </c>
      <c r="BA12" s="172"/>
      <c r="BB12" s="197"/>
      <c r="BC12" s="197"/>
      <c r="BD12" s="197"/>
      <c r="BF12" s="218"/>
    </row>
    <row r="13" spans="1:58" s="196" customFormat="1" ht="19.95" customHeight="1">
      <c r="A13" s="197">
        <f t="shared" si="10"/>
        <v>7</v>
      </c>
      <c r="B13" s="197">
        <v>1369</v>
      </c>
      <c r="C13" s="197" t="s">
        <v>87</v>
      </c>
      <c r="D13" s="172">
        <f>1100700+2899300</f>
        <v>4000000</v>
      </c>
      <c r="E13" s="172">
        <v>1100700</v>
      </c>
      <c r="F13" s="172">
        <f t="shared" si="2"/>
        <v>2899300</v>
      </c>
      <c r="G13" s="172">
        <v>570700</v>
      </c>
      <c r="H13" s="172">
        <v>552097</v>
      </c>
      <c r="I13" s="172"/>
      <c r="J13" s="172"/>
      <c r="K13" s="172">
        <f t="shared" si="3"/>
        <v>0</v>
      </c>
      <c r="L13" s="172">
        <f t="shared" si="4"/>
        <v>552097</v>
      </c>
      <c r="M13" s="172">
        <f t="shared" si="5"/>
        <v>18603</v>
      </c>
      <c r="N13" s="172">
        <v>3429300</v>
      </c>
      <c r="O13" s="172">
        <f t="shared" si="0"/>
        <v>0</v>
      </c>
      <c r="P13" s="172">
        <f t="shared" si="6"/>
        <v>18603</v>
      </c>
      <c r="Q13" s="172"/>
      <c r="R13" s="172"/>
      <c r="S13" s="172">
        <f t="shared" si="7"/>
        <v>0</v>
      </c>
      <c r="T13" s="172">
        <f t="shared" si="8"/>
        <v>0</v>
      </c>
      <c r="U13" s="172">
        <f t="shared" si="1"/>
        <v>3429300</v>
      </c>
      <c r="V13" s="172">
        <f t="shared" si="9"/>
        <v>3429300</v>
      </c>
      <c r="W13" s="172"/>
      <c r="X13" s="172"/>
      <c r="Y13" s="172"/>
      <c r="Z13" s="197"/>
      <c r="AA13" s="388" t="s">
        <v>580</v>
      </c>
      <c r="AB13" s="197">
        <v>930000</v>
      </c>
      <c r="AC13" s="538"/>
      <c r="AD13" s="172"/>
      <c r="AE13" s="172"/>
      <c r="AF13" s="172"/>
      <c r="AG13" s="172"/>
      <c r="AH13" s="172">
        <v>900000</v>
      </c>
      <c r="AI13" s="172">
        <v>200000</v>
      </c>
      <c r="AJ13" s="172"/>
      <c r="AK13" s="172"/>
      <c r="AL13" s="172">
        <f t="shared" si="11"/>
        <v>1100000</v>
      </c>
      <c r="AM13" s="172"/>
      <c r="AN13" s="172">
        <f t="shared" si="12"/>
        <v>1100000</v>
      </c>
      <c r="AO13" s="172">
        <f t="shared" si="13"/>
        <v>2329300</v>
      </c>
      <c r="AP13" s="172">
        <f t="shared" si="14"/>
        <v>1100000</v>
      </c>
      <c r="AQ13" s="172"/>
      <c r="AR13" s="172"/>
      <c r="AS13" s="197"/>
      <c r="AT13" s="197"/>
      <c r="AU13" s="172">
        <f t="shared" si="15"/>
        <v>0</v>
      </c>
      <c r="AV13" s="172"/>
      <c r="AW13" s="197"/>
      <c r="AX13" s="197"/>
      <c r="AY13" s="197"/>
      <c r="AZ13" s="172">
        <f t="shared" si="16"/>
        <v>2329300</v>
      </c>
      <c r="BA13" s="172"/>
      <c r="BB13" s="197"/>
      <c r="BC13" s="197"/>
      <c r="BD13" s="197"/>
      <c r="BF13" s="218"/>
    </row>
    <row r="14" spans="1:58" s="196" customFormat="1" ht="19.95" customHeight="1">
      <c r="A14" s="197">
        <f t="shared" si="10"/>
        <v>8</v>
      </c>
      <c r="B14" s="197">
        <v>1704</v>
      </c>
      <c r="C14" s="197" t="s">
        <v>88</v>
      </c>
      <c r="D14" s="172">
        <v>5784000</v>
      </c>
      <c r="E14" s="172">
        <v>5784000</v>
      </c>
      <c r="F14" s="172">
        <f t="shared" si="2"/>
        <v>0</v>
      </c>
      <c r="G14" s="172">
        <v>40000</v>
      </c>
      <c r="H14" s="172">
        <v>29996.73</v>
      </c>
      <c r="I14" s="172"/>
      <c r="J14" s="172"/>
      <c r="K14" s="172">
        <f t="shared" si="3"/>
        <v>0</v>
      </c>
      <c r="L14" s="172">
        <f t="shared" si="4"/>
        <v>29996.73</v>
      </c>
      <c r="M14" s="172">
        <f t="shared" si="5"/>
        <v>10003.27</v>
      </c>
      <c r="N14" s="172">
        <v>1540000</v>
      </c>
      <c r="O14" s="172">
        <f t="shared" si="0"/>
        <v>4204000</v>
      </c>
      <c r="P14" s="172">
        <f t="shared" si="6"/>
        <v>10003.27</v>
      </c>
      <c r="Q14" s="172"/>
      <c r="R14" s="172"/>
      <c r="S14" s="172">
        <f t="shared" si="7"/>
        <v>0</v>
      </c>
      <c r="T14" s="172">
        <f t="shared" si="8"/>
        <v>0</v>
      </c>
      <c r="U14" s="172">
        <f t="shared" si="1"/>
        <v>1540000</v>
      </c>
      <c r="V14" s="172">
        <f t="shared" si="9"/>
        <v>1540000</v>
      </c>
      <c r="W14" s="172"/>
      <c r="X14" s="172"/>
      <c r="Y14" s="172"/>
      <c r="Z14" s="197"/>
      <c r="AA14" s="320" t="s">
        <v>581</v>
      </c>
      <c r="AB14" s="197">
        <v>930000</v>
      </c>
      <c r="AC14" s="538"/>
      <c r="AD14" s="538"/>
      <c r="AE14" s="538"/>
      <c r="AF14" s="538"/>
      <c r="AG14" s="538"/>
      <c r="AH14" s="538"/>
      <c r="AI14" s="538"/>
      <c r="AJ14" s="538"/>
      <c r="AK14" s="538"/>
      <c r="AL14" s="486">
        <f t="shared" si="11"/>
        <v>0</v>
      </c>
      <c r="AM14" s="172"/>
      <c r="AN14" s="172">
        <f t="shared" si="12"/>
        <v>0</v>
      </c>
      <c r="AO14" s="172">
        <f t="shared" si="13"/>
        <v>1540000</v>
      </c>
      <c r="AP14" s="172">
        <f t="shared" si="14"/>
        <v>0</v>
      </c>
      <c r="AQ14" s="172"/>
      <c r="AR14" s="172"/>
      <c r="AS14" s="197"/>
      <c r="AT14" s="197"/>
      <c r="AU14" s="172">
        <f t="shared" si="15"/>
        <v>0</v>
      </c>
      <c r="AV14" s="172"/>
      <c r="AW14" s="197"/>
      <c r="AX14" s="197"/>
      <c r="AY14" s="197"/>
      <c r="AZ14" s="172">
        <f t="shared" si="16"/>
        <v>1540000</v>
      </c>
      <c r="BA14" s="172"/>
      <c r="BB14" s="197"/>
      <c r="BC14" s="197"/>
      <c r="BD14" s="197"/>
      <c r="BF14" s="218"/>
    </row>
    <row r="15" spans="1:58" s="196" customFormat="1" ht="19.95" customHeight="1">
      <c r="A15" s="197">
        <f t="shared" si="10"/>
        <v>9</v>
      </c>
      <c r="B15" s="197">
        <v>1791</v>
      </c>
      <c r="C15" s="197" t="s">
        <v>89</v>
      </c>
      <c r="D15" s="172">
        <v>570000</v>
      </c>
      <c r="E15" s="172">
        <v>570000</v>
      </c>
      <c r="F15" s="172">
        <f t="shared" si="2"/>
        <v>0</v>
      </c>
      <c r="G15" s="172">
        <v>500000</v>
      </c>
      <c r="H15" s="172">
        <v>404150</v>
      </c>
      <c r="I15" s="172"/>
      <c r="J15" s="172"/>
      <c r="K15" s="172">
        <f t="shared" si="3"/>
        <v>0</v>
      </c>
      <c r="L15" s="172">
        <f t="shared" si="4"/>
        <v>404150</v>
      </c>
      <c r="M15" s="172">
        <f t="shared" si="5"/>
        <v>95850</v>
      </c>
      <c r="N15" s="172"/>
      <c r="O15" s="172">
        <f t="shared" si="0"/>
        <v>70000</v>
      </c>
      <c r="P15" s="172">
        <f t="shared" si="6"/>
        <v>95850</v>
      </c>
      <c r="Q15" s="172"/>
      <c r="R15" s="172"/>
      <c r="S15" s="172">
        <f t="shared" si="7"/>
        <v>0</v>
      </c>
      <c r="T15" s="172">
        <f t="shared" si="8"/>
        <v>0</v>
      </c>
      <c r="U15" s="172">
        <f t="shared" si="1"/>
        <v>0</v>
      </c>
      <c r="V15" s="172">
        <f t="shared" si="9"/>
        <v>0</v>
      </c>
      <c r="W15" s="172"/>
      <c r="X15" s="172"/>
      <c r="Y15" s="172"/>
      <c r="Z15" s="197"/>
      <c r="AA15" s="197" t="s">
        <v>652</v>
      </c>
      <c r="AB15" s="197">
        <v>930000</v>
      </c>
      <c r="AC15" s="538"/>
      <c r="AD15" s="172"/>
      <c r="AE15" s="172"/>
      <c r="AF15" s="172"/>
      <c r="AG15" s="172"/>
      <c r="AH15" s="172"/>
      <c r="AI15" s="172"/>
      <c r="AJ15" s="172"/>
      <c r="AK15" s="172"/>
      <c r="AL15" s="172">
        <f t="shared" si="11"/>
        <v>0</v>
      </c>
      <c r="AM15" s="172"/>
      <c r="AN15" s="172">
        <f t="shared" si="12"/>
        <v>0</v>
      </c>
      <c r="AO15" s="172">
        <f t="shared" si="13"/>
        <v>0</v>
      </c>
      <c r="AP15" s="172">
        <f t="shared" si="14"/>
        <v>0</v>
      </c>
      <c r="AQ15" s="172"/>
      <c r="AR15" s="172"/>
      <c r="AS15" s="197"/>
      <c r="AT15" s="197"/>
      <c r="AU15" s="172">
        <f t="shared" si="15"/>
        <v>0</v>
      </c>
      <c r="AV15" s="172"/>
      <c r="AW15" s="197"/>
      <c r="AX15" s="197"/>
      <c r="AY15" s="197"/>
      <c r="AZ15" s="172">
        <f t="shared" si="16"/>
        <v>0</v>
      </c>
      <c r="BA15" s="172"/>
      <c r="BB15" s="197"/>
      <c r="BC15" s="197"/>
      <c r="BD15" s="197"/>
      <c r="BF15" s="218"/>
    </row>
    <row r="16" spans="1:58" s="196" customFormat="1" ht="19.95" customHeight="1">
      <c r="A16" s="197">
        <f t="shared" si="10"/>
        <v>10</v>
      </c>
      <c r="B16" s="197">
        <v>1801</v>
      </c>
      <c r="C16" s="197" t="s">
        <v>144</v>
      </c>
      <c r="D16" s="172">
        <v>36000000</v>
      </c>
      <c r="E16" s="172">
        <v>36000000</v>
      </c>
      <c r="F16" s="172">
        <f t="shared" si="2"/>
        <v>0</v>
      </c>
      <c r="G16" s="172">
        <v>36000000</v>
      </c>
      <c r="H16" s="172">
        <v>30403082.890000001</v>
      </c>
      <c r="I16" s="172"/>
      <c r="J16" s="172"/>
      <c r="K16" s="172">
        <f t="shared" si="3"/>
        <v>0</v>
      </c>
      <c r="L16" s="172">
        <f t="shared" si="4"/>
        <v>30403082.890000001</v>
      </c>
      <c r="M16" s="172">
        <f t="shared" si="5"/>
        <v>5596917.1099999994</v>
      </c>
      <c r="N16" s="172"/>
      <c r="O16" s="172">
        <f t="shared" si="0"/>
        <v>0</v>
      </c>
      <c r="P16" s="172">
        <f t="shared" si="6"/>
        <v>5596917.1099999994</v>
      </c>
      <c r="Q16" s="172"/>
      <c r="R16" s="172"/>
      <c r="S16" s="172">
        <f t="shared" si="7"/>
        <v>0</v>
      </c>
      <c r="T16" s="172">
        <f t="shared" si="8"/>
        <v>0</v>
      </c>
      <c r="U16" s="172">
        <f t="shared" si="1"/>
        <v>0</v>
      </c>
      <c r="V16" s="172">
        <f t="shared" si="9"/>
        <v>0</v>
      </c>
      <c r="W16" s="172"/>
      <c r="X16" s="172"/>
      <c r="Y16" s="172"/>
      <c r="Z16" s="197"/>
      <c r="AA16" s="197" t="s">
        <v>653</v>
      </c>
      <c r="AB16" s="197">
        <v>930000</v>
      </c>
      <c r="AC16" s="538"/>
      <c r="AD16" s="172"/>
      <c r="AE16" s="172"/>
      <c r="AF16" s="172"/>
      <c r="AG16" s="172"/>
      <c r="AH16" s="172"/>
      <c r="AI16" s="172"/>
      <c r="AJ16" s="172"/>
      <c r="AK16" s="172"/>
      <c r="AL16" s="172">
        <f t="shared" si="11"/>
        <v>0</v>
      </c>
      <c r="AM16" s="172"/>
      <c r="AN16" s="172">
        <f t="shared" si="12"/>
        <v>0</v>
      </c>
      <c r="AO16" s="172">
        <f t="shared" si="13"/>
        <v>0</v>
      </c>
      <c r="AP16" s="172">
        <f t="shared" si="14"/>
        <v>0</v>
      </c>
      <c r="AQ16" s="172"/>
      <c r="AR16" s="172"/>
      <c r="AS16" s="197"/>
      <c r="AT16" s="197"/>
      <c r="AU16" s="172">
        <f t="shared" si="15"/>
        <v>0</v>
      </c>
      <c r="AV16" s="172"/>
      <c r="AW16" s="197"/>
      <c r="AX16" s="197"/>
      <c r="AY16" s="197"/>
      <c r="AZ16" s="172">
        <f t="shared" si="16"/>
        <v>0</v>
      </c>
      <c r="BA16" s="172"/>
      <c r="BB16" s="197"/>
      <c r="BC16" s="197"/>
      <c r="BD16" s="197"/>
      <c r="BF16" s="218"/>
    </row>
    <row r="17" spans="1:58" s="196" customFormat="1" ht="19.95" customHeight="1">
      <c r="A17" s="197">
        <f t="shared" si="10"/>
        <v>11</v>
      </c>
      <c r="B17" s="197">
        <v>1983</v>
      </c>
      <c r="C17" s="197" t="s">
        <v>200</v>
      </c>
      <c r="D17" s="172">
        <v>800000</v>
      </c>
      <c r="E17" s="172">
        <v>800000</v>
      </c>
      <c r="F17" s="172">
        <f t="shared" si="2"/>
        <v>0</v>
      </c>
      <c r="G17" s="172">
        <f>10000-10000</f>
        <v>0</v>
      </c>
      <c r="H17" s="172">
        <v>0</v>
      </c>
      <c r="I17" s="172"/>
      <c r="J17" s="172">
        <v>6149</v>
      </c>
      <c r="K17" s="172">
        <f t="shared" si="3"/>
        <v>6149</v>
      </c>
      <c r="L17" s="172">
        <f t="shared" si="4"/>
        <v>6149</v>
      </c>
      <c r="M17" s="172">
        <f t="shared" si="5"/>
        <v>3851</v>
      </c>
      <c r="N17" s="172">
        <v>90000</v>
      </c>
      <c r="O17" s="172">
        <f t="shared" si="0"/>
        <v>700000</v>
      </c>
      <c r="P17" s="172">
        <f t="shared" si="6"/>
        <v>-6149</v>
      </c>
      <c r="Q17" s="172">
        <v>10000</v>
      </c>
      <c r="R17" s="172"/>
      <c r="S17" s="172">
        <f t="shared" si="7"/>
        <v>10000</v>
      </c>
      <c r="T17" s="172">
        <f t="shared" si="8"/>
        <v>0</v>
      </c>
      <c r="U17" s="172">
        <f t="shared" si="1"/>
        <v>90000</v>
      </c>
      <c r="V17" s="172">
        <f t="shared" si="9"/>
        <v>90000</v>
      </c>
      <c r="W17" s="172"/>
      <c r="X17" s="172"/>
      <c r="Y17" s="172"/>
      <c r="Z17" s="197"/>
      <c r="AA17" s="320" t="s">
        <v>397</v>
      </c>
      <c r="AB17" s="197">
        <v>930000</v>
      </c>
      <c r="AC17" s="538"/>
      <c r="AD17" s="172"/>
      <c r="AE17" s="172"/>
      <c r="AF17" s="172"/>
      <c r="AG17" s="172"/>
      <c r="AH17" s="172"/>
      <c r="AI17" s="172"/>
      <c r="AJ17" s="172"/>
      <c r="AK17" s="199">
        <v>90000</v>
      </c>
      <c r="AL17" s="172">
        <f t="shared" si="11"/>
        <v>90000</v>
      </c>
      <c r="AM17" s="172"/>
      <c r="AN17" s="172">
        <f t="shared" si="12"/>
        <v>90000</v>
      </c>
      <c r="AO17" s="172">
        <f t="shared" si="13"/>
        <v>0</v>
      </c>
      <c r="AP17" s="172">
        <f t="shared" si="14"/>
        <v>90000</v>
      </c>
      <c r="AQ17" s="172"/>
      <c r="AR17" s="172"/>
      <c r="AS17" s="197"/>
      <c r="AT17" s="197"/>
      <c r="AU17" s="172">
        <f t="shared" si="15"/>
        <v>0</v>
      </c>
      <c r="AV17" s="172"/>
      <c r="AW17" s="197"/>
      <c r="AX17" s="197"/>
      <c r="AY17" s="197"/>
      <c r="AZ17" s="172">
        <f t="shared" si="16"/>
        <v>0</v>
      </c>
      <c r="BA17" s="172"/>
      <c r="BB17" s="197"/>
      <c r="BC17" s="197"/>
      <c r="BD17" s="197"/>
      <c r="BF17" s="218"/>
    </row>
    <row r="18" spans="1:58" s="196" customFormat="1" ht="27.6">
      <c r="A18" s="197">
        <f t="shared" si="10"/>
        <v>12</v>
      </c>
      <c r="B18" s="688">
        <v>1984</v>
      </c>
      <c r="C18" s="688" t="s">
        <v>1272</v>
      </c>
      <c r="D18" s="172">
        <v>450000</v>
      </c>
      <c r="E18" s="172">
        <v>450000</v>
      </c>
      <c r="F18" s="172">
        <f t="shared" si="2"/>
        <v>0</v>
      </c>
      <c r="G18" s="172">
        <v>10000</v>
      </c>
      <c r="H18" s="172">
        <v>1869</v>
      </c>
      <c r="I18" s="172"/>
      <c r="J18" s="172"/>
      <c r="K18" s="172">
        <f t="shared" si="3"/>
        <v>0</v>
      </c>
      <c r="L18" s="172">
        <f t="shared" si="4"/>
        <v>1869</v>
      </c>
      <c r="M18" s="172">
        <f t="shared" si="5"/>
        <v>8131</v>
      </c>
      <c r="N18" s="172">
        <f>100000+280000</f>
        <v>380000</v>
      </c>
      <c r="O18" s="172">
        <f t="shared" si="0"/>
        <v>60000</v>
      </c>
      <c r="P18" s="172">
        <f t="shared" si="6"/>
        <v>8131</v>
      </c>
      <c r="Q18" s="172"/>
      <c r="R18" s="172"/>
      <c r="S18" s="172">
        <f t="shared" si="7"/>
        <v>0</v>
      </c>
      <c r="T18" s="172">
        <f t="shared" si="8"/>
        <v>0</v>
      </c>
      <c r="U18" s="172">
        <f t="shared" si="1"/>
        <v>380000</v>
      </c>
      <c r="V18" s="172">
        <f t="shared" si="9"/>
        <v>380000</v>
      </c>
      <c r="W18" s="172"/>
      <c r="X18" s="172"/>
      <c r="Y18" s="172"/>
      <c r="Z18" s="197"/>
      <c r="AA18" s="320" t="s">
        <v>398</v>
      </c>
      <c r="AB18" s="197">
        <v>930000</v>
      </c>
      <c r="AC18" s="538"/>
      <c r="AD18" s="172">
        <v>380000</v>
      </c>
      <c r="AE18" s="172"/>
      <c r="AF18" s="172"/>
      <c r="AG18" s="172"/>
      <c r="AH18" s="172"/>
      <c r="AI18" s="172"/>
      <c r="AJ18" s="172"/>
      <c r="AK18" s="172"/>
      <c r="AL18" s="172">
        <f t="shared" si="11"/>
        <v>380000</v>
      </c>
      <c r="AM18" s="172"/>
      <c r="AN18" s="172">
        <f t="shared" si="12"/>
        <v>380000</v>
      </c>
      <c r="AO18" s="172">
        <f t="shared" si="13"/>
        <v>0</v>
      </c>
      <c r="AP18" s="172">
        <f t="shared" si="14"/>
        <v>380000</v>
      </c>
      <c r="AQ18" s="172"/>
      <c r="AR18" s="172"/>
      <c r="AS18" s="197"/>
      <c r="AT18" s="197"/>
      <c r="AU18" s="172">
        <f t="shared" si="15"/>
        <v>0</v>
      </c>
      <c r="AV18" s="172"/>
      <c r="AW18" s="197"/>
      <c r="AX18" s="197"/>
      <c r="AY18" s="197"/>
      <c r="AZ18" s="172">
        <f t="shared" si="16"/>
        <v>0</v>
      </c>
      <c r="BA18" s="172"/>
      <c r="BB18" s="197"/>
      <c r="BC18" s="197"/>
      <c r="BD18" s="197"/>
      <c r="BF18" s="218"/>
    </row>
    <row r="19" spans="1:58" s="196" customFormat="1" ht="19.95" customHeight="1">
      <c r="A19" s="197">
        <f t="shared" si="10"/>
        <v>13</v>
      </c>
      <c r="B19" s="197">
        <v>1985</v>
      </c>
      <c r="C19" s="197" t="s">
        <v>201</v>
      </c>
      <c r="D19" s="172">
        <v>600000</v>
      </c>
      <c r="E19" s="172">
        <v>600000</v>
      </c>
      <c r="F19" s="172">
        <f t="shared" si="2"/>
        <v>0</v>
      </c>
      <c r="G19" s="172">
        <v>0</v>
      </c>
      <c r="H19" s="172">
        <v>0</v>
      </c>
      <c r="I19" s="172"/>
      <c r="J19" s="172"/>
      <c r="K19" s="172">
        <f t="shared" si="3"/>
        <v>0</v>
      </c>
      <c r="L19" s="172">
        <f t="shared" si="4"/>
        <v>0</v>
      </c>
      <c r="M19" s="172">
        <f t="shared" si="5"/>
        <v>0</v>
      </c>
      <c r="N19" s="172">
        <v>100000</v>
      </c>
      <c r="O19" s="172">
        <f t="shared" si="0"/>
        <v>500000</v>
      </c>
      <c r="P19" s="172">
        <f t="shared" si="6"/>
        <v>0</v>
      </c>
      <c r="Q19" s="172"/>
      <c r="R19" s="172"/>
      <c r="S19" s="172">
        <f t="shared" si="7"/>
        <v>0</v>
      </c>
      <c r="T19" s="172">
        <f t="shared" si="8"/>
        <v>0</v>
      </c>
      <c r="U19" s="172">
        <f t="shared" si="1"/>
        <v>100000</v>
      </c>
      <c r="V19" s="172">
        <f t="shared" si="9"/>
        <v>100000</v>
      </c>
      <c r="W19" s="172"/>
      <c r="X19" s="172"/>
      <c r="Y19" s="172"/>
      <c r="Z19" s="197"/>
      <c r="AA19" s="320" t="s">
        <v>399</v>
      </c>
      <c r="AB19" s="197">
        <v>930000</v>
      </c>
      <c r="AC19" s="538"/>
      <c r="AD19" s="172"/>
      <c r="AE19" s="172"/>
      <c r="AF19" s="172"/>
      <c r="AG19" s="172"/>
      <c r="AH19" s="172"/>
      <c r="AI19" s="172"/>
      <c r="AJ19" s="172"/>
      <c r="AK19" s="199">
        <v>100000</v>
      </c>
      <c r="AL19" s="172">
        <f t="shared" si="11"/>
        <v>100000</v>
      </c>
      <c r="AM19" s="172"/>
      <c r="AN19" s="172">
        <f t="shared" si="12"/>
        <v>100000</v>
      </c>
      <c r="AO19" s="172">
        <f t="shared" si="13"/>
        <v>0</v>
      </c>
      <c r="AP19" s="172">
        <f t="shared" si="14"/>
        <v>100000</v>
      </c>
      <c r="AQ19" s="172"/>
      <c r="AR19" s="172"/>
      <c r="AS19" s="197"/>
      <c r="AT19" s="197"/>
      <c r="AU19" s="172">
        <f t="shared" si="15"/>
        <v>0</v>
      </c>
      <c r="AV19" s="172"/>
      <c r="AW19" s="197"/>
      <c r="AX19" s="197"/>
      <c r="AY19" s="197"/>
      <c r="AZ19" s="172">
        <f t="shared" si="16"/>
        <v>0</v>
      </c>
      <c r="BA19" s="172"/>
      <c r="BB19" s="197"/>
      <c r="BC19" s="197"/>
      <c r="BD19" s="197"/>
      <c r="BF19" s="218"/>
    </row>
    <row r="20" spans="1:58" s="196" customFormat="1" ht="19.95" customHeight="1">
      <c r="A20" s="197">
        <f t="shared" si="10"/>
        <v>14</v>
      </c>
      <c r="B20" s="197">
        <v>1993</v>
      </c>
      <c r="C20" s="197" t="s">
        <v>226</v>
      </c>
      <c r="D20" s="172">
        <v>6000000</v>
      </c>
      <c r="E20" s="172">
        <v>6000000</v>
      </c>
      <c r="F20" s="172">
        <f t="shared" si="2"/>
        <v>0</v>
      </c>
      <c r="G20" s="172">
        <v>50000</v>
      </c>
      <c r="H20" s="172">
        <v>46467</v>
      </c>
      <c r="I20" s="172"/>
      <c r="J20" s="172"/>
      <c r="K20" s="172">
        <f t="shared" si="3"/>
        <v>0</v>
      </c>
      <c r="L20" s="172">
        <f t="shared" si="4"/>
        <v>46467</v>
      </c>
      <c r="M20" s="172">
        <f t="shared" si="5"/>
        <v>3533</v>
      </c>
      <c r="N20" s="172">
        <f>1950000+50000</f>
        <v>2000000</v>
      </c>
      <c r="O20" s="172">
        <f t="shared" si="0"/>
        <v>3950000</v>
      </c>
      <c r="P20" s="172">
        <f t="shared" si="6"/>
        <v>3533</v>
      </c>
      <c r="Q20" s="172"/>
      <c r="R20" s="172"/>
      <c r="S20" s="172">
        <f t="shared" si="7"/>
        <v>0</v>
      </c>
      <c r="T20" s="172">
        <f t="shared" si="8"/>
        <v>0</v>
      </c>
      <c r="U20" s="172">
        <f t="shared" si="1"/>
        <v>2000000</v>
      </c>
      <c r="V20" s="172">
        <f t="shared" si="9"/>
        <v>2000000</v>
      </c>
      <c r="W20" s="172"/>
      <c r="X20" s="172"/>
      <c r="Y20" s="172"/>
      <c r="Z20" s="197"/>
      <c r="AA20" s="197" t="s">
        <v>582</v>
      </c>
      <c r="AB20" s="197">
        <v>930000</v>
      </c>
      <c r="AC20" s="538"/>
      <c r="AD20" s="172"/>
      <c r="AE20" s="172"/>
      <c r="AF20" s="172">
        <v>100000</v>
      </c>
      <c r="AG20" s="172"/>
      <c r="AH20" s="172"/>
      <c r="AI20" s="172"/>
      <c r="AJ20" s="172"/>
      <c r="AK20" s="172">
        <v>1900000</v>
      </c>
      <c r="AL20" s="172">
        <f t="shared" si="11"/>
        <v>2000000</v>
      </c>
      <c r="AM20" s="172"/>
      <c r="AN20" s="172">
        <f t="shared" si="12"/>
        <v>2000000</v>
      </c>
      <c r="AO20" s="172">
        <f t="shared" si="13"/>
        <v>0</v>
      </c>
      <c r="AP20" s="172">
        <f t="shared" si="14"/>
        <v>2000000</v>
      </c>
      <c r="AQ20" s="172"/>
      <c r="AR20" s="172"/>
      <c r="AS20" s="197"/>
      <c r="AT20" s="197"/>
      <c r="AU20" s="172">
        <f t="shared" si="15"/>
        <v>0</v>
      </c>
      <c r="AV20" s="172"/>
      <c r="AW20" s="197"/>
      <c r="AX20" s="197"/>
      <c r="AY20" s="197"/>
      <c r="AZ20" s="172">
        <f t="shared" si="16"/>
        <v>0</v>
      </c>
      <c r="BA20" s="172"/>
      <c r="BB20" s="197"/>
      <c r="BC20" s="197"/>
      <c r="BD20" s="197"/>
      <c r="BF20" s="218"/>
    </row>
    <row r="21" spans="1:58" s="196" customFormat="1" ht="19.95" customHeight="1">
      <c r="A21" s="197">
        <f t="shared" si="10"/>
        <v>15</v>
      </c>
      <c r="B21" s="197">
        <v>2055</v>
      </c>
      <c r="C21" s="197" t="s">
        <v>568</v>
      </c>
      <c r="D21" s="172">
        <v>220000</v>
      </c>
      <c r="E21" s="172">
        <v>220000</v>
      </c>
      <c r="F21" s="172">
        <f t="shared" si="2"/>
        <v>0</v>
      </c>
      <c r="G21" s="172">
        <v>200000</v>
      </c>
      <c r="H21" s="172">
        <v>0</v>
      </c>
      <c r="I21" s="172"/>
      <c r="J21" s="172"/>
      <c r="K21" s="172">
        <f t="shared" si="3"/>
        <v>0</v>
      </c>
      <c r="L21" s="172">
        <f t="shared" si="4"/>
        <v>0</v>
      </c>
      <c r="M21" s="172">
        <f t="shared" si="5"/>
        <v>200000</v>
      </c>
      <c r="N21" s="172"/>
      <c r="O21" s="172">
        <f t="shared" si="0"/>
        <v>20000</v>
      </c>
      <c r="P21" s="172">
        <f t="shared" si="6"/>
        <v>200000</v>
      </c>
      <c r="Q21" s="172"/>
      <c r="R21" s="172"/>
      <c r="S21" s="172">
        <f t="shared" si="7"/>
        <v>0</v>
      </c>
      <c r="T21" s="172">
        <f t="shared" si="8"/>
        <v>0</v>
      </c>
      <c r="U21" s="172">
        <f t="shared" si="1"/>
        <v>0</v>
      </c>
      <c r="V21" s="172">
        <f t="shared" si="9"/>
        <v>0</v>
      </c>
      <c r="W21" s="172"/>
      <c r="X21" s="172"/>
      <c r="Y21" s="172"/>
      <c r="Z21" s="197"/>
      <c r="AA21" s="197" t="s">
        <v>654</v>
      </c>
      <c r="AB21" s="197">
        <v>930000</v>
      </c>
      <c r="AC21" s="538"/>
      <c r="AD21" s="172"/>
      <c r="AE21" s="172"/>
      <c r="AF21" s="172"/>
      <c r="AG21" s="172"/>
      <c r="AH21" s="172"/>
      <c r="AI21" s="172"/>
      <c r="AJ21" s="172"/>
      <c r="AK21" s="172"/>
      <c r="AL21" s="172">
        <f t="shared" si="11"/>
        <v>0</v>
      </c>
      <c r="AM21" s="172"/>
      <c r="AN21" s="172">
        <f t="shared" si="12"/>
        <v>0</v>
      </c>
      <c r="AO21" s="172">
        <f t="shared" si="13"/>
        <v>0</v>
      </c>
      <c r="AP21" s="172">
        <f t="shared" si="14"/>
        <v>0</v>
      </c>
      <c r="AQ21" s="172"/>
      <c r="AR21" s="172"/>
      <c r="AS21" s="197"/>
      <c r="AT21" s="197"/>
      <c r="AU21" s="172">
        <f t="shared" si="15"/>
        <v>0</v>
      </c>
      <c r="AV21" s="172"/>
      <c r="AW21" s="197"/>
      <c r="AX21" s="197"/>
      <c r="AY21" s="197"/>
      <c r="AZ21" s="172">
        <f t="shared" si="16"/>
        <v>0</v>
      </c>
      <c r="BA21" s="172"/>
      <c r="BB21" s="197"/>
      <c r="BC21" s="197"/>
      <c r="BD21" s="197"/>
      <c r="BF21" s="218"/>
    </row>
    <row r="22" spans="1:58" s="196" customFormat="1" ht="19.95" customHeight="1">
      <c r="A22" s="197">
        <f t="shared" si="10"/>
        <v>16</v>
      </c>
      <c r="B22" s="197">
        <v>2056</v>
      </c>
      <c r="C22" s="197" t="s">
        <v>994</v>
      </c>
      <c r="D22" s="172">
        <v>1400000</v>
      </c>
      <c r="E22" s="172">
        <v>1400000</v>
      </c>
      <c r="F22" s="172">
        <f t="shared" si="2"/>
        <v>0</v>
      </c>
      <c r="G22" s="172">
        <v>100000</v>
      </c>
      <c r="H22" s="172">
        <v>97977</v>
      </c>
      <c r="I22" s="172"/>
      <c r="J22" s="172"/>
      <c r="K22" s="172">
        <f t="shared" si="3"/>
        <v>0</v>
      </c>
      <c r="L22" s="172">
        <f t="shared" si="4"/>
        <v>97977</v>
      </c>
      <c r="M22" s="172">
        <f t="shared" si="5"/>
        <v>2023</v>
      </c>
      <c r="N22" s="172">
        <f>150000+10000</f>
        <v>160000</v>
      </c>
      <c r="O22" s="172">
        <f t="shared" si="0"/>
        <v>1140000</v>
      </c>
      <c r="P22" s="172">
        <f t="shared" si="6"/>
        <v>2023</v>
      </c>
      <c r="Q22" s="172"/>
      <c r="R22" s="172"/>
      <c r="S22" s="172">
        <f t="shared" si="7"/>
        <v>0</v>
      </c>
      <c r="T22" s="172">
        <f t="shared" si="8"/>
        <v>0</v>
      </c>
      <c r="U22" s="172">
        <f t="shared" si="1"/>
        <v>160000</v>
      </c>
      <c r="V22" s="172">
        <f t="shared" si="9"/>
        <v>160000</v>
      </c>
      <c r="W22" s="172"/>
      <c r="X22" s="172"/>
      <c r="Y22" s="172"/>
      <c r="Z22" s="197"/>
      <c r="AA22" s="320" t="s">
        <v>400</v>
      </c>
      <c r="AB22" s="197">
        <v>930000</v>
      </c>
      <c r="AC22" s="538"/>
      <c r="AD22" s="172">
        <v>160000</v>
      </c>
      <c r="AE22" s="172"/>
      <c r="AF22" s="172"/>
      <c r="AG22" s="172"/>
      <c r="AH22" s="172"/>
      <c r="AI22" s="172"/>
      <c r="AJ22" s="172"/>
      <c r="AK22" s="172"/>
      <c r="AL22" s="172">
        <f t="shared" si="11"/>
        <v>160000</v>
      </c>
      <c r="AM22" s="172"/>
      <c r="AN22" s="172">
        <f t="shared" si="12"/>
        <v>160000</v>
      </c>
      <c r="AO22" s="172">
        <f t="shared" si="13"/>
        <v>0</v>
      </c>
      <c r="AP22" s="172">
        <f t="shared" si="14"/>
        <v>160000</v>
      </c>
      <c r="AQ22" s="172"/>
      <c r="AR22" s="172"/>
      <c r="AS22" s="197"/>
      <c r="AT22" s="197"/>
      <c r="AU22" s="172">
        <f t="shared" si="15"/>
        <v>0</v>
      </c>
      <c r="AV22" s="172"/>
      <c r="AW22" s="197"/>
      <c r="AX22" s="197"/>
      <c r="AY22" s="197"/>
      <c r="AZ22" s="172">
        <f t="shared" si="16"/>
        <v>0</v>
      </c>
      <c r="BA22" s="172"/>
      <c r="BB22" s="197"/>
      <c r="BC22" s="197"/>
      <c r="BD22" s="197"/>
      <c r="BF22" s="218"/>
    </row>
    <row r="23" spans="1:58" s="196" customFormat="1" ht="19.95" customHeight="1">
      <c r="A23" s="197">
        <f t="shared" si="10"/>
        <v>17</v>
      </c>
      <c r="B23" s="197">
        <v>2072</v>
      </c>
      <c r="C23" s="197" t="s">
        <v>817</v>
      </c>
      <c r="D23" s="172">
        <v>100000</v>
      </c>
      <c r="E23" s="172">
        <v>100000</v>
      </c>
      <c r="F23" s="172">
        <f t="shared" si="2"/>
        <v>0</v>
      </c>
      <c r="G23" s="172">
        <v>100000</v>
      </c>
      <c r="H23" s="172">
        <v>0</v>
      </c>
      <c r="I23" s="172"/>
      <c r="J23" s="172">
        <v>23985</v>
      </c>
      <c r="K23" s="172">
        <f t="shared" si="3"/>
        <v>23985</v>
      </c>
      <c r="L23" s="172">
        <f t="shared" si="4"/>
        <v>23985</v>
      </c>
      <c r="M23" s="172">
        <f t="shared" si="5"/>
        <v>76015</v>
      </c>
      <c r="N23" s="172"/>
      <c r="O23" s="172">
        <f t="shared" si="0"/>
        <v>0</v>
      </c>
      <c r="P23" s="172">
        <f t="shared" si="6"/>
        <v>76015</v>
      </c>
      <c r="Q23" s="172"/>
      <c r="R23" s="172"/>
      <c r="S23" s="172">
        <f t="shared" si="7"/>
        <v>0</v>
      </c>
      <c r="T23" s="172">
        <f t="shared" si="8"/>
        <v>0</v>
      </c>
      <c r="U23" s="172">
        <f t="shared" si="1"/>
        <v>0</v>
      </c>
      <c r="V23" s="172">
        <f t="shared" si="9"/>
        <v>0</v>
      </c>
      <c r="W23" s="172"/>
      <c r="X23" s="172"/>
      <c r="Y23" s="172"/>
      <c r="Z23" s="197"/>
      <c r="AA23" s="197" t="s">
        <v>655</v>
      </c>
      <c r="AB23" s="197">
        <v>930000</v>
      </c>
      <c r="AC23" s="538"/>
      <c r="AD23" s="172"/>
      <c r="AE23" s="172"/>
      <c r="AF23" s="172"/>
      <c r="AG23" s="172"/>
      <c r="AH23" s="172"/>
      <c r="AI23" s="172"/>
      <c r="AJ23" s="172"/>
      <c r="AK23" s="172"/>
      <c r="AL23" s="172">
        <f t="shared" si="11"/>
        <v>0</v>
      </c>
      <c r="AM23" s="172"/>
      <c r="AN23" s="172">
        <f t="shared" si="12"/>
        <v>0</v>
      </c>
      <c r="AO23" s="172">
        <f t="shared" si="13"/>
        <v>0</v>
      </c>
      <c r="AP23" s="172">
        <f t="shared" si="14"/>
        <v>0</v>
      </c>
      <c r="AQ23" s="172"/>
      <c r="AR23" s="172"/>
      <c r="AS23" s="197"/>
      <c r="AT23" s="197"/>
      <c r="AU23" s="172">
        <f t="shared" si="15"/>
        <v>0</v>
      </c>
      <c r="AV23" s="172"/>
      <c r="AW23" s="197"/>
      <c r="AX23" s="197"/>
      <c r="AY23" s="197"/>
      <c r="AZ23" s="172">
        <f t="shared" si="16"/>
        <v>0</v>
      </c>
      <c r="BA23" s="172"/>
      <c r="BB23" s="197"/>
      <c r="BC23" s="197"/>
      <c r="BD23" s="197"/>
      <c r="BF23" s="218"/>
    </row>
    <row r="24" spans="1:58" s="200" customFormat="1" ht="19.95" customHeight="1">
      <c r="A24" s="201">
        <f>A23</f>
        <v>17</v>
      </c>
      <c r="B24" s="201"/>
      <c r="C24" s="204" t="s">
        <v>613</v>
      </c>
      <c r="D24" s="207">
        <f t="shared" ref="D24:BD24" si="17">SUM(D7:D23)</f>
        <v>161849000</v>
      </c>
      <c r="E24" s="207">
        <f t="shared" si="17"/>
        <v>158949700</v>
      </c>
      <c r="F24" s="207">
        <f t="shared" si="17"/>
        <v>2899300</v>
      </c>
      <c r="G24" s="207">
        <f t="shared" si="17"/>
        <v>86452525</v>
      </c>
      <c r="H24" s="207">
        <f t="shared" si="17"/>
        <v>67056335.199999996</v>
      </c>
      <c r="I24" s="207">
        <f t="shared" si="17"/>
        <v>0</v>
      </c>
      <c r="J24" s="207">
        <f t="shared" si="17"/>
        <v>36241</v>
      </c>
      <c r="K24" s="207">
        <f t="shared" si="17"/>
        <v>36241</v>
      </c>
      <c r="L24" s="207">
        <f t="shared" si="17"/>
        <v>67092576.199999996</v>
      </c>
      <c r="M24" s="207">
        <f t="shared" si="17"/>
        <v>19369948.800000001</v>
      </c>
      <c r="N24" s="207">
        <f t="shared" si="17"/>
        <v>7949300</v>
      </c>
      <c r="O24" s="207">
        <f t="shared" si="17"/>
        <v>67437175</v>
      </c>
      <c r="P24" s="207">
        <f t="shared" si="17"/>
        <v>19359948.800000001</v>
      </c>
      <c r="Q24" s="207">
        <f t="shared" si="17"/>
        <v>10000</v>
      </c>
      <c r="R24" s="207">
        <f t="shared" si="17"/>
        <v>0</v>
      </c>
      <c r="S24" s="207">
        <f t="shared" si="17"/>
        <v>10000</v>
      </c>
      <c r="T24" s="207">
        <f t="shared" si="17"/>
        <v>0</v>
      </c>
      <c r="U24" s="207">
        <f t="shared" si="17"/>
        <v>7949300</v>
      </c>
      <c r="V24" s="207">
        <f t="shared" si="17"/>
        <v>7949300</v>
      </c>
      <c r="W24" s="207">
        <f t="shared" si="17"/>
        <v>0</v>
      </c>
      <c r="X24" s="207">
        <f t="shared" si="17"/>
        <v>0</v>
      </c>
      <c r="Y24" s="207">
        <f t="shared" si="17"/>
        <v>0</v>
      </c>
      <c r="Z24" s="207">
        <f t="shared" si="17"/>
        <v>0</v>
      </c>
      <c r="AA24" s="207">
        <f t="shared" si="17"/>
        <v>0</v>
      </c>
      <c r="AB24" s="207">
        <f t="shared" si="17"/>
        <v>15820000</v>
      </c>
      <c r="AC24" s="207">
        <f t="shared" ref="AC24:AJ24" si="18">SUM(AC7:AC23)</f>
        <v>0</v>
      </c>
      <c r="AD24" s="207">
        <f t="shared" si="18"/>
        <v>740000</v>
      </c>
      <c r="AE24" s="207">
        <f t="shared" si="18"/>
        <v>0</v>
      </c>
      <c r="AF24" s="207">
        <f t="shared" si="18"/>
        <v>100000</v>
      </c>
      <c r="AG24" s="207">
        <f t="shared" si="18"/>
        <v>0</v>
      </c>
      <c r="AH24" s="207">
        <f t="shared" si="18"/>
        <v>900000</v>
      </c>
      <c r="AI24" s="207">
        <f t="shared" si="18"/>
        <v>200000</v>
      </c>
      <c r="AJ24" s="207">
        <f t="shared" si="18"/>
        <v>0</v>
      </c>
      <c r="AK24" s="207">
        <f t="shared" si="17"/>
        <v>2140000</v>
      </c>
      <c r="AL24" s="207">
        <f t="shared" si="17"/>
        <v>4080000</v>
      </c>
      <c r="AM24" s="207">
        <f t="shared" si="17"/>
        <v>0</v>
      </c>
      <c r="AN24" s="207">
        <f t="shared" ref="AN24:AT24" si="19">SUM(AN7:AN23)</f>
        <v>4080000</v>
      </c>
      <c r="AO24" s="207">
        <f t="shared" si="19"/>
        <v>3869300</v>
      </c>
      <c r="AP24" s="207">
        <f>SUM(AP7:AP23)</f>
        <v>4080000</v>
      </c>
      <c r="AQ24" s="207">
        <f>SUM(AQ7:AQ23)</f>
        <v>0</v>
      </c>
      <c r="AR24" s="207">
        <f>SUM(AR7:AR23)</f>
        <v>0</v>
      </c>
      <c r="AS24" s="207">
        <f>SUM(AS7:AS23)</f>
        <v>0</v>
      </c>
      <c r="AT24" s="207">
        <f t="shared" si="19"/>
        <v>0</v>
      </c>
      <c r="AU24" s="207">
        <f t="shared" si="17"/>
        <v>0</v>
      </c>
      <c r="AV24" s="207">
        <f>SUM(AV7:AV23)</f>
        <v>0</v>
      </c>
      <c r="AW24" s="207">
        <f>SUM(AW7:AW23)</f>
        <v>0</v>
      </c>
      <c r="AX24" s="207">
        <f>SUM(AX7:AX23)</f>
        <v>0</v>
      </c>
      <c r="AY24" s="207">
        <f>SUM(AY7:AY23)</f>
        <v>0</v>
      </c>
      <c r="AZ24" s="207">
        <f>SUM(AZ7:AZ23)</f>
        <v>3869300</v>
      </c>
      <c r="BA24" s="207">
        <f t="shared" si="17"/>
        <v>0</v>
      </c>
      <c r="BB24" s="207">
        <f t="shared" si="17"/>
        <v>0</v>
      </c>
      <c r="BC24" s="207">
        <f t="shared" si="17"/>
        <v>0</v>
      </c>
      <c r="BD24" s="207">
        <f t="shared" si="17"/>
        <v>0</v>
      </c>
      <c r="BF24" s="218"/>
    </row>
    <row r="25" spans="1:58" ht="18.75" hidden="1" customHeight="1">
      <c r="L25" s="215">
        <f>H24+K24</f>
        <v>67092576.199999996</v>
      </c>
      <c r="M25" s="215">
        <f>P24+S24-T24</f>
        <v>19369948.800000001</v>
      </c>
      <c r="P25" s="215">
        <f>G24-L24</f>
        <v>19359948.800000004</v>
      </c>
      <c r="U25" s="215">
        <f>N24-T24</f>
        <v>7949300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Z4:BD4"/>
    <mergeCell ref="A4:C4"/>
    <mergeCell ref="T4:Z4"/>
    <mergeCell ref="AL4:AN4"/>
    <mergeCell ref="AP4:AT4"/>
    <mergeCell ref="AU4:AY4"/>
  </mergeCells>
  <conditionalFormatting sqref="AA5 AU5">
    <cfRule type="cellIs" dxfId="29" priority="20" operator="equal">
      <formula>0</formula>
    </cfRule>
  </conditionalFormatting>
  <conditionalFormatting sqref="AL14">
    <cfRule type="cellIs" dxfId="28" priority="18" operator="equal">
      <formula>0</formula>
    </cfRule>
  </conditionalFormatting>
  <conditionalFormatting sqref="AC5">
    <cfRule type="cellIs" dxfId="27" priority="17" operator="equal">
      <formula>0</formula>
    </cfRule>
  </conditionalFormatting>
  <conditionalFormatting sqref="AC4">
    <cfRule type="cellIs" dxfId="26" priority="16" operator="equal">
      <formula>0</formula>
    </cfRule>
  </conditionalFormatting>
  <conditionalFormatting sqref="AK5">
    <cfRule type="cellIs" dxfId="25" priority="15" operator="equal">
      <formula>0</formula>
    </cfRule>
  </conditionalFormatting>
  <conditionalFormatting sqref="AD5">
    <cfRule type="cellIs" dxfId="24" priority="14" operator="equal">
      <formula>0</formula>
    </cfRule>
  </conditionalFormatting>
  <conditionalFormatting sqref="AE5">
    <cfRule type="cellIs" dxfId="23" priority="13" operator="equal">
      <formula>0</formula>
    </cfRule>
  </conditionalFormatting>
  <conditionalFormatting sqref="AF5">
    <cfRule type="cellIs" dxfId="22" priority="12" operator="equal">
      <formula>0</formula>
    </cfRule>
  </conditionalFormatting>
  <conditionalFormatting sqref="AG5">
    <cfRule type="cellIs" dxfId="21" priority="11" operator="equal">
      <formula>0</formula>
    </cfRule>
  </conditionalFormatting>
  <conditionalFormatting sqref="AH5">
    <cfRule type="cellIs" dxfId="20" priority="10" operator="equal">
      <formula>0</formula>
    </cfRule>
  </conditionalFormatting>
  <conditionalFormatting sqref="AI5">
    <cfRule type="cellIs" dxfId="19" priority="9" operator="equal">
      <formula>0</formula>
    </cfRule>
  </conditionalFormatting>
  <conditionalFormatting sqref="AJ5">
    <cfRule type="cellIs" dxfId="18" priority="8" operator="equal">
      <formula>0</formula>
    </cfRule>
  </conditionalFormatting>
  <conditionalFormatting sqref="AL5:AN5">
    <cfRule type="cellIs" dxfId="17" priority="5" operator="equal">
      <formula>0</formula>
    </cfRule>
  </conditionalFormatting>
  <conditionalFormatting sqref="AP5">
    <cfRule type="cellIs" dxfId="16" priority="2" operator="equal">
      <formula>0</formula>
    </cfRule>
  </conditionalFormatting>
  <conditionalFormatting sqref="AZ5">
    <cfRule type="cellIs" dxfId="1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18"/>
  <sheetViews>
    <sheetView showZeros="0" rightToLeft="1" tabSelected="1" zoomScaleNormal="100" workbookViewId="0">
      <pane xSplit="3" ySplit="5" topLeftCell="Z6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9.109375" defaultRowHeight="18"/>
  <cols>
    <col min="1" max="1" width="3.33203125" style="333" customWidth="1"/>
    <col min="2" max="2" width="5.33203125" style="191" customWidth="1"/>
    <col min="3" max="3" width="26.5546875" style="191" customWidth="1"/>
    <col min="4" max="4" width="11.33203125" style="192" hidden="1" customWidth="1"/>
    <col min="5" max="5" width="11.109375" style="192" hidden="1" customWidth="1"/>
    <col min="6" max="6" width="10" style="192" hidden="1" customWidth="1"/>
    <col min="7" max="10" width="12.6640625" style="192" hidden="1" customWidth="1"/>
    <col min="11" max="11" width="11.33203125" style="192" hidden="1" customWidth="1"/>
    <col min="12" max="12" width="10.33203125" style="192" hidden="1" customWidth="1"/>
    <col min="13" max="13" width="10.109375" style="192" hidden="1" customWidth="1"/>
    <col min="14" max="14" width="10.33203125" style="192" hidden="1" customWidth="1"/>
    <col min="15" max="15" width="10" style="192" hidden="1" customWidth="1"/>
    <col min="16" max="17" width="11.109375" style="192" hidden="1" customWidth="1"/>
    <col min="18" max="19" width="12" style="192" hidden="1" customWidth="1"/>
    <col min="20" max="20" width="8.88671875" style="192" customWidth="1"/>
    <col min="21" max="21" width="10" style="191" customWidth="1"/>
    <col min="22" max="22" width="9.6640625" style="191" customWidth="1"/>
    <col min="23" max="23" width="9.5546875" style="191" customWidth="1"/>
    <col min="24" max="24" width="11.88671875" style="191" hidden="1" customWidth="1"/>
    <col min="25" max="25" width="11.88671875" style="191" customWidth="1"/>
    <col min="26" max="26" width="12.6640625" style="191" customWidth="1"/>
    <col min="27" max="27" width="26.109375" style="210" hidden="1" customWidth="1"/>
    <col min="28" max="28" width="7.88671875" style="191" hidden="1" customWidth="1"/>
    <col min="29" max="37" width="12.6640625" style="191" hidden="1" customWidth="1"/>
    <col min="38" max="39" width="12.6640625" style="331" hidden="1" customWidth="1"/>
    <col min="40" max="40" width="12.6640625" style="331" customWidth="1"/>
    <col min="41" max="41" width="10.77734375" style="191" customWidth="1"/>
    <col min="42" max="43" width="12.6640625" style="191" customWidth="1"/>
    <col min="44" max="44" width="12.6640625" style="191" hidden="1" customWidth="1"/>
    <col min="45" max="46" width="12.6640625" style="191" customWidth="1"/>
    <col min="47" max="55" width="12.6640625" style="191" hidden="1" customWidth="1"/>
    <col min="56" max="56" width="9.44140625" style="191" hidden="1" customWidth="1"/>
    <col min="57" max="57" width="9.109375" style="191"/>
    <col min="58" max="59" width="12.6640625" style="191" customWidth="1"/>
    <col min="60" max="16384" width="9.109375" style="191"/>
  </cols>
  <sheetData>
    <row r="1" spans="1:59" s="331" customFormat="1">
      <c r="A1" s="824"/>
      <c r="B1" s="824"/>
      <c r="C1" s="824"/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  <c r="P1" s="824"/>
      <c r="Q1" s="824"/>
      <c r="R1" s="824"/>
      <c r="S1" s="824"/>
      <c r="T1" s="824"/>
      <c r="U1" s="824"/>
      <c r="V1" s="824"/>
      <c r="W1" s="824"/>
      <c r="X1" s="373"/>
      <c r="Y1" s="373"/>
      <c r="AA1" s="332"/>
      <c r="BF1" s="191"/>
      <c r="BG1" s="191"/>
    </row>
    <row r="2" spans="1:59">
      <c r="A2" s="86" t="s">
        <v>1012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</row>
    <row r="3" spans="1:59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</row>
    <row r="4" spans="1:59" ht="13.8">
      <c r="A4" s="844"/>
      <c r="B4" s="845"/>
      <c r="C4" s="846"/>
      <c r="T4" s="832" t="s">
        <v>111</v>
      </c>
      <c r="U4" s="833"/>
      <c r="V4" s="833"/>
      <c r="W4" s="833"/>
      <c r="X4" s="833"/>
      <c r="Y4" s="833"/>
      <c r="Z4" s="834"/>
      <c r="AC4" s="539" t="s">
        <v>327</v>
      </c>
      <c r="AD4" s="540"/>
      <c r="AE4" s="540"/>
      <c r="AF4" s="540"/>
      <c r="AG4" s="540"/>
      <c r="AH4" s="540"/>
      <c r="AI4" s="540"/>
      <c r="AJ4" s="540"/>
      <c r="AK4" s="540"/>
      <c r="AL4" s="831" t="s">
        <v>327</v>
      </c>
      <c r="AM4" s="831"/>
      <c r="AN4" s="831"/>
      <c r="AO4" s="541"/>
      <c r="AP4" s="831" t="s">
        <v>998</v>
      </c>
      <c r="AQ4" s="831"/>
      <c r="AR4" s="831"/>
      <c r="AS4" s="831"/>
      <c r="AT4" s="831"/>
      <c r="AU4" s="826" t="s">
        <v>999</v>
      </c>
      <c r="AV4" s="826"/>
      <c r="AW4" s="826"/>
      <c r="AX4" s="826"/>
      <c r="AY4" s="827"/>
      <c r="AZ4" s="828" t="s">
        <v>570</v>
      </c>
      <c r="BA4" s="829"/>
      <c r="BB4" s="829"/>
      <c r="BC4" s="829"/>
      <c r="BD4" s="830"/>
    </row>
    <row r="5" spans="1:59" s="366" customFormat="1" ht="86.25" customHeight="1">
      <c r="A5" s="221" t="s">
        <v>0</v>
      </c>
      <c r="B5" s="221" t="s">
        <v>1</v>
      </c>
      <c r="C5" s="221" t="s">
        <v>2</v>
      </c>
      <c r="D5" s="221" t="s">
        <v>3</v>
      </c>
      <c r="E5" s="221" t="s">
        <v>4</v>
      </c>
      <c r="F5" s="221" t="s">
        <v>5</v>
      </c>
      <c r="G5" s="221" t="s">
        <v>6</v>
      </c>
      <c r="H5" s="221" t="s">
        <v>7</v>
      </c>
      <c r="I5" s="221" t="s">
        <v>9</v>
      </c>
      <c r="J5" s="221" t="s">
        <v>215</v>
      </c>
      <c r="K5" s="221" t="s">
        <v>10</v>
      </c>
      <c r="L5" s="221" t="s">
        <v>11</v>
      </c>
      <c r="M5" s="10" t="s">
        <v>402</v>
      </c>
      <c r="N5" s="221" t="s">
        <v>403</v>
      </c>
      <c r="O5" s="221" t="s">
        <v>404</v>
      </c>
      <c r="P5" s="221" t="s">
        <v>12</v>
      </c>
      <c r="Q5" s="221" t="s">
        <v>488</v>
      </c>
      <c r="R5" s="221" t="s">
        <v>489</v>
      </c>
      <c r="S5" s="221" t="s">
        <v>407</v>
      </c>
      <c r="T5" s="221" t="s">
        <v>408</v>
      </c>
      <c r="U5" s="221" t="s">
        <v>409</v>
      </c>
      <c r="V5" s="221" t="s">
        <v>13</v>
      </c>
      <c r="W5" s="221" t="s">
        <v>14</v>
      </c>
      <c r="X5" s="221" t="s">
        <v>15</v>
      </c>
      <c r="Y5" s="221" t="s">
        <v>354</v>
      </c>
      <c r="Z5" s="221" t="s">
        <v>105</v>
      </c>
      <c r="AA5" s="526" t="s">
        <v>410</v>
      </c>
      <c r="AB5" s="221" t="s">
        <v>16</v>
      </c>
      <c r="AC5" s="482" t="s">
        <v>328</v>
      </c>
      <c r="AD5" s="482" t="s">
        <v>329</v>
      </c>
      <c r="AE5" s="482" t="s">
        <v>330</v>
      </c>
      <c r="AF5" s="482" t="s">
        <v>331</v>
      </c>
      <c r="AG5" s="482" t="s">
        <v>332</v>
      </c>
      <c r="AH5" s="482" t="s">
        <v>333</v>
      </c>
      <c r="AI5" s="482" t="s">
        <v>334</v>
      </c>
      <c r="AJ5" s="482" t="s">
        <v>335</v>
      </c>
      <c r="AK5" s="482" t="s">
        <v>931</v>
      </c>
      <c r="AL5" s="85" t="s">
        <v>1000</v>
      </c>
      <c r="AM5" s="85" t="s">
        <v>996</v>
      </c>
      <c r="AN5" s="85" t="s">
        <v>997</v>
      </c>
      <c r="AO5" s="85" t="s">
        <v>571</v>
      </c>
      <c r="AP5" s="10" t="s">
        <v>13</v>
      </c>
      <c r="AQ5" s="10" t="s">
        <v>14</v>
      </c>
      <c r="AR5" s="10" t="s">
        <v>15</v>
      </c>
      <c r="AS5" s="10" t="s">
        <v>354</v>
      </c>
      <c r="AT5" s="10" t="s">
        <v>105</v>
      </c>
      <c r="AU5" s="10" t="s">
        <v>13</v>
      </c>
      <c r="AV5" s="10" t="s">
        <v>14</v>
      </c>
      <c r="AW5" s="10" t="s">
        <v>15</v>
      </c>
      <c r="AX5" s="10" t="s">
        <v>354</v>
      </c>
      <c r="AY5" s="10" t="s">
        <v>105</v>
      </c>
      <c r="AZ5" s="10" t="s">
        <v>13</v>
      </c>
      <c r="BA5" s="10" t="s">
        <v>14</v>
      </c>
      <c r="BB5" s="10" t="s">
        <v>15</v>
      </c>
      <c r="BC5" s="10" t="s">
        <v>354</v>
      </c>
      <c r="BD5" s="10" t="s">
        <v>105</v>
      </c>
      <c r="BF5" s="191"/>
      <c r="BG5" s="191"/>
    </row>
    <row r="6" spans="1:59" s="202" customFormat="1" ht="18.75" customHeight="1">
      <c r="A6" s="198"/>
      <c r="B6" s="198"/>
      <c r="C6" s="198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>
        <f t="shared" ref="O6:O14" si="0">D6-L6-M6-N6</f>
        <v>0</v>
      </c>
      <c r="P6" s="199"/>
      <c r="Q6" s="199"/>
      <c r="R6" s="199"/>
      <c r="S6" s="199"/>
      <c r="T6" s="199"/>
      <c r="U6" s="199">
        <f t="shared" ref="U6:U14" si="1">N6-T6</f>
        <v>0</v>
      </c>
      <c r="V6" s="199"/>
      <c r="W6" s="199"/>
      <c r="X6" s="199"/>
      <c r="Y6" s="199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4"/>
      <c r="AM6" s="4"/>
      <c r="AN6" s="4"/>
      <c r="AO6" s="4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F6" s="191"/>
      <c r="BG6" s="191"/>
    </row>
    <row r="7" spans="1:59" s="5" customFormat="1" ht="19.95" customHeight="1">
      <c r="A7" s="3">
        <v>1</v>
      </c>
      <c r="B7" s="3">
        <v>529</v>
      </c>
      <c r="C7" s="3" t="s">
        <v>80</v>
      </c>
      <c r="D7" s="4">
        <f>550000+100000</f>
        <v>650000</v>
      </c>
      <c r="E7" s="4">
        <f>550000+50000</f>
        <v>600000</v>
      </c>
      <c r="F7" s="4">
        <f t="shared" ref="F7:F14" si="2">D7-E7</f>
        <v>50000</v>
      </c>
      <c r="G7" s="4">
        <f>550000+50000</f>
        <v>600000</v>
      </c>
      <c r="H7" s="4">
        <v>416252.8</v>
      </c>
      <c r="I7" s="4"/>
      <c r="J7" s="4"/>
      <c r="K7" s="4">
        <f t="shared" ref="K7:K14" si="3">SUM(I7:J7)</f>
        <v>0</v>
      </c>
      <c r="L7" s="4">
        <f t="shared" ref="L7:L14" si="4">H7+K7</f>
        <v>416252.8</v>
      </c>
      <c r="M7" s="4">
        <f t="shared" ref="M7:M14" si="5">P7+S7</f>
        <v>183747.20000000001</v>
      </c>
      <c r="N7" s="4">
        <v>50000</v>
      </c>
      <c r="O7" s="4">
        <f t="shared" si="0"/>
        <v>0</v>
      </c>
      <c r="P7" s="4">
        <f t="shared" ref="P7:P14" si="6">G7-L7</f>
        <v>183747.20000000001</v>
      </c>
      <c r="Q7" s="4"/>
      <c r="R7" s="4"/>
      <c r="S7" s="4">
        <f t="shared" ref="S7:S14" si="7">SUM(Q7:R7)</f>
        <v>0</v>
      </c>
      <c r="T7" s="4">
        <f t="shared" ref="T7:T14" si="8">P7-M7+S7</f>
        <v>0</v>
      </c>
      <c r="U7" s="4">
        <f t="shared" si="1"/>
        <v>50000</v>
      </c>
      <c r="V7" s="4">
        <f>U7-W7-Y7-Z7</f>
        <v>50000</v>
      </c>
      <c r="W7" s="4"/>
      <c r="X7" s="4"/>
      <c r="Y7" s="4"/>
      <c r="Z7" s="4"/>
      <c r="AA7" s="198" t="s">
        <v>577</v>
      </c>
      <c r="AB7" s="3">
        <v>840000</v>
      </c>
      <c r="AC7" s="3"/>
      <c r="AD7" s="4"/>
      <c r="AE7" s="4"/>
      <c r="AF7" s="4"/>
      <c r="AG7" s="4"/>
      <c r="AH7" s="4"/>
      <c r="AI7" s="4"/>
      <c r="AJ7" s="4"/>
      <c r="AK7" s="4">
        <v>50000</v>
      </c>
      <c r="AL7" s="4">
        <f>SUM(AC7:AK7)</f>
        <v>50000</v>
      </c>
      <c r="AM7" s="4"/>
      <c r="AN7" s="4">
        <f>AL7+AM7</f>
        <v>50000</v>
      </c>
      <c r="AO7" s="4">
        <f>U7-AN7</f>
        <v>0</v>
      </c>
      <c r="AP7" s="4">
        <f>AN7-AQ7-AR7-AS7-AT7</f>
        <v>50000</v>
      </c>
      <c r="AQ7" s="3"/>
      <c r="AR7" s="3"/>
      <c r="AS7" s="3"/>
      <c r="AT7" s="3"/>
      <c r="AU7" s="4">
        <f>AM7-AV7-AW7-AX7-AY7</f>
        <v>0</v>
      </c>
      <c r="AV7" s="3"/>
      <c r="AW7" s="3"/>
      <c r="AX7" s="3"/>
      <c r="AY7" s="3"/>
      <c r="AZ7" s="4">
        <f>AO7-BA7-BB7-BC7-BD7</f>
        <v>0</v>
      </c>
      <c r="BA7" s="3"/>
      <c r="BB7" s="3"/>
      <c r="BC7" s="3"/>
      <c r="BD7" s="3"/>
      <c r="BF7" s="191"/>
      <c r="BG7" s="191"/>
    </row>
    <row r="8" spans="1:59" s="5" customFormat="1" ht="19.95" customHeight="1">
      <c r="A8" s="198">
        <f>A7+1</f>
        <v>2</v>
      </c>
      <c r="B8" s="3">
        <v>1032</v>
      </c>
      <c r="C8" s="3" t="s">
        <v>188</v>
      </c>
      <c r="D8" s="4">
        <v>40500000</v>
      </c>
      <c r="E8" s="4">
        <v>40500000</v>
      </c>
      <c r="F8" s="4">
        <f t="shared" si="2"/>
        <v>0</v>
      </c>
      <c r="G8" s="4">
        <f>27210000+700000</f>
        <v>27910000</v>
      </c>
      <c r="H8" s="4">
        <v>22057861.140000001</v>
      </c>
      <c r="I8" s="4">
        <v>265883.82</v>
      </c>
      <c r="J8" s="4">
        <v>3310586.96</v>
      </c>
      <c r="K8" s="4">
        <f t="shared" si="3"/>
        <v>3576470.78</v>
      </c>
      <c r="L8" s="4">
        <f t="shared" si="4"/>
        <v>25634331.920000002</v>
      </c>
      <c r="M8" s="4">
        <f t="shared" si="5"/>
        <v>2275668.0799999982</v>
      </c>
      <c r="N8" s="4">
        <f>10900000-1500000-4400000</f>
        <v>5000000</v>
      </c>
      <c r="O8" s="4">
        <f t="shared" si="0"/>
        <v>7590000</v>
      </c>
      <c r="P8" s="4">
        <f t="shared" si="6"/>
        <v>2275668.0799999982</v>
      </c>
      <c r="Q8" s="4"/>
      <c r="R8" s="4"/>
      <c r="S8" s="4">
        <f t="shared" si="7"/>
        <v>0</v>
      </c>
      <c r="T8" s="4">
        <f t="shared" si="8"/>
        <v>0</v>
      </c>
      <c r="U8" s="4">
        <f t="shared" si="1"/>
        <v>5000000</v>
      </c>
      <c r="V8" s="4">
        <f t="shared" ref="V8:V14" si="9">U8-Z8-W8-Y8</f>
        <v>5000000</v>
      </c>
      <c r="W8" s="4"/>
      <c r="X8" s="4"/>
      <c r="Y8" s="4"/>
      <c r="Z8" s="3"/>
      <c r="AA8" s="198" t="s">
        <v>643</v>
      </c>
      <c r="AB8" s="3">
        <v>742000</v>
      </c>
      <c r="AC8" s="374"/>
      <c r="AD8" s="4"/>
      <c r="AE8" s="4">
        <v>500000</v>
      </c>
      <c r="AF8" s="4"/>
      <c r="AG8" s="4"/>
      <c r="AH8" s="4"/>
      <c r="AI8" s="4"/>
      <c r="AJ8" s="4">
        <f>150000+300000+500000</f>
        <v>950000</v>
      </c>
      <c r="AK8" s="4">
        <v>550000</v>
      </c>
      <c r="AL8" s="4">
        <f t="shared" ref="AL8:AL16" si="10">SUM(AC8:AK8)</f>
        <v>2000000</v>
      </c>
      <c r="AM8" s="4"/>
      <c r="AN8" s="4">
        <f t="shared" ref="AN8:AN16" si="11">AL8+AM8</f>
        <v>2000000</v>
      </c>
      <c r="AO8" s="4">
        <f t="shared" ref="AO8:AO16" si="12">U8-AN8</f>
        <v>3000000</v>
      </c>
      <c r="AP8" s="4">
        <f t="shared" ref="AP8:AP16" si="13">AN8-AQ8-AR8-AS8-AT8</f>
        <v>2000000</v>
      </c>
      <c r="AQ8" s="3"/>
      <c r="AR8" s="3"/>
      <c r="AS8" s="3"/>
      <c r="AT8" s="3"/>
      <c r="AU8" s="4">
        <f t="shared" ref="AU8:AU16" si="14">AM8-AV8-AW8-AX8-AY8</f>
        <v>0</v>
      </c>
      <c r="AV8" s="3"/>
      <c r="AW8" s="3"/>
      <c r="AX8" s="3"/>
      <c r="AY8" s="3"/>
      <c r="AZ8" s="4">
        <f t="shared" ref="AZ8:AZ16" si="15">AO8-BA8-BB8-BC8-BD8</f>
        <v>3000000</v>
      </c>
      <c r="BA8" s="3"/>
      <c r="BB8" s="3"/>
      <c r="BC8" s="3"/>
      <c r="BD8" s="3"/>
      <c r="BF8" s="191"/>
      <c r="BG8" s="191"/>
    </row>
    <row r="9" spans="1:59" s="202" customFormat="1" ht="19.95" customHeight="1">
      <c r="A9" s="198">
        <f t="shared" ref="A9:A16" si="16">A8+1</f>
        <v>3</v>
      </c>
      <c r="B9" s="198">
        <v>1130</v>
      </c>
      <c r="C9" s="198" t="s">
        <v>36</v>
      </c>
      <c r="D9" s="199">
        <v>16000000</v>
      </c>
      <c r="E9" s="199">
        <v>16000000</v>
      </c>
      <c r="F9" s="199">
        <f t="shared" si="2"/>
        <v>0</v>
      </c>
      <c r="G9" s="199">
        <v>13481894</v>
      </c>
      <c r="H9" s="199">
        <v>11423753.060000001</v>
      </c>
      <c r="I9" s="199">
        <v>41032.550000000003</v>
      </c>
      <c r="J9" s="199">
        <v>813063.22</v>
      </c>
      <c r="K9" s="4">
        <f t="shared" si="3"/>
        <v>854095.77</v>
      </c>
      <c r="L9" s="4">
        <f t="shared" si="4"/>
        <v>12277848.83</v>
      </c>
      <c r="M9" s="4">
        <f>P9+S9-700000</f>
        <v>504045.16999999993</v>
      </c>
      <c r="N9" s="4">
        <v>700000</v>
      </c>
      <c r="O9" s="4">
        <f t="shared" si="0"/>
        <v>2518106</v>
      </c>
      <c r="P9" s="4">
        <f t="shared" si="6"/>
        <v>1204045.17</v>
      </c>
      <c r="Q9" s="4"/>
      <c r="R9" s="4"/>
      <c r="S9" s="4">
        <f t="shared" si="7"/>
        <v>0</v>
      </c>
      <c r="T9" s="4">
        <f t="shared" si="8"/>
        <v>700000</v>
      </c>
      <c r="U9" s="4">
        <f t="shared" si="1"/>
        <v>0</v>
      </c>
      <c r="V9" s="4">
        <f t="shared" si="9"/>
        <v>0</v>
      </c>
      <c r="W9" s="4"/>
      <c r="X9" s="4"/>
      <c r="Y9" s="4"/>
      <c r="Z9" s="3"/>
      <c r="AA9" s="198" t="s">
        <v>578</v>
      </c>
      <c r="AB9" s="198">
        <v>742000</v>
      </c>
      <c r="AC9" s="198"/>
      <c r="AD9" s="4"/>
      <c r="AE9" s="4"/>
      <c r="AF9" s="4"/>
      <c r="AG9" s="4"/>
      <c r="AH9" s="4"/>
      <c r="AI9" s="4"/>
      <c r="AJ9" s="4"/>
      <c r="AK9" s="4"/>
      <c r="AL9" s="4">
        <f t="shared" si="10"/>
        <v>0</v>
      </c>
      <c r="AM9" s="4"/>
      <c r="AN9" s="4">
        <f t="shared" si="11"/>
        <v>0</v>
      </c>
      <c r="AO9" s="4">
        <f t="shared" si="12"/>
        <v>0</v>
      </c>
      <c r="AP9" s="4">
        <f t="shared" si="13"/>
        <v>0</v>
      </c>
      <c r="AQ9" s="3"/>
      <c r="AR9" s="3"/>
      <c r="AS9" s="3"/>
      <c r="AT9" s="3"/>
      <c r="AU9" s="4">
        <f t="shared" si="14"/>
        <v>0</v>
      </c>
      <c r="AV9" s="3"/>
      <c r="AW9" s="3"/>
      <c r="AX9" s="3"/>
      <c r="AY9" s="3"/>
      <c r="AZ9" s="4">
        <f t="shared" si="15"/>
        <v>0</v>
      </c>
      <c r="BA9" s="3"/>
      <c r="BB9" s="3"/>
      <c r="BC9" s="3"/>
      <c r="BD9" s="3"/>
      <c r="BF9" s="191"/>
      <c r="BG9" s="191"/>
    </row>
    <row r="10" spans="1:59" s="202" customFormat="1" ht="19.95" customHeight="1">
      <c r="A10" s="198">
        <f t="shared" si="16"/>
        <v>4</v>
      </c>
      <c r="B10" s="198">
        <v>1259</v>
      </c>
      <c r="C10" s="198" t="s">
        <v>72</v>
      </c>
      <c r="D10" s="199">
        <v>5460000</v>
      </c>
      <c r="E10" s="199">
        <v>5460000</v>
      </c>
      <c r="F10" s="199">
        <f t="shared" si="2"/>
        <v>0</v>
      </c>
      <c r="G10" s="199">
        <v>3410000</v>
      </c>
      <c r="H10" s="199">
        <v>2998407.51</v>
      </c>
      <c r="I10" s="199"/>
      <c r="J10" s="199">
        <v>363683.17</v>
      </c>
      <c r="K10" s="4">
        <f t="shared" si="3"/>
        <v>363683.17</v>
      </c>
      <c r="L10" s="4">
        <f t="shared" si="4"/>
        <v>3362090.6799999997</v>
      </c>
      <c r="M10" s="4">
        <f t="shared" si="5"/>
        <v>47909.320000000298</v>
      </c>
      <c r="N10" s="4">
        <v>350000</v>
      </c>
      <c r="O10" s="4">
        <f t="shared" si="0"/>
        <v>1700000</v>
      </c>
      <c r="P10" s="4">
        <f t="shared" si="6"/>
        <v>47909.320000000298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350000</v>
      </c>
      <c r="V10" s="4">
        <f t="shared" si="9"/>
        <v>350000</v>
      </c>
      <c r="W10" s="4"/>
      <c r="X10" s="4"/>
      <c r="Y10" s="4"/>
      <c r="Z10" s="3"/>
      <c r="AA10" s="198" t="s">
        <v>394</v>
      </c>
      <c r="AB10" s="198">
        <v>760000</v>
      </c>
      <c r="AC10" s="198"/>
      <c r="AD10" s="4"/>
      <c r="AE10" s="4"/>
      <c r="AF10" s="4"/>
      <c r="AG10" s="4"/>
      <c r="AH10" s="4"/>
      <c r="AI10" s="4">
        <v>100000</v>
      </c>
      <c r="AJ10" s="4"/>
      <c r="AK10" s="4">
        <v>100000</v>
      </c>
      <c r="AL10" s="4">
        <f t="shared" si="10"/>
        <v>200000</v>
      </c>
      <c r="AM10" s="4"/>
      <c r="AN10" s="4">
        <f t="shared" si="11"/>
        <v>200000</v>
      </c>
      <c r="AO10" s="4">
        <f t="shared" si="12"/>
        <v>150000</v>
      </c>
      <c r="AP10" s="4">
        <f t="shared" si="13"/>
        <v>200000</v>
      </c>
      <c r="AQ10" s="3"/>
      <c r="AR10" s="3"/>
      <c r="AS10" s="3"/>
      <c r="AT10" s="3"/>
      <c r="AU10" s="4">
        <f t="shared" si="14"/>
        <v>0</v>
      </c>
      <c r="AV10" s="3"/>
      <c r="AW10" s="3"/>
      <c r="AX10" s="3"/>
      <c r="AY10" s="3"/>
      <c r="AZ10" s="4">
        <f t="shared" si="15"/>
        <v>150000</v>
      </c>
      <c r="BA10" s="3"/>
      <c r="BB10" s="3"/>
      <c r="BC10" s="3"/>
      <c r="BD10" s="3"/>
      <c r="BF10" s="191"/>
      <c r="BG10" s="191"/>
    </row>
    <row r="11" spans="1:59" s="202" customFormat="1" ht="19.95" customHeight="1">
      <c r="A11" s="198">
        <f t="shared" si="16"/>
        <v>5</v>
      </c>
      <c r="B11" s="198">
        <v>1260</v>
      </c>
      <c r="C11" s="198" t="s">
        <v>73</v>
      </c>
      <c r="D11" s="199">
        <v>8608000</v>
      </c>
      <c r="E11" s="199">
        <v>8608000</v>
      </c>
      <c r="F11" s="199">
        <f t="shared" si="2"/>
        <v>0</v>
      </c>
      <c r="G11" s="199">
        <v>7908000</v>
      </c>
      <c r="H11" s="199">
        <v>7428135</v>
      </c>
      <c r="I11" s="199"/>
      <c r="J11" s="199">
        <v>463361.54</v>
      </c>
      <c r="K11" s="4">
        <f t="shared" si="3"/>
        <v>463361.54</v>
      </c>
      <c r="L11" s="4">
        <f t="shared" si="4"/>
        <v>7891496.54</v>
      </c>
      <c r="M11" s="4">
        <f t="shared" si="5"/>
        <v>16503.459999999963</v>
      </c>
      <c r="N11" s="4">
        <v>500000</v>
      </c>
      <c r="O11" s="4">
        <f t="shared" si="0"/>
        <v>200000</v>
      </c>
      <c r="P11" s="4">
        <f t="shared" si="6"/>
        <v>16503.459999999963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500000</v>
      </c>
      <c r="V11" s="4">
        <f t="shared" si="9"/>
        <v>250000</v>
      </c>
      <c r="W11" s="4">
        <v>250000</v>
      </c>
      <c r="X11" s="4"/>
      <c r="Y11" s="4"/>
      <c r="Z11" s="3"/>
      <c r="AA11" s="198" t="s">
        <v>395</v>
      </c>
      <c r="AB11" s="198">
        <v>760000</v>
      </c>
      <c r="AC11" s="198"/>
      <c r="AD11" s="4"/>
      <c r="AE11" s="4"/>
      <c r="AF11" s="4"/>
      <c r="AG11" s="4"/>
      <c r="AH11" s="4"/>
      <c r="AI11" s="4"/>
      <c r="AJ11" s="4"/>
      <c r="AK11" s="4">
        <v>200000</v>
      </c>
      <c r="AL11" s="4">
        <f t="shared" si="10"/>
        <v>200000</v>
      </c>
      <c r="AM11" s="4"/>
      <c r="AN11" s="4">
        <f t="shared" si="11"/>
        <v>200000</v>
      </c>
      <c r="AO11" s="4">
        <f t="shared" si="12"/>
        <v>300000</v>
      </c>
      <c r="AP11" s="4">
        <f t="shared" si="13"/>
        <v>100000</v>
      </c>
      <c r="AQ11" s="4">
        <v>100000</v>
      </c>
      <c r="AR11" s="3"/>
      <c r="AS11" s="3"/>
      <c r="AT11" s="3"/>
      <c r="AU11" s="4">
        <f t="shared" si="14"/>
        <v>0</v>
      </c>
      <c r="AV11" s="3"/>
      <c r="AW11" s="3"/>
      <c r="AX11" s="3"/>
      <c r="AY11" s="3"/>
      <c r="AZ11" s="4">
        <f t="shared" si="15"/>
        <v>150000</v>
      </c>
      <c r="BA11" s="3">
        <v>150000</v>
      </c>
      <c r="BB11" s="3"/>
      <c r="BC11" s="3"/>
      <c r="BD11" s="3"/>
      <c r="BF11" s="191"/>
      <c r="BG11" s="191"/>
    </row>
    <row r="12" spans="1:59" s="202" customFormat="1" ht="19.95" customHeight="1">
      <c r="A12" s="198">
        <f t="shared" si="16"/>
        <v>6</v>
      </c>
      <c r="B12" s="198">
        <v>1422</v>
      </c>
      <c r="C12" s="198" t="s">
        <v>74</v>
      </c>
      <c r="D12" s="199">
        <v>30257000</v>
      </c>
      <c r="E12" s="199">
        <v>30257000</v>
      </c>
      <c r="F12" s="199">
        <f t="shared" si="2"/>
        <v>0</v>
      </c>
      <c r="G12" s="199">
        <v>14182000</v>
      </c>
      <c r="H12" s="199">
        <v>7257000</v>
      </c>
      <c r="I12" s="199"/>
      <c r="J12" s="199"/>
      <c r="K12" s="4">
        <f t="shared" si="3"/>
        <v>0</v>
      </c>
      <c r="L12" s="4">
        <f t="shared" si="4"/>
        <v>7257000</v>
      </c>
      <c r="M12" s="4">
        <f t="shared" si="5"/>
        <v>6925000</v>
      </c>
      <c r="N12" s="4"/>
      <c r="O12" s="4">
        <f t="shared" si="0"/>
        <v>16075000</v>
      </c>
      <c r="P12" s="4">
        <f t="shared" si="6"/>
        <v>6925000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0</v>
      </c>
      <c r="V12" s="4">
        <f t="shared" si="9"/>
        <v>0</v>
      </c>
      <c r="W12" s="4"/>
      <c r="X12" s="4"/>
      <c r="Y12" s="4"/>
      <c r="Z12" s="3"/>
      <c r="AA12" s="198" t="s">
        <v>646</v>
      </c>
      <c r="AB12" s="198">
        <v>730000</v>
      </c>
      <c r="AC12" s="198"/>
      <c r="AD12" s="4"/>
      <c r="AE12" s="4"/>
      <c r="AF12" s="4"/>
      <c r="AG12" s="4"/>
      <c r="AH12" s="4"/>
      <c r="AI12" s="4"/>
      <c r="AJ12" s="4"/>
      <c r="AK12" s="4"/>
      <c r="AL12" s="4">
        <f t="shared" si="10"/>
        <v>0</v>
      </c>
      <c r="AM12" s="4"/>
      <c r="AN12" s="4">
        <f t="shared" si="11"/>
        <v>0</v>
      </c>
      <c r="AO12" s="4">
        <f t="shared" si="12"/>
        <v>0</v>
      </c>
      <c r="AP12" s="4">
        <f t="shared" si="13"/>
        <v>0</v>
      </c>
      <c r="AQ12" s="3"/>
      <c r="AR12" s="3"/>
      <c r="AS12" s="3"/>
      <c r="AT12" s="3"/>
      <c r="AU12" s="4">
        <f t="shared" si="14"/>
        <v>0</v>
      </c>
      <c r="AV12" s="3"/>
      <c r="AW12" s="3"/>
      <c r="AX12" s="3"/>
      <c r="AY12" s="3"/>
      <c r="AZ12" s="4">
        <f t="shared" si="15"/>
        <v>0</v>
      </c>
      <c r="BA12" s="3"/>
      <c r="BB12" s="3"/>
      <c r="BC12" s="3"/>
      <c r="BD12" s="3"/>
      <c r="BF12" s="191"/>
      <c r="BG12" s="191"/>
    </row>
    <row r="13" spans="1:59" s="202" customFormat="1" ht="19.95" customHeight="1">
      <c r="A13" s="198">
        <f t="shared" si="16"/>
        <v>7</v>
      </c>
      <c r="B13" s="198">
        <v>1688</v>
      </c>
      <c r="C13" s="198" t="s">
        <v>75</v>
      </c>
      <c r="D13" s="199">
        <v>15133000</v>
      </c>
      <c r="E13" s="199">
        <v>15133000</v>
      </c>
      <c r="F13" s="199">
        <f t="shared" si="2"/>
        <v>0</v>
      </c>
      <c r="G13" s="199">
        <v>15133000</v>
      </c>
      <c r="H13" s="199">
        <v>15133000</v>
      </c>
      <c r="I13" s="199"/>
      <c r="J13" s="199"/>
      <c r="K13" s="4">
        <f t="shared" si="3"/>
        <v>0</v>
      </c>
      <c r="L13" s="4">
        <f t="shared" si="4"/>
        <v>15133000</v>
      </c>
      <c r="M13" s="4">
        <f t="shared" si="5"/>
        <v>0</v>
      </c>
      <c r="N13" s="4"/>
      <c r="O13" s="4">
        <f t="shared" si="0"/>
        <v>0</v>
      </c>
      <c r="P13" s="4">
        <f t="shared" si="6"/>
        <v>0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0</v>
      </c>
      <c r="V13" s="4">
        <f t="shared" si="9"/>
        <v>0</v>
      </c>
      <c r="W13" s="4"/>
      <c r="X13" s="4"/>
      <c r="Y13" s="4"/>
      <c r="Z13" s="3"/>
      <c r="AA13" s="198" t="s">
        <v>647</v>
      </c>
      <c r="AB13" s="198">
        <v>990000</v>
      </c>
      <c r="AC13" s="198"/>
      <c r="AD13" s="4"/>
      <c r="AE13" s="4"/>
      <c r="AF13" s="4"/>
      <c r="AG13" s="4"/>
      <c r="AH13" s="4"/>
      <c r="AI13" s="4"/>
      <c r="AJ13" s="4"/>
      <c r="AK13" s="4"/>
      <c r="AL13" s="4">
        <f t="shared" si="10"/>
        <v>0</v>
      </c>
      <c r="AM13" s="4"/>
      <c r="AN13" s="4">
        <f t="shared" si="11"/>
        <v>0</v>
      </c>
      <c r="AO13" s="4">
        <f t="shared" si="12"/>
        <v>0</v>
      </c>
      <c r="AP13" s="4">
        <f t="shared" si="13"/>
        <v>0</v>
      </c>
      <c r="AQ13" s="3"/>
      <c r="AR13" s="3"/>
      <c r="AS13" s="3"/>
      <c r="AT13" s="3"/>
      <c r="AU13" s="4">
        <f t="shared" si="14"/>
        <v>0</v>
      </c>
      <c r="AV13" s="3"/>
      <c r="AW13" s="3"/>
      <c r="AX13" s="3"/>
      <c r="AY13" s="3"/>
      <c r="AZ13" s="4">
        <f t="shared" si="15"/>
        <v>0</v>
      </c>
      <c r="BA13" s="3"/>
      <c r="BB13" s="3"/>
      <c r="BC13" s="3"/>
      <c r="BD13" s="3"/>
      <c r="BF13" s="191"/>
      <c r="BG13" s="191"/>
    </row>
    <row r="14" spans="1:59" s="202" customFormat="1" ht="27.6">
      <c r="A14" s="198">
        <f t="shared" si="16"/>
        <v>8</v>
      </c>
      <c r="B14" s="188">
        <v>1793</v>
      </c>
      <c r="C14" s="188" t="s">
        <v>995</v>
      </c>
      <c r="D14" s="199">
        <f>2883606+150000</f>
        <v>3033606</v>
      </c>
      <c r="E14" s="199">
        <f>2883606+150000</f>
        <v>3033606</v>
      </c>
      <c r="F14" s="199">
        <f t="shared" si="2"/>
        <v>0</v>
      </c>
      <c r="G14" s="199">
        <v>3033606</v>
      </c>
      <c r="H14" s="199">
        <v>2809988.1</v>
      </c>
      <c r="I14" s="199"/>
      <c r="J14" s="199">
        <v>130253.75999999999</v>
      </c>
      <c r="K14" s="4">
        <f t="shared" si="3"/>
        <v>130253.75999999999</v>
      </c>
      <c r="L14" s="4">
        <f t="shared" si="4"/>
        <v>2940241.86</v>
      </c>
      <c r="M14" s="4">
        <f t="shared" si="5"/>
        <v>93364.14000000013</v>
      </c>
      <c r="N14" s="4"/>
      <c r="O14" s="4">
        <f t="shared" si="0"/>
        <v>0</v>
      </c>
      <c r="P14" s="4">
        <f t="shared" si="6"/>
        <v>93364.14000000013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1"/>
        <v>0</v>
      </c>
      <c r="V14" s="4">
        <f t="shared" si="9"/>
        <v>0</v>
      </c>
      <c r="W14" s="4"/>
      <c r="X14" s="4"/>
      <c r="Y14" s="4"/>
      <c r="Z14" s="3"/>
      <c r="AA14" s="198"/>
      <c r="AB14" s="198">
        <v>742000</v>
      </c>
      <c r="AC14" s="198"/>
      <c r="AD14" s="4"/>
      <c r="AE14" s="4"/>
      <c r="AF14" s="4"/>
      <c r="AG14" s="4"/>
      <c r="AH14" s="4"/>
      <c r="AI14" s="4"/>
      <c r="AJ14" s="4"/>
      <c r="AK14" s="4"/>
      <c r="AL14" s="4">
        <f t="shared" si="10"/>
        <v>0</v>
      </c>
      <c r="AM14" s="4"/>
      <c r="AN14" s="4">
        <f t="shared" si="11"/>
        <v>0</v>
      </c>
      <c r="AO14" s="4">
        <f t="shared" si="12"/>
        <v>0</v>
      </c>
      <c r="AP14" s="4">
        <f t="shared" si="13"/>
        <v>0</v>
      </c>
      <c r="AQ14" s="3"/>
      <c r="AR14" s="3"/>
      <c r="AS14" s="3"/>
      <c r="AT14" s="3"/>
      <c r="AU14" s="4">
        <f t="shared" si="14"/>
        <v>0</v>
      </c>
      <c r="AV14" s="3"/>
      <c r="AW14" s="3"/>
      <c r="AX14" s="3"/>
      <c r="AY14" s="3"/>
      <c r="AZ14" s="4">
        <f t="shared" si="15"/>
        <v>0</v>
      </c>
      <c r="BA14" s="3"/>
      <c r="BB14" s="3"/>
      <c r="BC14" s="3"/>
      <c r="BD14" s="3"/>
      <c r="BF14" s="191"/>
      <c r="BG14" s="191"/>
    </row>
    <row r="15" spans="1:59" s="202" customFormat="1" ht="19.95" customHeight="1">
      <c r="A15" s="198">
        <f t="shared" si="16"/>
        <v>9</v>
      </c>
      <c r="B15" s="198">
        <v>1986</v>
      </c>
      <c r="C15" s="198" t="s">
        <v>202</v>
      </c>
      <c r="D15" s="199">
        <v>6400000</v>
      </c>
      <c r="E15" s="199">
        <v>6400000</v>
      </c>
      <c r="F15" s="199">
        <f>D15-E15</f>
        <v>0</v>
      </c>
      <c r="G15" s="199">
        <v>6400000</v>
      </c>
      <c r="H15" s="199">
        <v>2276569.46</v>
      </c>
      <c r="I15" s="199">
        <v>155498</v>
      </c>
      <c r="J15" s="199">
        <f>891388.61-155498</f>
        <v>735890.61</v>
      </c>
      <c r="K15" s="4">
        <f>SUM(I15:J15)</f>
        <v>891388.61</v>
      </c>
      <c r="L15" s="4">
        <f>H15+K15</f>
        <v>3167958.07</v>
      </c>
      <c r="M15" s="4">
        <f>P15+S15-2442083+17810+44000</f>
        <v>851768.93000000017</v>
      </c>
      <c r="N15" s="4"/>
      <c r="O15" s="4">
        <f>D15-L15-M15-N15</f>
        <v>2380273</v>
      </c>
      <c r="P15" s="4">
        <f>G15-L15</f>
        <v>3232041.93</v>
      </c>
      <c r="Q15" s="4"/>
      <c r="R15" s="4"/>
      <c r="S15" s="4">
        <f>SUM(Q15:R15)</f>
        <v>0</v>
      </c>
      <c r="T15" s="4">
        <f>P15-M15+S15</f>
        <v>2380273</v>
      </c>
      <c r="U15" s="4">
        <f>N15-T15</f>
        <v>-2380273</v>
      </c>
      <c r="V15" s="4">
        <f>U15-Z15-W15-Y15</f>
        <v>-2121173</v>
      </c>
      <c r="W15" s="4">
        <f>-259100</f>
        <v>-259100</v>
      </c>
      <c r="X15" s="4"/>
      <c r="Y15" s="4"/>
      <c r="Z15" s="3"/>
      <c r="AA15" s="198"/>
      <c r="AB15" s="198">
        <v>742000</v>
      </c>
      <c r="AC15" s="204"/>
      <c r="AD15" s="4"/>
      <c r="AE15" s="4">
        <v>-2380273</v>
      </c>
      <c r="AF15" s="4"/>
      <c r="AG15" s="4"/>
      <c r="AH15" s="4"/>
      <c r="AI15" s="4"/>
      <c r="AJ15" s="4"/>
      <c r="AK15" s="4"/>
      <c r="AL15" s="4">
        <f t="shared" si="10"/>
        <v>-2380273</v>
      </c>
      <c r="AM15" s="4"/>
      <c r="AN15" s="4">
        <f t="shared" si="11"/>
        <v>-2380273</v>
      </c>
      <c r="AO15" s="4">
        <f t="shared" si="12"/>
        <v>0</v>
      </c>
      <c r="AP15" s="4">
        <f t="shared" si="13"/>
        <v>-2121173</v>
      </c>
      <c r="AQ15" s="4">
        <v>-259100</v>
      </c>
      <c r="AR15" s="3"/>
      <c r="AS15" s="3"/>
      <c r="AT15" s="3"/>
      <c r="AU15" s="4">
        <f t="shared" si="14"/>
        <v>0</v>
      </c>
      <c r="AV15" s="3"/>
      <c r="AW15" s="3"/>
      <c r="AX15" s="3"/>
      <c r="AY15" s="3"/>
      <c r="AZ15" s="4">
        <f t="shared" si="15"/>
        <v>0</v>
      </c>
      <c r="BA15" s="3"/>
      <c r="BB15" s="3"/>
      <c r="BC15" s="3"/>
      <c r="BD15" s="3"/>
      <c r="BF15" s="191"/>
      <c r="BG15" s="191"/>
    </row>
    <row r="16" spans="1:59" s="202" customFormat="1" ht="19.95" customHeight="1">
      <c r="A16" s="198">
        <f t="shared" si="16"/>
        <v>10</v>
      </c>
      <c r="B16" s="198">
        <v>2100</v>
      </c>
      <c r="C16" s="198" t="s">
        <v>644</v>
      </c>
      <c r="D16" s="199">
        <v>10000000</v>
      </c>
      <c r="E16" s="199"/>
      <c r="F16" s="199">
        <f>D16-E16</f>
        <v>10000000</v>
      </c>
      <c r="G16" s="199"/>
      <c r="H16" s="199"/>
      <c r="I16" s="199"/>
      <c r="J16" s="199"/>
      <c r="K16" s="199">
        <f>SUM(I16:J16)</f>
        <v>0</v>
      </c>
      <c r="L16" s="199">
        <f>H16+K16</f>
        <v>0</v>
      </c>
      <c r="M16" s="199">
        <f>P16+S16</f>
        <v>0</v>
      </c>
      <c r="N16" s="199">
        <f>5000000-500000</f>
        <v>4500000</v>
      </c>
      <c r="O16" s="199">
        <f>D16-L16-M16-N16</f>
        <v>5500000</v>
      </c>
      <c r="P16" s="199">
        <f>G16-L16</f>
        <v>0</v>
      </c>
      <c r="Q16" s="199"/>
      <c r="R16" s="199"/>
      <c r="S16" s="199">
        <f>SUM(Q16:R16)</f>
        <v>0</v>
      </c>
      <c r="T16" s="199">
        <f>P16-M16+S16</f>
        <v>0</v>
      </c>
      <c r="U16" s="199">
        <f>N16-T16</f>
        <v>4500000</v>
      </c>
      <c r="V16" s="199">
        <f>U16-W16-Y16-Z16</f>
        <v>1000000</v>
      </c>
      <c r="W16" s="199">
        <f>2500000+500000+500000</f>
        <v>3500000</v>
      </c>
      <c r="X16" s="199"/>
      <c r="Y16" s="199"/>
      <c r="Z16" s="198"/>
      <c r="AA16" s="198" t="s">
        <v>645</v>
      </c>
      <c r="AB16" s="198">
        <v>742000</v>
      </c>
      <c r="AC16" s="198"/>
      <c r="AD16" s="4">
        <f>500000+500000</f>
        <v>1000000</v>
      </c>
      <c r="AE16" s="4">
        <v>1000000</v>
      </c>
      <c r="AF16" s="4">
        <v>2500000</v>
      </c>
      <c r="AG16" s="4"/>
      <c r="AH16" s="4"/>
      <c r="AI16" s="4"/>
      <c r="AJ16" s="4"/>
      <c r="AK16" s="4"/>
      <c r="AL16" s="4">
        <f t="shared" si="10"/>
        <v>4500000</v>
      </c>
      <c r="AM16" s="4"/>
      <c r="AN16" s="4">
        <f t="shared" si="11"/>
        <v>4500000</v>
      </c>
      <c r="AO16" s="4">
        <f t="shared" si="12"/>
        <v>0</v>
      </c>
      <c r="AP16" s="4">
        <f t="shared" si="13"/>
        <v>1000000</v>
      </c>
      <c r="AQ16" s="4">
        <v>3500000</v>
      </c>
      <c r="AR16" s="3"/>
      <c r="AS16" s="3"/>
      <c r="AT16" s="3"/>
      <c r="AU16" s="4">
        <f t="shared" si="14"/>
        <v>0</v>
      </c>
      <c r="AV16" s="3"/>
      <c r="AW16" s="3"/>
      <c r="AX16" s="3"/>
      <c r="AY16" s="3"/>
      <c r="AZ16" s="4">
        <f t="shared" si="15"/>
        <v>0</v>
      </c>
      <c r="BA16" s="3"/>
      <c r="BB16" s="3"/>
      <c r="BC16" s="3"/>
      <c r="BD16" s="3"/>
      <c r="BF16" s="191"/>
      <c r="BG16" s="191"/>
    </row>
    <row r="17" spans="1:59" s="203" customFormat="1" ht="19.95" customHeight="1">
      <c r="A17" s="204">
        <f>A16</f>
        <v>10</v>
      </c>
      <c r="B17" s="204"/>
      <c r="C17" s="204" t="s">
        <v>617</v>
      </c>
      <c r="D17" s="206">
        <f t="shared" ref="D17:BD17" si="17">SUM(D7:D16)</f>
        <v>136041606</v>
      </c>
      <c r="E17" s="206">
        <f t="shared" si="17"/>
        <v>125991606</v>
      </c>
      <c r="F17" s="206">
        <f t="shared" si="17"/>
        <v>10050000</v>
      </c>
      <c r="G17" s="206">
        <f t="shared" si="17"/>
        <v>92058500</v>
      </c>
      <c r="H17" s="206">
        <f t="shared" si="17"/>
        <v>71800967.069999993</v>
      </c>
      <c r="I17" s="206">
        <f t="shared" si="17"/>
        <v>462414.37</v>
      </c>
      <c r="J17" s="206">
        <f t="shared" si="17"/>
        <v>5816839.2599999998</v>
      </c>
      <c r="K17" s="206">
        <f t="shared" si="17"/>
        <v>6279253.6299999999</v>
      </c>
      <c r="L17" s="206">
        <f t="shared" si="17"/>
        <v>78080220.700000003</v>
      </c>
      <c r="M17" s="206">
        <f t="shared" si="17"/>
        <v>10898006.299999999</v>
      </c>
      <c r="N17" s="206">
        <f t="shared" si="17"/>
        <v>11100000</v>
      </c>
      <c r="O17" s="206">
        <f t="shared" si="17"/>
        <v>35963379</v>
      </c>
      <c r="P17" s="206">
        <f t="shared" si="17"/>
        <v>13978279.299999999</v>
      </c>
      <c r="Q17" s="206">
        <f t="shared" si="17"/>
        <v>0</v>
      </c>
      <c r="R17" s="206">
        <f t="shared" si="17"/>
        <v>0</v>
      </c>
      <c r="S17" s="206">
        <f t="shared" si="17"/>
        <v>0</v>
      </c>
      <c r="T17" s="206">
        <f t="shared" si="17"/>
        <v>3080273</v>
      </c>
      <c r="U17" s="206">
        <f t="shared" si="17"/>
        <v>8019727</v>
      </c>
      <c r="V17" s="206">
        <f t="shared" si="17"/>
        <v>4528827</v>
      </c>
      <c r="W17" s="206">
        <f t="shared" si="17"/>
        <v>3490900</v>
      </c>
      <c r="X17" s="206">
        <f t="shared" si="17"/>
        <v>0</v>
      </c>
      <c r="Y17" s="206">
        <f t="shared" si="17"/>
        <v>0</v>
      </c>
      <c r="Z17" s="206">
        <f t="shared" si="17"/>
        <v>0</v>
      </c>
      <c r="AA17" s="206">
        <f t="shared" si="17"/>
        <v>0</v>
      </c>
      <c r="AB17" s="206">
        <f t="shared" si="17"/>
        <v>7790000</v>
      </c>
      <c r="AC17" s="206">
        <f t="shared" ref="AC17:AJ17" si="18">SUM(AC7:AC16)</f>
        <v>0</v>
      </c>
      <c r="AD17" s="206">
        <f t="shared" si="18"/>
        <v>1000000</v>
      </c>
      <c r="AE17" s="206">
        <f t="shared" si="18"/>
        <v>-880273</v>
      </c>
      <c r="AF17" s="206">
        <f t="shared" si="18"/>
        <v>2500000</v>
      </c>
      <c r="AG17" s="206">
        <f t="shared" si="18"/>
        <v>0</v>
      </c>
      <c r="AH17" s="206">
        <f t="shared" si="18"/>
        <v>0</v>
      </c>
      <c r="AI17" s="206">
        <f t="shared" si="18"/>
        <v>100000</v>
      </c>
      <c r="AJ17" s="206">
        <f t="shared" si="18"/>
        <v>950000</v>
      </c>
      <c r="AK17" s="206">
        <f t="shared" si="17"/>
        <v>900000</v>
      </c>
      <c r="AL17" s="206">
        <f t="shared" si="17"/>
        <v>4569727</v>
      </c>
      <c r="AM17" s="206">
        <f t="shared" si="17"/>
        <v>0</v>
      </c>
      <c r="AN17" s="206">
        <f t="shared" si="17"/>
        <v>4569727</v>
      </c>
      <c r="AO17" s="206">
        <f t="shared" si="17"/>
        <v>3450000</v>
      </c>
      <c r="AP17" s="206">
        <f t="shared" si="17"/>
        <v>1228827</v>
      </c>
      <c r="AQ17" s="206">
        <f t="shared" si="17"/>
        <v>3340900</v>
      </c>
      <c r="AR17" s="206">
        <f t="shared" si="17"/>
        <v>0</v>
      </c>
      <c r="AS17" s="206">
        <f>SUM(AS7:AS16)</f>
        <v>0</v>
      </c>
      <c r="AT17" s="206">
        <f>SUM(AT7:AT16)</f>
        <v>0</v>
      </c>
      <c r="AU17" s="206">
        <f t="shared" ref="AU17:BA17" si="19">SUM(AU7:AU16)</f>
        <v>0</v>
      </c>
      <c r="AV17" s="206">
        <f t="shared" si="19"/>
        <v>0</v>
      </c>
      <c r="AW17" s="206">
        <f>SUM(AW7:AW16)</f>
        <v>0</v>
      </c>
      <c r="AX17" s="206">
        <f>SUM(AX7:AX16)</f>
        <v>0</v>
      </c>
      <c r="AY17" s="206">
        <f>SUM(AY7:AY16)</f>
        <v>0</v>
      </c>
      <c r="AZ17" s="206">
        <f>SUM(AZ7:AZ16)</f>
        <v>3300000</v>
      </c>
      <c r="BA17" s="206">
        <f t="shared" si="19"/>
        <v>150000</v>
      </c>
      <c r="BB17" s="206">
        <f t="shared" si="17"/>
        <v>0</v>
      </c>
      <c r="BC17" s="206">
        <f t="shared" si="17"/>
        <v>0</v>
      </c>
      <c r="BD17" s="206">
        <f t="shared" si="17"/>
        <v>0</v>
      </c>
      <c r="BF17" s="191"/>
      <c r="BG17" s="191"/>
    </row>
    <row r="18" spans="1:59" ht="18.75" hidden="1" customHeight="1">
      <c r="L18" s="214">
        <f>H17+K17</f>
        <v>78080220.699999988</v>
      </c>
      <c r="M18" s="214">
        <f>P17+S17-T17</f>
        <v>10898006.299999999</v>
      </c>
      <c r="N18" s="213"/>
      <c r="P18" s="214">
        <f>G17-L17</f>
        <v>13978279.299999997</v>
      </c>
      <c r="U18" s="215">
        <f>N17-T17</f>
        <v>8019727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U4:AY4"/>
    <mergeCell ref="AZ4:BD4"/>
    <mergeCell ref="A1:W1"/>
    <mergeCell ref="A4:C4"/>
    <mergeCell ref="T4:Z4"/>
    <mergeCell ref="AL4:AN4"/>
    <mergeCell ref="AP4:AT4"/>
  </mergeCells>
  <conditionalFormatting sqref="AA5">
    <cfRule type="cellIs" dxfId="14" priority="16" operator="equal">
      <formula>0</formula>
    </cfRule>
  </conditionalFormatting>
  <conditionalFormatting sqref="AC5">
    <cfRule type="cellIs" dxfId="13" priority="15" operator="equal">
      <formula>0</formula>
    </cfRule>
  </conditionalFormatting>
  <conditionalFormatting sqref="AC4">
    <cfRule type="cellIs" dxfId="12" priority="14" operator="equal">
      <formula>0</formula>
    </cfRule>
  </conditionalFormatting>
  <conditionalFormatting sqref="AK5">
    <cfRule type="cellIs" dxfId="11" priority="13" operator="equal">
      <formula>0</formula>
    </cfRule>
  </conditionalFormatting>
  <conditionalFormatting sqref="AD5">
    <cfRule type="cellIs" dxfId="10" priority="12" operator="equal">
      <formula>0</formula>
    </cfRule>
  </conditionalFormatting>
  <conditionalFormatting sqref="AE5">
    <cfRule type="cellIs" dxfId="9" priority="11" operator="equal">
      <formula>0</formula>
    </cfRule>
  </conditionalFormatting>
  <conditionalFormatting sqref="AF5">
    <cfRule type="cellIs" dxfId="8" priority="10" operator="equal">
      <formula>0</formula>
    </cfRule>
  </conditionalFormatting>
  <conditionalFormatting sqref="AG5">
    <cfRule type="cellIs" dxfId="7" priority="9" operator="equal">
      <formula>0</formula>
    </cfRule>
  </conditionalFormatting>
  <conditionalFormatting sqref="AH5">
    <cfRule type="cellIs" dxfId="6" priority="8" operator="equal">
      <formula>0</formula>
    </cfRule>
  </conditionalFormatting>
  <conditionalFormatting sqref="AI5">
    <cfRule type="cellIs" dxfId="5" priority="7" operator="equal">
      <formula>0</formula>
    </cfRule>
  </conditionalFormatting>
  <conditionalFormatting sqref="AJ5">
    <cfRule type="cellIs" dxfId="4" priority="6" operator="equal">
      <formula>0</formula>
    </cfRule>
  </conditionalFormatting>
  <conditionalFormatting sqref="AL5:AN5">
    <cfRule type="cellIs" dxfId="3" priority="5" operator="equal">
      <formula>0</formula>
    </cfRule>
  </conditionalFormatting>
  <conditionalFormatting sqref="AU5">
    <cfRule type="cellIs" dxfId="2" priority="2" operator="equal">
      <formula>0</formula>
    </cfRule>
  </conditionalFormatting>
  <conditionalFormatting sqref="AP5">
    <cfRule type="cellIs" dxfId="1" priority="3" operator="equal">
      <formula>0</formula>
    </cfRule>
  </conditionalFormatting>
  <conditionalFormatting sqref="AZ5">
    <cfRule type="cellIs" dxfId="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95"/>
  <sheetViews>
    <sheetView showZeros="0" rightToLeft="1" tabSelected="1" zoomScaleNormal="100" zoomScaleSheetLayoutView="75" workbookViewId="0">
      <pane xSplit="5" ySplit="6" topLeftCell="F88" activePane="bottomRight" state="frozen"/>
      <selection activeCell="Q24" sqref="Q24"/>
      <selection pane="topRight" activeCell="Q24" sqref="Q24"/>
      <selection pane="bottomLeft" activeCell="Q24" sqref="Q24"/>
      <selection pane="bottomRight" activeCell="Q24" sqref="Q24"/>
    </sheetView>
  </sheetViews>
  <sheetFormatPr defaultColWidth="14" defaultRowHeight="22.8"/>
  <cols>
    <col min="1" max="1" width="11.109375" style="228" hidden="1" customWidth="1"/>
    <col min="2" max="2" width="13.109375" style="90" hidden="1" customWidth="1"/>
    <col min="3" max="3" width="4.5546875" style="90" customWidth="1"/>
    <col min="4" max="4" width="6" style="548" customWidth="1"/>
    <col min="5" max="5" width="34.5546875" style="90" customWidth="1"/>
    <col min="6" max="6" width="11.5546875" style="90" hidden="1" customWidth="1"/>
    <col min="7" max="10" width="11.109375" style="90" hidden="1" customWidth="1"/>
    <col min="11" max="11" width="12" style="90" hidden="1" customWidth="1"/>
    <col min="12" max="13" width="11.109375" style="90" hidden="1" customWidth="1"/>
    <col min="14" max="14" width="11.33203125" style="90" customWidth="1"/>
    <col min="15" max="15" width="11.5546875" style="90" customWidth="1"/>
    <col min="16" max="16" width="10.33203125" style="90" bestFit="1" customWidth="1"/>
    <col min="17" max="17" width="10" style="90" customWidth="1"/>
    <col min="18" max="18" width="14.33203125" style="549" hidden="1" customWidth="1"/>
    <col min="19" max="21" width="9.6640625" style="90" hidden="1" customWidth="1"/>
    <col min="22" max="24" width="12.109375" style="90" hidden="1" customWidth="1"/>
    <col min="25" max="26" width="11.109375" style="90" hidden="1" customWidth="1"/>
    <col min="27" max="28" width="11.109375" style="90" bestFit="1" customWidth="1"/>
    <col min="29" max="29" width="12.44140625" style="90" customWidth="1"/>
    <col min="30" max="30" width="11.6640625" style="90" customWidth="1"/>
    <col min="31" max="31" width="13.88671875" style="90" customWidth="1"/>
    <col min="32" max="32" width="11.109375" style="90" hidden="1" customWidth="1"/>
    <col min="33" max="33" width="11.44140625" style="90" hidden="1" customWidth="1"/>
    <col min="34" max="34" width="10.77734375" style="90" hidden="1" customWidth="1"/>
    <col min="35" max="35" width="13.77734375" style="90" hidden="1" customWidth="1"/>
    <col min="36" max="36" width="11.109375" style="90" hidden="1" customWidth="1"/>
    <col min="37" max="37" width="11.44140625" style="90" hidden="1" customWidth="1"/>
    <col min="38" max="38" width="9.6640625" style="249" customWidth="1"/>
    <col min="39" max="39" width="13.33203125" style="90" customWidth="1"/>
    <col min="40" max="41" width="14" style="90"/>
    <col min="42" max="44" width="13.33203125" style="90" customWidth="1"/>
    <col min="45" max="53" width="10.33203125" style="228" customWidth="1"/>
    <col min="54" max="16384" width="14" style="90"/>
  </cols>
  <sheetData>
    <row r="1" spans="1:53" ht="15" customHeight="1"/>
    <row r="2" spans="1:53">
      <c r="B2" s="249"/>
      <c r="C2" s="378" t="s">
        <v>1101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R2" s="550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379"/>
      <c r="AE2" s="249"/>
      <c r="AF2" s="249"/>
      <c r="AG2" s="249"/>
      <c r="AH2" s="379"/>
      <c r="AI2" s="249"/>
      <c r="AJ2" s="249"/>
      <c r="AK2" s="249"/>
    </row>
    <row r="3" spans="1:53" ht="17.25" customHeight="1" thickBot="1">
      <c r="A3" s="229"/>
      <c r="B3" s="247"/>
      <c r="C3" s="247"/>
      <c r="D3" s="249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551"/>
      <c r="S3" s="247"/>
      <c r="T3" s="247"/>
      <c r="U3" s="247"/>
      <c r="V3" s="247"/>
      <c r="W3" s="247"/>
      <c r="X3" s="247"/>
      <c r="Y3" s="247"/>
      <c r="Z3" s="247"/>
      <c r="AA3" s="247"/>
      <c r="AB3" s="230"/>
      <c r="AC3" s="247"/>
      <c r="AD3" s="247"/>
      <c r="AE3" s="247"/>
      <c r="AF3" s="230"/>
      <c r="AG3" s="247"/>
      <c r="AH3" s="247"/>
      <c r="AI3" s="247"/>
      <c r="AJ3" s="230"/>
      <c r="AK3" s="247"/>
    </row>
    <row r="4" spans="1:53">
      <c r="A4" s="552"/>
      <c r="B4" s="553"/>
      <c r="C4" s="554"/>
      <c r="D4" s="555"/>
      <c r="E4" s="556"/>
      <c r="F4" s="847" t="s">
        <v>344</v>
      </c>
      <c r="G4" s="847"/>
      <c r="H4" s="847"/>
      <c r="I4" s="847"/>
      <c r="J4" s="847"/>
      <c r="K4" s="847"/>
      <c r="L4" s="556"/>
      <c r="M4" s="617" t="s">
        <v>345</v>
      </c>
      <c r="N4" s="617"/>
      <c r="O4" s="848" t="s">
        <v>366</v>
      </c>
      <c r="P4" s="849"/>
      <c r="Q4" s="850"/>
      <c r="R4" s="557"/>
      <c r="S4" s="558"/>
      <c r="T4" s="558"/>
      <c r="U4" s="558"/>
      <c r="V4" s="558"/>
      <c r="W4" s="558"/>
      <c r="X4" s="558"/>
      <c r="Y4" s="558"/>
      <c r="Z4" s="558"/>
      <c r="AA4" s="558"/>
      <c r="AB4" s="558"/>
      <c r="AC4" s="559" t="s">
        <v>998</v>
      </c>
      <c r="AD4" s="559"/>
      <c r="AE4" s="559"/>
      <c r="AF4" s="559" t="s">
        <v>999</v>
      </c>
      <c r="AG4" s="559"/>
      <c r="AH4" s="558"/>
      <c r="AI4" s="851" t="s">
        <v>570</v>
      </c>
      <c r="AJ4" s="852"/>
      <c r="AK4" s="853"/>
    </row>
    <row r="5" spans="1:53" s="234" customFormat="1" ht="109.2">
      <c r="A5" s="560" t="s">
        <v>346</v>
      </c>
      <c r="B5" s="561" t="s">
        <v>347</v>
      </c>
      <c r="C5" s="562" t="s">
        <v>0</v>
      </c>
      <c r="D5" s="399" t="s">
        <v>1</v>
      </c>
      <c r="E5" s="231" t="s">
        <v>2</v>
      </c>
      <c r="F5" s="232" t="s">
        <v>348</v>
      </c>
      <c r="G5" s="232" t="s">
        <v>349</v>
      </c>
      <c r="H5" s="232" t="s">
        <v>350</v>
      </c>
      <c r="I5" s="232" t="s">
        <v>1014</v>
      </c>
      <c r="J5" s="232" t="s">
        <v>1015</v>
      </c>
      <c r="K5" s="232" t="s">
        <v>404</v>
      </c>
      <c r="L5" s="232" t="s">
        <v>1016</v>
      </c>
      <c r="M5" s="232" t="s">
        <v>1017</v>
      </c>
      <c r="N5" s="232" t="s">
        <v>1018</v>
      </c>
      <c r="O5" s="232" t="s">
        <v>13</v>
      </c>
      <c r="P5" s="232" t="s">
        <v>14</v>
      </c>
      <c r="Q5" s="232" t="s">
        <v>105</v>
      </c>
      <c r="R5" s="563" t="s">
        <v>1019</v>
      </c>
      <c r="S5" s="232" t="s">
        <v>1020</v>
      </c>
      <c r="T5" s="232" t="s">
        <v>1021</v>
      </c>
      <c r="U5" s="232" t="s">
        <v>1022</v>
      </c>
      <c r="V5" s="232" t="s">
        <v>1023</v>
      </c>
      <c r="W5" s="232" t="s">
        <v>1024</v>
      </c>
      <c r="X5" s="232" t="s">
        <v>1025</v>
      </c>
      <c r="Y5" s="232" t="s">
        <v>1000</v>
      </c>
      <c r="Z5" s="232" t="s">
        <v>1026</v>
      </c>
      <c r="AA5" s="232" t="s">
        <v>997</v>
      </c>
      <c r="AB5" s="232" t="s">
        <v>571</v>
      </c>
      <c r="AC5" s="232" t="s">
        <v>13</v>
      </c>
      <c r="AD5" s="232" t="s">
        <v>14</v>
      </c>
      <c r="AE5" s="232" t="s">
        <v>105</v>
      </c>
      <c r="AF5" s="232" t="s">
        <v>13</v>
      </c>
      <c r="AG5" s="232" t="s">
        <v>14</v>
      </c>
      <c r="AH5" s="232" t="s">
        <v>105</v>
      </c>
      <c r="AI5" s="232" t="s">
        <v>13</v>
      </c>
      <c r="AJ5" s="232" t="s">
        <v>14</v>
      </c>
      <c r="AK5" s="564" t="s">
        <v>105</v>
      </c>
      <c r="AL5" s="249"/>
      <c r="AM5" s="90"/>
      <c r="AP5" s="90"/>
      <c r="AQ5" s="90"/>
      <c r="AR5" s="90"/>
      <c r="AS5" s="228"/>
      <c r="AT5" s="228"/>
      <c r="AU5" s="228"/>
      <c r="AV5" s="228"/>
      <c r="AW5" s="228"/>
      <c r="AX5" s="228"/>
      <c r="AY5" s="228"/>
      <c r="AZ5" s="228"/>
      <c r="BA5" s="228"/>
    </row>
    <row r="6" spans="1:53" s="234" customFormat="1">
      <c r="A6" s="560"/>
      <c r="B6" s="561"/>
      <c r="C6" s="562"/>
      <c r="D6" s="399"/>
      <c r="E6" s="231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564"/>
      <c r="AL6" s="249"/>
      <c r="AM6" s="90"/>
      <c r="AP6" s="90"/>
      <c r="AQ6" s="90"/>
      <c r="AR6" s="90"/>
      <c r="AS6" s="228"/>
      <c r="AT6" s="228"/>
      <c r="AU6" s="228"/>
      <c r="AV6" s="228"/>
      <c r="AW6" s="228"/>
      <c r="AX6" s="228"/>
      <c r="AY6" s="228"/>
      <c r="AZ6" s="228"/>
      <c r="BA6" s="228"/>
    </row>
    <row r="7" spans="1:53" s="101" customFormat="1">
      <c r="A7" s="565"/>
      <c r="B7" s="566"/>
      <c r="C7" s="95"/>
      <c r="D7" s="567"/>
      <c r="E7" s="236" t="s">
        <v>1027</v>
      </c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69"/>
      <c r="R7" s="568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569"/>
      <c r="AL7" s="249"/>
      <c r="AM7" s="90"/>
      <c r="AP7" s="90"/>
      <c r="AQ7" s="90"/>
      <c r="AR7" s="90"/>
      <c r="AS7" s="228"/>
      <c r="AT7" s="228"/>
      <c r="AU7" s="228"/>
      <c r="AV7" s="228"/>
      <c r="AW7" s="228"/>
      <c r="AX7" s="228"/>
      <c r="AY7" s="228"/>
      <c r="AZ7" s="228"/>
      <c r="BA7" s="228"/>
    </row>
    <row r="8" spans="1:53" s="101" customFormat="1">
      <c r="A8" s="570" t="s">
        <v>1028</v>
      </c>
      <c r="B8" s="561" t="s">
        <v>1029</v>
      </c>
      <c r="C8" s="571">
        <v>1</v>
      </c>
      <c r="D8" s="572">
        <v>2126</v>
      </c>
      <c r="E8" s="237" t="s">
        <v>1030</v>
      </c>
      <c r="F8" s="171">
        <v>1375000</v>
      </c>
      <c r="G8" s="171"/>
      <c r="H8" s="171">
        <f>F8-G8</f>
        <v>1375000</v>
      </c>
      <c r="I8" s="171"/>
      <c r="J8" s="171">
        <v>1375000</v>
      </c>
      <c r="K8" s="171">
        <f>F8-I8-J8</f>
        <v>0</v>
      </c>
      <c r="L8" s="171">
        <f>J8</f>
        <v>1375000</v>
      </c>
      <c r="M8" s="171"/>
      <c r="N8" s="171">
        <f>L8-M8</f>
        <v>1375000</v>
      </c>
      <c r="O8" s="171">
        <f>N8-P8-Q8</f>
        <v>473755</v>
      </c>
      <c r="P8" s="171"/>
      <c r="Q8" s="171">
        <v>901245</v>
      </c>
      <c r="R8" s="573"/>
      <c r="S8" s="171"/>
      <c r="T8" s="171"/>
      <c r="U8" s="171"/>
      <c r="V8" s="171"/>
      <c r="W8" s="171"/>
      <c r="X8" s="171"/>
      <c r="Y8" s="171">
        <f>SUM(S8:X8)</f>
        <v>0</v>
      </c>
      <c r="Z8" s="171"/>
      <c r="AA8" s="171">
        <f>Y8+Z8</f>
        <v>0</v>
      </c>
      <c r="AB8" s="171">
        <f>N8-AA8</f>
        <v>1375000</v>
      </c>
      <c r="AC8" s="171">
        <f>AA8-AD8-AE8</f>
        <v>0</v>
      </c>
      <c r="AD8" s="171"/>
      <c r="AE8" s="171"/>
      <c r="AF8" s="171">
        <f>Z8-AG8-AH8</f>
        <v>0</v>
      </c>
      <c r="AG8" s="171"/>
      <c r="AH8" s="171"/>
      <c r="AI8" s="171">
        <f>AB8-AJ8-AK8</f>
        <v>1375000</v>
      </c>
      <c r="AJ8" s="171"/>
      <c r="AK8" s="574"/>
      <c r="AL8" s="249"/>
      <c r="AM8" s="90"/>
      <c r="AP8" s="90"/>
      <c r="AQ8" s="90"/>
      <c r="AR8" s="90"/>
      <c r="AS8" s="228"/>
      <c r="AT8" s="228"/>
      <c r="AU8" s="228"/>
      <c r="AV8" s="228"/>
      <c r="AW8" s="228"/>
      <c r="AX8" s="228"/>
      <c r="AY8" s="228"/>
      <c r="AZ8" s="228"/>
      <c r="BA8" s="228"/>
    </row>
    <row r="9" spans="1:53" s="101" customFormat="1" ht="46.8">
      <c r="A9" s="570" t="s">
        <v>1031</v>
      </c>
      <c r="B9" s="561"/>
      <c r="C9" s="571">
        <f>C8+1</f>
        <v>2</v>
      </c>
      <c r="D9" s="572">
        <v>1602</v>
      </c>
      <c r="E9" s="237" t="s">
        <v>1032</v>
      </c>
      <c r="F9" s="171">
        <v>29500000</v>
      </c>
      <c r="G9" s="171">
        <v>29500000</v>
      </c>
      <c r="H9" s="171">
        <f>F9-G9</f>
        <v>0</v>
      </c>
      <c r="I9" s="171">
        <f>28348439+1151561+5000000-3000000+3000000</f>
        <v>34500000</v>
      </c>
      <c r="J9" s="171">
        <f>-2000000-3000000</f>
        <v>-5000000</v>
      </c>
      <c r="K9" s="171">
        <f>F9-I9-J9</f>
        <v>0</v>
      </c>
      <c r="L9" s="171">
        <f>J9</f>
        <v>-5000000</v>
      </c>
      <c r="M9" s="171">
        <v>-5000000</v>
      </c>
      <c r="N9" s="171">
        <f>L9-M9</f>
        <v>0</v>
      </c>
      <c r="O9" s="171">
        <f>N9-P9-Q9</f>
        <v>-3011335</v>
      </c>
      <c r="P9" s="171"/>
      <c r="Q9" s="171">
        <v>3011335</v>
      </c>
      <c r="R9" s="237" t="s">
        <v>1033</v>
      </c>
      <c r="S9" s="575"/>
      <c r="T9" s="575"/>
      <c r="U9" s="575"/>
      <c r="V9" s="575"/>
      <c r="W9" s="575"/>
      <c r="X9" s="575"/>
      <c r="Y9" s="171">
        <f>SUM(S9:X9)</f>
        <v>0</v>
      </c>
      <c r="Z9" s="238"/>
      <c r="AA9" s="171">
        <f>Y9+Z9</f>
        <v>0</v>
      </c>
      <c r="AB9" s="171">
        <f>N9-AA9</f>
        <v>0</v>
      </c>
      <c r="AC9" s="171">
        <f>AA9-AD9-AE9</f>
        <v>-3011335</v>
      </c>
      <c r="AD9" s="171"/>
      <c r="AE9" s="171">
        <v>3011335</v>
      </c>
      <c r="AF9" s="171">
        <f>Z9-AG9-AH9</f>
        <v>-3011335</v>
      </c>
      <c r="AG9" s="171"/>
      <c r="AH9" s="171">
        <v>3011335</v>
      </c>
      <c r="AI9" s="171">
        <f>AB9-AJ9-AK9</f>
        <v>0</v>
      </c>
      <c r="AJ9" s="171"/>
      <c r="AK9" s="574"/>
      <c r="AL9" s="228"/>
      <c r="AM9" s="228"/>
      <c r="AN9" s="228"/>
      <c r="AO9" s="228"/>
    </row>
    <row r="10" spans="1:53" s="585" customFormat="1">
      <c r="A10" s="576"/>
      <c r="B10" s="577"/>
      <c r="C10" s="578"/>
      <c r="D10" s="579"/>
      <c r="E10" s="580" t="s">
        <v>1034</v>
      </c>
      <c r="F10" s="581">
        <f t="shared" ref="F10:Q10" si="0">SUM(F8:F9)</f>
        <v>30875000</v>
      </c>
      <c r="G10" s="581">
        <f t="shared" si="0"/>
        <v>29500000</v>
      </c>
      <c r="H10" s="581">
        <f t="shared" si="0"/>
        <v>1375000</v>
      </c>
      <c r="I10" s="581">
        <f t="shared" si="0"/>
        <v>34500000</v>
      </c>
      <c r="J10" s="581">
        <f t="shared" si="0"/>
        <v>-3625000</v>
      </c>
      <c r="K10" s="581">
        <f t="shared" si="0"/>
        <v>0</v>
      </c>
      <c r="L10" s="581">
        <f t="shared" si="0"/>
        <v>-3625000</v>
      </c>
      <c r="M10" s="581">
        <f t="shared" si="0"/>
        <v>-5000000</v>
      </c>
      <c r="N10" s="581">
        <f t="shared" si="0"/>
        <v>1375000</v>
      </c>
      <c r="O10" s="581">
        <f t="shared" si="0"/>
        <v>-2537580</v>
      </c>
      <c r="P10" s="581">
        <f t="shared" si="0"/>
        <v>0</v>
      </c>
      <c r="Q10" s="581">
        <f t="shared" si="0"/>
        <v>3912580</v>
      </c>
      <c r="R10" s="582"/>
      <c r="S10" s="581">
        <f t="shared" ref="S10:AK10" si="1">SUM(S8:S9)</f>
        <v>0</v>
      </c>
      <c r="T10" s="581">
        <f t="shared" si="1"/>
        <v>0</v>
      </c>
      <c r="U10" s="581">
        <f t="shared" si="1"/>
        <v>0</v>
      </c>
      <c r="V10" s="581">
        <f t="shared" si="1"/>
        <v>0</v>
      </c>
      <c r="W10" s="581">
        <f t="shared" si="1"/>
        <v>0</v>
      </c>
      <c r="X10" s="581">
        <f t="shared" si="1"/>
        <v>0</v>
      </c>
      <c r="Y10" s="581">
        <f t="shared" si="1"/>
        <v>0</v>
      </c>
      <c r="Z10" s="581">
        <f t="shared" si="1"/>
        <v>0</v>
      </c>
      <c r="AA10" s="581">
        <f t="shared" si="1"/>
        <v>0</v>
      </c>
      <c r="AB10" s="581">
        <f t="shared" si="1"/>
        <v>1375000</v>
      </c>
      <c r="AC10" s="581">
        <f t="shared" si="1"/>
        <v>-3011335</v>
      </c>
      <c r="AD10" s="581">
        <f t="shared" si="1"/>
        <v>0</v>
      </c>
      <c r="AE10" s="581">
        <f t="shared" si="1"/>
        <v>3011335</v>
      </c>
      <c r="AF10" s="581">
        <f t="shared" si="1"/>
        <v>-3011335</v>
      </c>
      <c r="AG10" s="581">
        <f t="shared" si="1"/>
        <v>0</v>
      </c>
      <c r="AH10" s="581">
        <f t="shared" si="1"/>
        <v>3011335</v>
      </c>
      <c r="AI10" s="581">
        <f t="shared" si="1"/>
        <v>1375000</v>
      </c>
      <c r="AJ10" s="581">
        <f t="shared" si="1"/>
        <v>0</v>
      </c>
      <c r="AK10" s="583">
        <f t="shared" si="1"/>
        <v>0</v>
      </c>
      <c r="AL10" s="584"/>
      <c r="AS10" s="586"/>
      <c r="AT10" s="586"/>
      <c r="AU10" s="586"/>
      <c r="AV10" s="586"/>
      <c r="AW10" s="586"/>
      <c r="AX10" s="586"/>
      <c r="AY10" s="586"/>
      <c r="AZ10" s="586"/>
      <c r="BA10" s="586"/>
    </row>
    <row r="11" spans="1:53" s="235" customFormat="1">
      <c r="A11" s="587"/>
      <c r="B11" s="588"/>
      <c r="C11" s="587"/>
      <c r="D11" s="589"/>
      <c r="E11" s="219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590"/>
      <c r="AL11" s="249"/>
      <c r="AM11" s="90"/>
      <c r="AP11" s="90"/>
      <c r="AQ11" s="90"/>
      <c r="AR11" s="90"/>
      <c r="AS11" s="228"/>
      <c r="AT11" s="228"/>
      <c r="AU11" s="228"/>
      <c r="AV11" s="228"/>
      <c r="AW11" s="228"/>
      <c r="AX11" s="228"/>
      <c r="AY11" s="228"/>
      <c r="AZ11" s="228"/>
      <c r="BA11" s="228"/>
    </row>
    <row r="12" spans="1:53" s="101" customFormat="1">
      <c r="A12" s="565"/>
      <c r="B12" s="566"/>
      <c r="C12" s="95"/>
      <c r="D12" s="567"/>
      <c r="E12" s="236" t="s">
        <v>286</v>
      </c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69"/>
      <c r="R12" s="568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569"/>
      <c r="AL12" s="249"/>
      <c r="AM12" s="90"/>
      <c r="AP12" s="90"/>
      <c r="AQ12" s="90"/>
      <c r="AR12" s="90"/>
      <c r="AS12" s="228"/>
      <c r="AT12" s="228"/>
      <c r="AU12" s="228"/>
      <c r="AV12" s="228"/>
      <c r="AW12" s="228"/>
      <c r="AX12" s="228"/>
      <c r="AY12" s="228"/>
      <c r="AZ12" s="228"/>
      <c r="BA12" s="228"/>
    </row>
    <row r="13" spans="1:53" s="380" customFormat="1" ht="31.2">
      <c r="A13" s="591" t="s">
        <v>1035</v>
      </c>
      <c r="B13" s="561" t="s">
        <v>1036</v>
      </c>
      <c r="C13" s="571">
        <f>C10+3</f>
        <v>3</v>
      </c>
      <c r="D13" s="170">
        <v>1854</v>
      </c>
      <c r="E13" s="237" t="s">
        <v>1037</v>
      </c>
      <c r="F13" s="171">
        <v>5600000</v>
      </c>
      <c r="G13" s="171">
        <v>5600000</v>
      </c>
      <c r="H13" s="171">
        <f t="shared" ref="H13:H21" si="2">F13-G13</f>
        <v>0</v>
      </c>
      <c r="I13" s="171">
        <v>5600000</v>
      </c>
      <c r="J13" s="171"/>
      <c r="K13" s="171">
        <f t="shared" ref="K13:K21" si="3">F13-I13-J13</f>
        <v>0</v>
      </c>
      <c r="L13" s="171">
        <f t="shared" ref="L13:L21" si="4">J13</f>
        <v>0</v>
      </c>
      <c r="M13" s="171"/>
      <c r="N13" s="171">
        <f t="shared" ref="N13:N21" si="5">L13-M13</f>
        <v>0</v>
      </c>
      <c r="O13" s="171">
        <f>N13-P13-Q13</f>
        <v>-420224</v>
      </c>
      <c r="P13" s="171"/>
      <c r="Q13" s="171">
        <v>420224</v>
      </c>
      <c r="R13" s="573"/>
      <c r="S13" s="171"/>
      <c r="T13" s="171"/>
      <c r="U13" s="238"/>
      <c r="V13" s="171"/>
      <c r="W13" s="171"/>
      <c r="X13" s="171"/>
      <c r="Y13" s="171">
        <f t="shared" ref="Y13:Y21" si="6">SUM(S13:X13)</f>
        <v>0</v>
      </c>
      <c r="Z13" s="171"/>
      <c r="AA13" s="171">
        <f t="shared" ref="AA13:AA21" si="7">Y13+Z13</f>
        <v>0</v>
      </c>
      <c r="AB13" s="171">
        <f t="shared" ref="AB13:AB21" si="8">N13-AA13</f>
        <v>0</v>
      </c>
      <c r="AC13" s="171">
        <f t="shared" ref="AC13:AC21" si="9">AA13-AD13-AE13</f>
        <v>-420224</v>
      </c>
      <c r="AD13" s="171"/>
      <c r="AE13" s="171">
        <v>420224</v>
      </c>
      <c r="AF13" s="171">
        <f t="shared" ref="AF13:AF21" si="10">Z13-AG13-AH13</f>
        <v>0</v>
      </c>
      <c r="AG13" s="171"/>
      <c r="AH13" s="171"/>
      <c r="AI13" s="171">
        <f t="shared" ref="AI13:AI21" si="11">AB13-AJ13-AK13</f>
        <v>0</v>
      </c>
      <c r="AJ13" s="171"/>
      <c r="AK13" s="574"/>
      <c r="AL13" s="592"/>
      <c r="AM13" s="175"/>
      <c r="AP13" s="175"/>
      <c r="AQ13" s="175"/>
      <c r="AR13" s="175"/>
      <c r="AS13" s="593"/>
      <c r="AT13" s="593"/>
      <c r="AU13" s="593"/>
      <c r="AV13" s="593"/>
      <c r="AW13" s="593"/>
      <c r="AX13" s="593"/>
      <c r="AY13" s="593"/>
      <c r="AZ13" s="593"/>
      <c r="BA13" s="593"/>
    </row>
    <row r="14" spans="1:53" s="101" customFormat="1">
      <c r="A14" s="591" t="s">
        <v>1035</v>
      </c>
      <c r="B14" s="561" t="s">
        <v>1036</v>
      </c>
      <c r="C14" s="95">
        <f>C13+1</f>
        <v>4</v>
      </c>
      <c r="D14" s="567">
        <v>1991</v>
      </c>
      <c r="E14" s="237" t="s">
        <v>1038</v>
      </c>
      <c r="F14" s="171">
        <v>2000000</v>
      </c>
      <c r="G14" s="171">
        <v>2000000</v>
      </c>
      <c r="H14" s="171">
        <f t="shared" si="2"/>
        <v>0</v>
      </c>
      <c r="I14" s="171">
        <v>2000000</v>
      </c>
      <c r="J14" s="171">
        <v>-1900000</v>
      </c>
      <c r="K14" s="171">
        <f t="shared" si="3"/>
        <v>1900000</v>
      </c>
      <c r="L14" s="171">
        <f t="shared" si="4"/>
        <v>-1900000</v>
      </c>
      <c r="M14" s="171">
        <v>-1900000</v>
      </c>
      <c r="N14" s="171">
        <f t="shared" si="5"/>
        <v>0</v>
      </c>
      <c r="O14" s="171">
        <f t="shared" ref="O14:O21" si="12">N14-P14-Q14</f>
        <v>1900000</v>
      </c>
      <c r="P14" s="171">
        <v>-1900000</v>
      </c>
      <c r="Q14" s="171"/>
      <c r="R14" s="573"/>
      <c r="S14" s="171"/>
      <c r="T14" s="171"/>
      <c r="U14" s="238"/>
      <c r="V14" s="171"/>
      <c r="W14" s="171"/>
      <c r="X14" s="171"/>
      <c r="Y14" s="171">
        <f t="shared" si="6"/>
        <v>0</v>
      </c>
      <c r="Z14" s="171"/>
      <c r="AA14" s="171">
        <f t="shared" si="7"/>
        <v>0</v>
      </c>
      <c r="AB14" s="171">
        <f t="shared" si="8"/>
        <v>0</v>
      </c>
      <c r="AC14" s="171">
        <f t="shared" si="9"/>
        <v>1900000</v>
      </c>
      <c r="AD14" s="171">
        <v>-1900000</v>
      </c>
      <c r="AE14" s="171"/>
      <c r="AF14" s="171">
        <f t="shared" si="10"/>
        <v>0</v>
      </c>
      <c r="AG14" s="171"/>
      <c r="AH14" s="171"/>
      <c r="AI14" s="171">
        <f t="shared" si="11"/>
        <v>0</v>
      </c>
      <c r="AJ14" s="171"/>
      <c r="AK14" s="574"/>
      <c r="AL14" s="249"/>
      <c r="AM14" s="90"/>
      <c r="AP14" s="90"/>
      <c r="AQ14" s="90"/>
      <c r="AR14" s="90"/>
      <c r="AS14" s="228"/>
      <c r="AT14" s="228"/>
      <c r="AU14" s="228"/>
      <c r="AV14" s="228"/>
      <c r="AW14" s="228"/>
      <c r="AX14" s="228"/>
      <c r="AY14" s="228"/>
      <c r="AZ14" s="228"/>
      <c r="BA14" s="228"/>
    </row>
    <row r="15" spans="1:53" s="101" customFormat="1">
      <c r="A15" s="591" t="s">
        <v>1039</v>
      </c>
      <c r="B15" s="561" t="s">
        <v>1040</v>
      </c>
      <c r="C15" s="95">
        <f t="shared" ref="C15:C21" si="13">C14+1</f>
        <v>5</v>
      </c>
      <c r="D15" s="572">
        <v>1403</v>
      </c>
      <c r="E15" s="237" t="s">
        <v>1041</v>
      </c>
      <c r="F15" s="171">
        <v>36250000</v>
      </c>
      <c r="G15" s="171">
        <v>31750000</v>
      </c>
      <c r="H15" s="171">
        <f t="shared" si="2"/>
        <v>4500000</v>
      </c>
      <c r="I15" s="171">
        <f>26351363+4148437</f>
        <v>30499800</v>
      </c>
      <c r="J15" s="171">
        <f>1250200+4500000</f>
        <v>5750200</v>
      </c>
      <c r="K15" s="171">
        <f t="shared" si="3"/>
        <v>0</v>
      </c>
      <c r="L15" s="171">
        <f t="shared" si="4"/>
        <v>5750200</v>
      </c>
      <c r="M15" s="171">
        <v>1250200</v>
      </c>
      <c r="N15" s="171">
        <f t="shared" si="5"/>
        <v>4500000</v>
      </c>
      <c r="O15" s="171">
        <f t="shared" si="12"/>
        <v>4500000</v>
      </c>
      <c r="P15" s="171"/>
      <c r="Q15" s="171"/>
      <c r="R15" s="573"/>
      <c r="S15" s="171"/>
      <c r="T15" s="171"/>
      <c r="U15" s="171"/>
      <c r="V15" s="171"/>
      <c r="W15" s="171">
        <v>4500000</v>
      </c>
      <c r="X15" s="171"/>
      <c r="Y15" s="171">
        <f t="shared" si="6"/>
        <v>4500000</v>
      </c>
      <c r="Z15" s="171"/>
      <c r="AA15" s="171">
        <f t="shared" si="7"/>
        <v>4500000</v>
      </c>
      <c r="AB15" s="171">
        <f t="shared" si="8"/>
        <v>0</v>
      </c>
      <c r="AC15" s="171">
        <f t="shared" si="9"/>
        <v>4500000</v>
      </c>
      <c r="AD15" s="171"/>
      <c r="AE15" s="171"/>
      <c r="AF15" s="171">
        <f t="shared" si="10"/>
        <v>0</v>
      </c>
      <c r="AG15" s="171"/>
      <c r="AH15" s="171"/>
      <c r="AI15" s="171">
        <f t="shared" si="11"/>
        <v>0</v>
      </c>
      <c r="AJ15" s="171"/>
      <c r="AK15" s="574"/>
      <c r="AL15" s="249"/>
      <c r="AM15" s="90"/>
      <c r="AP15" s="90"/>
      <c r="AQ15" s="90"/>
      <c r="AR15" s="90"/>
      <c r="AS15" s="228"/>
      <c r="AT15" s="228"/>
      <c r="AU15" s="228"/>
      <c r="AV15" s="228"/>
      <c r="AW15" s="228"/>
      <c r="AX15" s="228"/>
      <c r="AY15" s="228"/>
      <c r="AZ15" s="228"/>
      <c r="BA15" s="228"/>
    </row>
    <row r="16" spans="1:53" s="101" customFormat="1">
      <c r="A16" s="591" t="s">
        <v>1039</v>
      </c>
      <c r="B16" s="561" t="s">
        <v>1040</v>
      </c>
      <c r="C16" s="95">
        <f t="shared" si="13"/>
        <v>6</v>
      </c>
      <c r="D16" s="572">
        <v>1834</v>
      </c>
      <c r="E16" s="237" t="s">
        <v>146</v>
      </c>
      <c r="F16" s="171">
        <v>60000000</v>
      </c>
      <c r="G16" s="171">
        <v>60000000</v>
      </c>
      <c r="H16" s="171">
        <f t="shared" si="2"/>
        <v>0</v>
      </c>
      <c r="I16" s="171">
        <f>2028078+3071922</f>
        <v>5100000</v>
      </c>
      <c r="J16" s="171">
        <f>26000000-500000</f>
        <v>25500000</v>
      </c>
      <c r="K16" s="171">
        <f t="shared" si="3"/>
        <v>29400000</v>
      </c>
      <c r="L16" s="171">
        <f t="shared" si="4"/>
        <v>25500000</v>
      </c>
      <c r="M16" s="171">
        <v>28500000</v>
      </c>
      <c r="N16" s="171">
        <f t="shared" si="5"/>
        <v>-3000000</v>
      </c>
      <c r="O16" s="171">
        <f t="shared" si="12"/>
        <v>-3000000</v>
      </c>
      <c r="P16" s="171"/>
      <c r="Q16" s="171"/>
      <c r="R16" s="573"/>
      <c r="S16" s="171"/>
      <c r="T16" s="171"/>
      <c r="U16" s="171"/>
      <c r="V16" s="171"/>
      <c r="W16" s="171"/>
      <c r="X16" s="171"/>
      <c r="Y16" s="171">
        <f t="shared" si="6"/>
        <v>0</v>
      </c>
      <c r="Z16" s="171"/>
      <c r="AA16" s="171">
        <f t="shared" si="7"/>
        <v>0</v>
      </c>
      <c r="AB16" s="171">
        <f t="shared" si="8"/>
        <v>-3000000</v>
      </c>
      <c r="AC16" s="171">
        <f t="shared" si="9"/>
        <v>0</v>
      </c>
      <c r="AD16" s="171"/>
      <c r="AE16" s="171"/>
      <c r="AF16" s="171">
        <f t="shared" si="10"/>
        <v>0</v>
      </c>
      <c r="AG16" s="171"/>
      <c r="AH16" s="171"/>
      <c r="AI16" s="171">
        <f t="shared" si="11"/>
        <v>-3000000</v>
      </c>
      <c r="AJ16" s="171"/>
      <c r="AK16" s="574"/>
      <c r="AL16" s="249"/>
      <c r="AM16" s="90"/>
      <c r="AP16" s="90"/>
      <c r="AQ16" s="90"/>
      <c r="AR16" s="90"/>
      <c r="AS16" s="228"/>
      <c r="AT16" s="228"/>
      <c r="AU16" s="228"/>
      <c r="AV16" s="228"/>
      <c r="AW16" s="228"/>
      <c r="AX16" s="228"/>
      <c r="AY16" s="228"/>
      <c r="AZ16" s="228"/>
      <c r="BA16" s="228"/>
    </row>
    <row r="17" spans="1:53" s="101" customFormat="1">
      <c r="A17" s="591" t="s">
        <v>1039</v>
      </c>
      <c r="B17" s="561" t="s">
        <v>1040</v>
      </c>
      <c r="C17" s="95">
        <f t="shared" si="13"/>
        <v>7</v>
      </c>
      <c r="D17" s="572">
        <v>2127</v>
      </c>
      <c r="E17" s="237" t="s">
        <v>1042</v>
      </c>
      <c r="F17" s="171">
        <v>1000000</v>
      </c>
      <c r="G17" s="171"/>
      <c r="H17" s="171">
        <f t="shared" si="2"/>
        <v>1000000</v>
      </c>
      <c r="I17" s="171"/>
      <c r="J17" s="171">
        <v>1000000</v>
      </c>
      <c r="K17" s="171">
        <f t="shared" si="3"/>
        <v>0</v>
      </c>
      <c r="L17" s="171">
        <f t="shared" si="4"/>
        <v>1000000</v>
      </c>
      <c r="M17" s="171"/>
      <c r="N17" s="171">
        <f t="shared" si="5"/>
        <v>1000000</v>
      </c>
      <c r="O17" s="171">
        <f t="shared" si="12"/>
        <v>1000000</v>
      </c>
      <c r="P17" s="171"/>
      <c r="Q17" s="171"/>
      <c r="R17" s="573"/>
      <c r="S17" s="171"/>
      <c r="T17" s="171"/>
      <c r="U17" s="171"/>
      <c r="V17" s="171"/>
      <c r="W17" s="171">
        <v>250000</v>
      </c>
      <c r="X17" s="171">
        <v>750000</v>
      </c>
      <c r="Y17" s="171">
        <f t="shared" si="6"/>
        <v>1000000</v>
      </c>
      <c r="Z17" s="171"/>
      <c r="AA17" s="171">
        <f t="shared" si="7"/>
        <v>1000000</v>
      </c>
      <c r="AB17" s="171">
        <f t="shared" si="8"/>
        <v>0</v>
      </c>
      <c r="AC17" s="171">
        <f t="shared" si="9"/>
        <v>1000000</v>
      </c>
      <c r="AD17" s="171"/>
      <c r="AE17" s="171"/>
      <c r="AF17" s="171">
        <f t="shared" si="10"/>
        <v>0</v>
      </c>
      <c r="AG17" s="171"/>
      <c r="AH17" s="171"/>
      <c r="AI17" s="171">
        <f t="shared" si="11"/>
        <v>0</v>
      </c>
      <c r="AJ17" s="171"/>
      <c r="AK17" s="574"/>
      <c r="AL17" s="249"/>
      <c r="AM17" s="90"/>
      <c r="AP17" s="90"/>
      <c r="AQ17" s="90"/>
      <c r="AR17" s="90"/>
      <c r="AS17" s="228"/>
      <c r="AT17" s="228"/>
      <c r="AU17" s="228"/>
      <c r="AV17" s="228"/>
      <c r="AW17" s="228"/>
      <c r="AX17" s="228"/>
      <c r="AY17" s="228"/>
      <c r="AZ17" s="228"/>
      <c r="BA17" s="228"/>
    </row>
    <row r="18" spans="1:53" s="101" customFormat="1">
      <c r="A18" s="591" t="s">
        <v>1039</v>
      </c>
      <c r="B18" s="561" t="s">
        <v>1040</v>
      </c>
      <c r="C18" s="95">
        <f t="shared" si="13"/>
        <v>8</v>
      </c>
      <c r="D18" s="572">
        <v>1837</v>
      </c>
      <c r="E18" s="237" t="s">
        <v>1043</v>
      </c>
      <c r="F18" s="171">
        <v>3460000</v>
      </c>
      <c r="G18" s="171">
        <v>3200000</v>
      </c>
      <c r="H18" s="171">
        <f t="shared" si="2"/>
        <v>260000</v>
      </c>
      <c r="I18" s="171">
        <f>2014993+1185007</f>
        <v>3200000</v>
      </c>
      <c r="J18" s="171">
        <v>260000</v>
      </c>
      <c r="K18" s="171">
        <f t="shared" si="3"/>
        <v>0</v>
      </c>
      <c r="L18" s="171">
        <f t="shared" si="4"/>
        <v>260000</v>
      </c>
      <c r="M18" s="171"/>
      <c r="N18" s="171">
        <f t="shared" si="5"/>
        <v>260000</v>
      </c>
      <c r="O18" s="171">
        <f t="shared" si="12"/>
        <v>0</v>
      </c>
      <c r="P18" s="171">
        <v>260000</v>
      </c>
      <c r="Q18" s="171"/>
      <c r="R18" s="573"/>
      <c r="S18" s="171"/>
      <c r="T18" s="171"/>
      <c r="U18" s="171"/>
      <c r="V18" s="171"/>
      <c r="W18" s="171">
        <v>260000</v>
      </c>
      <c r="X18" s="171"/>
      <c r="Y18" s="171">
        <f t="shared" si="6"/>
        <v>260000</v>
      </c>
      <c r="Z18" s="171"/>
      <c r="AA18" s="171">
        <f t="shared" si="7"/>
        <v>260000</v>
      </c>
      <c r="AB18" s="171">
        <f t="shared" si="8"/>
        <v>0</v>
      </c>
      <c r="AC18" s="171">
        <f t="shared" si="9"/>
        <v>0</v>
      </c>
      <c r="AD18" s="171">
        <v>260000</v>
      </c>
      <c r="AE18" s="171"/>
      <c r="AF18" s="171">
        <f t="shared" si="10"/>
        <v>0</v>
      </c>
      <c r="AG18" s="171"/>
      <c r="AH18" s="171"/>
      <c r="AI18" s="171">
        <f t="shared" si="11"/>
        <v>0</v>
      </c>
      <c r="AJ18" s="171"/>
      <c r="AK18" s="574"/>
      <c r="AL18" s="249"/>
      <c r="AM18" s="90"/>
      <c r="AP18" s="90"/>
      <c r="AQ18" s="90"/>
      <c r="AR18" s="90"/>
      <c r="AS18" s="228"/>
      <c r="AT18" s="228"/>
      <c r="AU18" s="228"/>
      <c r="AV18" s="228"/>
      <c r="AW18" s="228"/>
      <c r="AX18" s="228"/>
      <c r="AY18" s="228"/>
      <c r="AZ18" s="228"/>
      <c r="BA18" s="228"/>
    </row>
    <row r="19" spans="1:53" s="101" customFormat="1">
      <c r="A19" s="591" t="s">
        <v>1039</v>
      </c>
      <c r="B19" s="561" t="s">
        <v>1040</v>
      </c>
      <c r="C19" s="95">
        <f t="shared" si="13"/>
        <v>9</v>
      </c>
      <c r="D19" s="572">
        <v>1539</v>
      </c>
      <c r="E19" s="237" t="s">
        <v>583</v>
      </c>
      <c r="F19" s="171">
        <v>16300000</v>
      </c>
      <c r="G19" s="171">
        <v>16300000</v>
      </c>
      <c r="H19" s="171">
        <f t="shared" si="2"/>
        <v>0</v>
      </c>
      <c r="I19" s="171">
        <f>8685452+7614548</f>
        <v>16300000</v>
      </c>
      <c r="J19" s="171"/>
      <c r="K19" s="171">
        <f t="shared" si="3"/>
        <v>0</v>
      </c>
      <c r="L19" s="171">
        <f t="shared" si="4"/>
        <v>0</v>
      </c>
      <c r="M19" s="171"/>
      <c r="N19" s="171">
        <f t="shared" si="5"/>
        <v>0</v>
      </c>
      <c r="O19" s="171">
        <f t="shared" si="12"/>
        <v>-289267</v>
      </c>
      <c r="P19" s="171"/>
      <c r="Q19" s="171">
        <v>289267</v>
      </c>
      <c r="R19" s="573"/>
      <c r="S19" s="171"/>
      <c r="T19" s="171"/>
      <c r="U19" s="171"/>
      <c r="V19" s="171"/>
      <c r="W19" s="238"/>
      <c r="X19" s="171"/>
      <c r="Y19" s="171">
        <f t="shared" si="6"/>
        <v>0</v>
      </c>
      <c r="Z19" s="171"/>
      <c r="AA19" s="171">
        <f t="shared" si="7"/>
        <v>0</v>
      </c>
      <c r="AB19" s="171">
        <f t="shared" si="8"/>
        <v>0</v>
      </c>
      <c r="AC19" s="171">
        <f t="shared" si="9"/>
        <v>-289267</v>
      </c>
      <c r="AD19" s="171"/>
      <c r="AE19" s="171">
        <v>289267</v>
      </c>
      <c r="AF19" s="171">
        <f t="shared" si="10"/>
        <v>0</v>
      </c>
      <c r="AG19" s="171"/>
      <c r="AH19" s="171"/>
      <c r="AI19" s="171">
        <f t="shared" si="11"/>
        <v>0</v>
      </c>
      <c r="AJ19" s="171"/>
      <c r="AK19" s="574"/>
      <c r="AL19" s="249"/>
      <c r="AM19" s="90"/>
      <c r="AP19" s="90"/>
      <c r="AQ19" s="90"/>
      <c r="AR19" s="90"/>
      <c r="AS19" s="228"/>
      <c r="AT19" s="228"/>
      <c r="AU19" s="228"/>
      <c r="AV19" s="228"/>
      <c r="AW19" s="228"/>
      <c r="AX19" s="228"/>
      <c r="AY19" s="228"/>
      <c r="AZ19" s="228"/>
      <c r="BA19" s="228"/>
    </row>
    <row r="20" spans="1:53" s="101" customFormat="1">
      <c r="A20" s="591" t="s">
        <v>1039</v>
      </c>
      <c r="B20" s="561" t="s">
        <v>1040</v>
      </c>
      <c r="C20" s="95">
        <f t="shared" si="13"/>
        <v>10</v>
      </c>
      <c r="D20" s="572">
        <v>2064</v>
      </c>
      <c r="E20" s="237" t="s">
        <v>353</v>
      </c>
      <c r="F20" s="171">
        <v>6417000</v>
      </c>
      <c r="G20" s="171">
        <v>6417000</v>
      </c>
      <c r="H20" s="171">
        <f t="shared" si="2"/>
        <v>0</v>
      </c>
      <c r="I20" s="171">
        <f>99997+900003</f>
        <v>1000000</v>
      </c>
      <c r="J20" s="171">
        <v>-136000</v>
      </c>
      <c r="K20" s="171">
        <f t="shared" si="3"/>
        <v>5553000</v>
      </c>
      <c r="L20" s="171">
        <f t="shared" si="4"/>
        <v>-136000</v>
      </c>
      <c r="M20" s="171"/>
      <c r="N20" s="171">
        <f t="shared" si="5"/>
        <v>-136000</v>
      </c>
      <c r="O20" s="171">
        <f t="shared" si="12"/>
        <v>0</v>
      </c>
      <c r="P20" s="171"/>
      <c r="Q20" s="171">
        <v>-136000</v>
      </c>
      <c r="R20" s="573"/>
      <c r="S20" s="171"/>
      <c r="T20" s="171"/>
      <c r="U20" s="171"/>
      <c r="V20" s="171"/>
      <c r="W20" s="171">
        <v>-136000</v>
      </c>
      <c r="X20" s="171"/>
      <c r="Y20" s="171">
        <f t="shared" si="6"/>
        <v>-136000</v>
      </c>
      <c r="Z20" s="171"/>
      <c r="AA20" s="171">
        <f t="shared" si="7"/>
        <v>-136000</v>
      </c>
      <c r="AB20" s="171">
        <f t="shared" si="8"/>
        <v>0</v>
      </c>
      <c r="AC20" s="171">
        <f t="shared" si="9"/>
        <v>0</v>
      </c>
      <c r="AD20" s="171"/>
      <c r="AE20" s="171">
        <v>-136000</v>
      </c>
      <c r="AF20" s="171">
        <f t="shared" si="10"/>
        <v>0</v>
      </c>
      <c r="AG20" s="171"/>
      <c r="AH20" s="171"/>
      <c r="AI20" s="171">
        <f t="shared" si="11"/>
        <v>0</v>
      </c>
      <c r="AJ20" s="171"/>
      <c r="AK20" s="574"/>
      <c r="AL20" s="249"/>
      <c r="AM20" s="90"/>
      <c r="AP20" s="90"/>
      <c r="AQ20" s="90"/>
      <c r="AR20" s="90"/>
      <c r="AS20" s="228"/>
      <c r="AT20" s="228"/>
      <c r="AU20" s="228"/>
      <c r="AV20" s="228"/>
      <c r="AW20" s="228"/>
      <c r="AX20" s="228"/>
      <c r="AY20" s="228"/>
      <c r="AZ20" s="228"/>
      <c r="BA20" s="228"/>
    </row>
    <row r="21" spans="1:53" s="101" customFormat="1">
      <c r="A21" s="591" t="s">
        <v>1039</v>
      </c>
      <c r="B21" s="561" t="s">
        <v>1040</v>
      </c>
      <c r="C21" s="95">
        <f t="shared" si="13"/>
        <v>11</v>
      </c>
      <c r="D21" s="572">
        <v>2078</v>
      </c>
      <c r="E21" s="237" t="s">
        <v>1044</v>
      </c>
      <c r="F21" s="171">
        <v>4200000</v>
      </c>
      <c r="G21" s="171">
        <v>2260000</v>
      </c>
      <c r="H21" s="171">
        <f t="shared" si="2"/>
        <v>1940000</v>
      </c>
      <c r="I21" s="171">
        <v>150000</v>
      </c>
      <c r="J21" s="171">
        <f>300000+1810000</f>
        <v>2110000</v>
      </c>
      <c r="K21" s="171">
        <f t="shared" si="3"/>
        <v>1940000</v>
      </c>
      <c r="L21" s="171">
        <f t="shared" si="4"/>
        <v>2110000</v>
      </c>
      <c r="M21" s="171">
        <v>300000</v>
      </c>
      <c r="N21" s="171">
        <f t="shared" si="5"/>
        <v>1810000</v>
      </c>
      <c r="O21" s="171">
        <f t="shared" si="12"/>
        <v>1810000</v>
      </c>
      <c r="P21" s="171"/>
      <c r="Q21" s="171"/>
      <c r="R21" s="573"/>
      <c r="S21" s="171"/>
      <c r="T21" s="171"/>
      <c r="U21" s="171"/>
      <c r="V21" s="171"/>
      <c r="W21" s="171"/>
      <c r="X21" s="171">
        <v>1810000</v>
      </c>
      <c r="Y21" s="171">
        <f t="shared" si="6"/>
        <v>1810000</v>
      </c>
      <c r="Z21" s="171"/>
      <c r="AA21" s="171">
        <f t="shared" si="7"/>
        <v>1810000</v>
      </c>
      <c r="AB21" s="171">
        <f t="shared" si="8"/>
        <v>0</v>
      </c>
      <c r="AC21" s="171">
        <f t="shared" si="9"/>
        <v>1810000</v>
      </c>
      <c r="AD21" s="171"/>
      <c r="AE21" s="171"/>
      <c r="AF21" s="171">
        <f t="shared" si="10"/>
        <v>0</v>
      </c>
      <c r="AG21" s="171"/>
      <c r="AH21" s="171"/>
      <c r="AI21" s="171">
        <f t="shared" si="11"/>
        <v>0</v>
      </c>
      <c r="AJ21" s="171"/>
      <c r="AK21" s="574"/>
      <c r="AL21" s="249"/>
      <c r="AM21" s="90"/>
      <c r="AP21" s="90"/>
      <c r="AQ21" s="90"/>
      <c r="AR21" s="90"/>
      <c r="AS21" s="228"/>
      <c r="AT21" s="228"/>
      <c r="AU21" s="228"/>
      <c r="AV21" s="228"/>
      <c r="AW21" s="228"/>
      <c r="AX21" s="228"/>
      <c r="AY21" s="228"/>
      <c r="AZ21" s="228"/>
      <c r="BA21" s="228"/>
    </row>
    <row r="22" spans="1:53" s="101" customFormat="1">
      <c r="A22" s="594"/>
      <c r="B22" s="595"/>
      <c r="C22" s="596"/>
      <c r="D22" s="390"/>
      <c r="E22" s="236" t="s">
        <v>102</v>
      </c>
      <c r="F22" s="174">
        <f t="shared" ref="F22:Q22" si="14">SUM(F13:F21)</f>
        <v>135227000</v>
      </c>
      <c r="G22" s="174">
        <f t="shared" si="14"/>
        <v>127527000</v>
      </c>
      <c r="H22" s="174">
        <f t="shared" si="14"/>
        <v>7700000</v>
      </c>
      <c r="I22" s="174">
        <f t="shared" si="14"/>
        <v>63849800</v>
      </c>
      <c r="J22" s="174">
        <f t="shared" si="14"/>
        <v>32584200</v>
      </c>
      <c r="K22" s="174">
        <f t="shared" si="14"/>
        <v>38793000</v>
      </c>
      <c r="L22" s="174">
        <f t="shared" si="14"/>
        <v>32584200</v>
      </c>
      <c r="M22" s="174">
        <f t="shared" si="14"/>
        <v>28150200</v>
      </c>
      <c r="N22" s="174">
        <f t="shared" si="14"/>
        <v>4434000</v>
      </c>
      <c r="O22" s="174">
        <f t="shared" si="14"/>
        <v>5500509</v>
      </c>
      <c r="P22" s="174">
        <f t="shared" si="14"/>
        <v>-1640000</v>
      </c>
      <c r="Q22" s="174">
        <f t="shared" si="14"/>
        <v>573491</v>
      </c>
      <c r="R22" s="597"/>
      <c r="S22" s="174">
        <f t="shared" ref="S22:AK22" si="15">SUM(S13:S21)</f>
        <v>0</v>
      </c>
      <c r="T22" s="174">
        <f t="shared" si="15"/>
        <v>0</v>
      </c>
      <c r="U22" s="174">
        <f t="shared" si="15"/>
        <v>0</v>
      </c>
      <c r="V22" s="174">
        <f t="shared" si="15"/>
        <v>0</v>
      </c>
      <c r="W22" s="174">
        <f t="shared" si="15"/>
        <v>4874000</v>
      </c>
      <c r="X22" s="174">
        <f t="shared" si="15"/>
        <v>2560000</v>
      </c>
      <c r="Y22" s="174">
        <f t="shared" si="15"/>
        <v>7434000</v>
      </c>
      <c r="Z22" s="174">
        <f t="shared" si="15"/>
        <v>0</v>
      </c>
      <c r="AA22" s="174">
        <f t="shared" si="15"/>
        <v>7434000</v>
      </c>
      <c r="AB22" s="174">
        <f t="shared" si="15"/>
        <v>-3000000</v>
      </c>
      <c r="AC22" s="174">
        <f t="shared" si="15"/>
        <v>8500509</v>
      </c>
      <c r="AD22" s="174">
        <f t="shared" si="15"/>
        <v>-1640000</v>
      </c>
      <c r="AE22" s="174">
        <f t="shared" si="15"/>
        <v>573491</v>
      </c>
      <c r="AF22" s="174">
        <f t="shared" si="15"/>
        <v>0</v>
      </c>
      <c r="AG22" s="174">
        <f t="shared" si="15"/>
        <v>0</v>
      </c>
      <c r="AH22" s="174">
        <f t="shared" si="15"/>
        <v>0</v>
      </c>
      <c r="AI22" s="174">
        <f t="shared" si="15"/>
        <v>-3000000</v>
      </c>
      <c r="AJ22" s="174">
        <f t="shared" si="15"/>
        <v>0</v>
      </c>
      <c r="AK22" s="598">
        <f t="shared" si="15"/>
        <v>0</v>
      </c>
      <c r="AL22" s="249"/>
      <c r="AM22" s="90"/>
      <c r="AP22" s="90"/>
      <c r="AQ22" s="90"/>
      <c r="AR22" s="90"/>
      <c r="AS22" s="228"/>
      <c r="AT22" s="228"/>
      <c r="AU22" s="228"/>
      <c r="AV22" s="228"/>
      <c r="AW22" s="228"/>
      <c r="AX22" s="228"/>
      <c r="AY22" s="228"/>
      <c r="AZ22" s="228"/>
      <c r="BA22" s="228"/>
    </row>
    <row r="23" spans="1:53" s="101" customFormat="1">
      <c r="A23" s="594"/>
      <c r="B23" s="595"/>
      <c r="C23" s="596"/>
      <c r="D23" s="390"/>
      <c r="E23" s="236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597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598"/>
      <c r="AL23" s="249"/>
      <c r="AM23" s="90"/>
      <c r="AP23" s="90"/>
      <c r="AQ23" s="90"/>
      <c r="AR23" s="90"/>
      <c r="AS23" s="228"/>
      <c r="AT23" s="228"/>
      <c r="AU23" s="228"/>
      <c r="AV23" s="228"/>
      <c r="AW23" s="228"/>
      <c r="AX23" s="228"/>
      <c r="AY23" s="228"/>
      <c r="AZ23" s="228"/>
      <c r="BA23" s="228"/>
    </row>
    <row r="24" spans="1:53" s="101" customFormat="1">
      <c r="A24" s="565"/>
      <c r="B24" s="566"/>
      <c r="C24" s="95"/>
      <c r="D24" s="567"/>
      <c r="E24" s="236" t="s">
        <v>1045</v>
      </c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69"/>
      <c r="R24" s="568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569"/>
      <c r="AL24" s="249"/>
      <c r="AM24" s="90"/>
      <c r="AP24" s="90"/>
      <c r="AQ24" s="90"/>
      <c r="AR24" s="90"/>
      <c r="AS24" s="228"/>
      <c r="AT24" s="228"/>
      <c r="AU24" s="228"/>
      <c r="AV24" s="228"/>
      <c r="AW24" s="228"/>
      <c r="AX24" s="228"/>
      <c r="AY24" s="228"/>
      <c r="AZ24" s="228"/>
      <c r="BA24" s="228"/>
    </row>
    <row r="25" spans="1:53" s="101" customFormat="1">
      <c r="A25" s="591" t="s">
        <v>1046</v>
      </c>
      <c r="B25" s="561" t="s">
        <v>1047</v>
      </c>
      <c r="C25" s="95">
        <f>C21+1</f>
        <v>12</v>
      </c>
      <c r="D25" s="170">
        <v>1886</v>
      </c>
      <c r="E25" s="237" t="s">
        <v>1048</v>
      </c>
      <c r="F25" s="171">
        <v>4830000</v>
      </c>
      <c r="G25" s="171">
        <v>4830000</v>
      </c>
      <c r="H25" s="171">
        <f t="shared" ref="H25:H39" si="16">F25-G25</f>
        <v>0</v>
      </c>
      <c r="I25" s="171">
        <v>4830000</v>
      </c>
      <c r="J25" s="171"/>
      <c r="K25" s="171">
        <f t="shared" ref="K25:K39" si="17">F25-I25-J25</f>
        <v>0</v>
      </c>
      <c r="L25" s="171">
        <f t="shared" ref="L25:L39" si="18">J25</f>
        <v>0</v>
      </c>
      <c r="M25" s="171"/>
      <c r="N25" s="171">
        <f t="shared" ref="N25:N39" si="19">L25-M25</f>
        <v>0</v>
      </c>
      <c r="O25" s="171">
        <f>N25-P25-Q25</f>
        <v>-118188</v>
      </c>
      <c r="P25" s="171"/>
      <c r="Q25" s="171">
        <v>118188</v>
      </c>
      <c r="R25" s="573"/>
      <c r="S25" s="171"/>
      <c r="T25" s="238"/>
      <c r="U25" s="171"/>
      <c r="V25" s="171"/>
      <c r="W25" s="171"/>
      <c r="X25" s="171"/>
      <c r="Y25" s="171">
        <f t="shared" ref="Y25:Y42" si="20">SUM(S25:X25)</f>
        <v>0</v>
      </c>
      <c r="Z25" s="171"/>
      <c r="AA25" s="171">
        <f t="shared" ref="AA25:AA42" si="21">Y25+Z25</f>
        <v>0</v>
      </c>
      <c r="AB25" s="171">
        <f t="shared" ref="AB25:AB42" si="22">N25-AA25</f>
        <v>0</v>
      </c>
      <c r="AC25" s="171">
        <f t="shared" ref="AC25:AC42" si="23">AA25-AD25-AE25</f>
        <v>-118188</v>
      </c>
      <c r="AD25" s="171"/>
      <c r="AE25" s="171">
        <v>118188</v>
      </c>
      <c r="AF25" s="171">
        <f t="shared" ref="AF25:AF42" si="24">Z25-AG25-AH25</f>
        <v>0</v>
      </c>
      <c r="AG25" s="171"/>
      <c r="AH25" s="171"/>
      <c r="AI25" s="171">
        <f t="shared" ref="AI25:AI42" si="25">AB25-AJ25-AK25</f>
        <v>0</v>
      </c>
      <c r="AJ25" s="171"/>
      <c r="AK25" s="574"/>
      <c r="AL25" s="249"/>
      <c r="AM25" s="90"/>
      <c r="AP25" s="90"/>
      <c r="AQ25" s="90"/>
      <c r="AR25" s="90"/>
      <c r="AS25" s="228"/>
      <c r="AT25" s="228"/>
      <c r="AU25" s="228"/>
      <c r="AV25" s="228"/>
      <c r="AW25" s="228"/>
      <c r="AX25" s="228"/>
      <c r="AY25" s="228"/>
      <c r="AZ25" s="228"/>
      <c r="BA25" s="228"/>
    </row>
    <row r="26" spans="1:53" s="380" customFormat="1" ht="31.2">
      <c r="A26" s="599" t="s">
        <v>1028</v>
      </c>
      <c r="B26" s="561" t="s">
        <v>1029</v>
      </c>
      <c r="C26" s="571">
        <f>C25+1</f>
        <v>13</v>
      </c>
      <c r="D26" s="600">
        <v>2130</v>
      </c>
      <c r="E26" s="237" t="s">
        <v>1049</v>
      </c>
      <c r="F26" s="171">
        <v>500000</v>
      </c>
      <c r="G26" s="171"/>
      <c r="H26" s="171">
        <f t="shared" si="16"/>
        <v>500000</v>
      </c>
      <c r="I26" s="171"/>
      <c r="J26" s="171">
        <v>500000</v>
      </c>
      <c r="K26" s="171">
        <f t="shared" si="17"/>
        <v>0</v>
      </c>
      <c r="L26" s="171">
        <f t="shared" si="18"/>
        <v>500000</v>
      </c>
      <c r="M26" s="171"/>
      <c r="N26" s="171">
        <f t="shared" si="19"/>
        <v>500000</v>
      </c>
      <c r="O26" s="171">
        <f t="shared" ref="O26:O39" si="26">N26-P26-Q26</f>
        <v>0</v>
      </c>
      <c r="P26" s="171">
        <v>200000</v>
      </c>
      <c r="Q26" s="171">
        <v>300000</v>
      </c>
      <c r="R26" s="573"/>
      <c r="S26" s="171"/>
      <c r="T26" s="171"/>
      <c r="U26" s="171"/>
      <c r="V26" s="171"/>
      <c r="W26" s="171"/>
      <c r="X26" s="171">
        <v>500000</v>
      </c>
      <c r="Y26" s="171">
        <f t="shared" si="20"/>
        <v>500000</v>
      </c>
      <c r="Z26" s="171"/>
      <c r="AA26" s="171">
        <f t="shared" si="21"/>
        <v>500000</v>
      </c>
      <c r="AB26" s="171">
        <f t="shared" si="22"/>
        <v>0</v>
      </c>
      <c r="AC26" s="171">
        <f t="shared" si="23"/>
        <v>200000</v>
      </c>
      <c r="AD26" s="171"/>
      <c r="AE26" s="171">
        <v>300000</v>
      </c>
      <c r="AF26" s="171">
        <f t="shared" si="24"/>
        <v>0</v>
      </c>
      <c r="AG26" s="171"/>
      <c r="AH26" s="171"/>
      <c r="AI26" s="171">
        <f t="shared" si="25"/>
        <v>0</v>
      </c>
      <c r="AJ26" s="171"/>
      <c r="AK26" s="574"/>
      <c r="AL26" s="592"/>
      <c r="AM26" s="175"/>
      <c r="AP26" s="175"/>
      <c r="AQ26" s="175"/>
      <c r="AR26" s="175"/>
      <c r="AS26" s="593"/>
      <c r="AT26" s="593"/>
      <c r="AU26" s="593"/>
      <c r="AV26" s="593"/>
      <c r="AW26" s="593"/>
      <c r="AX26" s="593"/>
      <c r="AY26" s="593"/>
      <c r="AZ26" s="593"/>
      <c r="BA26" s="593"/>
    </row>
    <row r="27" spans="1:53" s="101" customFormat="1">
      <c r="A27" s="570" t="s">
        <v>1028</v>
      </c>
      <c r="B27" s="561" t="s">
        <v>1029</v>
      </c>
      <c r="C27" s="95">
        <f t="shared" ref="C27:C42" si="27">C26+1</f>
        <v>14</v>
      </c>
      <c r="D27" s="600">
        <v>1970</v>
      </c>
      <c r="E27" s="237" t="s">
        <v>857</v>
      </c>
      <c r="F27" s="171">
        <f>13200000+8300000</f>
        <v>21500000</v>
      </c>
      <c r="G27" s="171">
        <v>13200000</v>
      </c>
      <c r="H27" s="171">
        <f t="shared" si="16"/>
        <v>8300000</v>
      </c>
      <c r="I27" s="171">
        <f>6818874+381126</f>
        <v>7200000</v>
      </c>
      <c r="J27" s="171">
        <f>6000000+6000000</f>
        <v>12000000</v>
      </c>
      <c r="K27" s="171">
        <f t="shared" si="17"/>
        <v>2300000</v>
      </c>
      <c r="L27" s="171">
        <f t="shared" si="18"/>
        <v>12000000</v>
      </c>
      <c r="M27" s="171">
        <v>6000000</v>
      </c>
      <c r="N27" s="171">
        <f t="shared" si="19"/>
        <v>6000000</v>
      </c>
      <c r="O27" s="171">
        <f t="shared" si="26"/>
        <v>1800000</v>
      </c>
      <c r="P27" s="171">
        <f>6500000-2300000</f>
        <v>4200000</v>
      </c>
      <c r="Q27" s="171"/>
      <c r="R27" s="573"/>
      <c r="S27" s="171"/>
      <c r="T27" s="171"/>
      <c r="U27" s="171"/>
      <c r="V27" s="171">
        <v>6000000</v>
      </c>
      <c r="W27" s="171"/>
      <c r="X27" s="171"/>
      <c r="Y27" s="171">
        <f t="shared" si="20"/>
        <v>6000000</v>
      </c>
      <c r="Z27" s="171"/>
      <c r="AA27" s="171">
        <f t="shared" si="21"/>
        <v>6000000</v>
      </c>
      <c r="AB27" s="171">
        <f t="shared" si="22"/>
        <v>0</v>
      </c>
      <c r="AC27" s="171">
        <f t="shared" si="23"/>
        <v>1800000</v>
      </c>
      <c r="AD27" s="171">
        <v>4200000</v>
      </c>
      <c r="AE27" s="171"/>
      <c r="AF27" s="171">
        <f t="shared" si="24"/>
        <v>0</v>
      </c>
      <c r="AG27" s="171"/>
      <c r="AH27" s="171"/>
      <c r="AI27" s="171">
        <f t="shared" si="25"/>
        <v>0</v>
      </c>
      <c r="AJ27" s="171"/>
      <c r="AK27" s="574"/>
      <c r="AL27" s="249"/>
      <c r="AM27" s="90"/>
      <c r="AP27" s="90"/>
      <c r="AQ27" s="90"/>
      <c r="AR27" s="90"/>
      <c r="AS27" s="228"/>
      <c r="AT27" s="228"/>
      <c r="AU27" s="228"/>
      <c r="AV27" s="228"/>
      <c r="AW27" s="228"/>
      <c r="AX27" s="228"/>
      <c r="AY27" s="228"/>
      <c r="AZ27" s="228"/>
      <c r="BA27" s="228"/>
    </row>
    <row r="28" spans="1:53" s="101" customFormat="1">
      <c r="A28" s="570" t="s">
        <v>1028</v>
      </c>
      <c r="B28" s="561" t="s">
        <v>1029</v>
      </c>
      <c r="C28" s="95">
        <f t="shared" si="27"/>
        <v>15</v>
      </c>
      <c r="D28" s="600">
        <v>2129</v>
      </c>
      <c r="E28" s="237" t="s">
        <v>1050</v>
      </c>
      <c r="F28" s="171">
        <v>624000</v>
      </c>
      <c r="G28" s="171"/>
      <c r="H28" s="171">
        <f t="shared" si="16"/>
        <v>624000</v>
      </c>
      <c r="I28" s="171"/>
      <c r="J28" s="171">
        <v>624000</v>
      </c>
      <c r="K28" s="171">
        <f t="shared" si="17"/>
        <v>0</v>
      </c>
      <c r="L28" s="171">
        <f t="shared" si="18"/>
        <v>624000</v>
      </c>
      <c r="M28" s="171"/>
      <c r="N28" s="171">
        <f t="shared" si="19"/>
        <v>624000</v>
      </c>
      <c r="O28" s="171">
        <f t="shared" si="26"/>
        <v>0</v>
      </c>
      <c r="P28" s="171">
        <v>624000</v>
      </c>
      <c r="Q28" s="171"/>
      <c r="R28" s="573"/>
      <c r="S28" s="171"/>
      <c r="T28" s="171"/>
      <c r="U28" s="171"/>
      <c r="V28" s="171">
        <v>624000</v>
      </c>
      <c r="W28" s="171"/>
      <c r="X28" s="171"/>
      <c r="Y28" s="171">
        <f t="shared" si="20"/>
        <v>624000</v>
      </c>
      <c r="Z28" s="171"/>
      <c r="AA28" s="171">
        <f t="shared" si="21"/>
        <v>624000</v>
      </c>
      <c r="AB28" s="171">
        <f t="shared" si="22"/>
        <v>0</v>
      </c>
      <c r="AC28" s="171">
        <f t="shared" si="23"/>
        <v>0</v>
      </c>
      <c r="AD28" s="171">
        <v>624000</v>
      </c>
      <c r="AE28" s="171"/>
      <c r="AF28" s="171">
        <f t="shared" si="24"/>
        <v>0</v>
      </c>
      <c r="AG28" s="171"/>
      <c r="AH28" s="171"/>
      <c r="AI28" s="171">
        <f t="shared" si="25"/>
        <v>0</v>
      </c>
      <c r="AJ28" s="171"/>
      <c r="AK28" s="574"/>
      <c r="AL28" s="249"/>
      <c r="AM28" s="90"/>
      <c r="AP28" s="90"/>
      <c r="AQ28" s="90"/>
      <c r="AR28" s="90"/>
      <c r="AS28" s="228"/>
      <c r="AT28" s="228"/>
      <c r="AU28" s="228"/>
      <c r="AV28" s="228"/>
      <c r="AW28" s="228"/>
      <c r="AX28" s="228"/>
      <c r="AY28" s="228"/>
      <c r="AZ28" s="228"/>
      <c r="BA28" s="228"/>
    </row>
    <row r="29" spans="1:53" s="101" customFormat="1">
      <c r="A29" s="570" t="s">
        <v>1028</v>
      </c>
      <c r="B29" s="561" t="s">
        <v>1029</v>
      </c>
      <c r="C29" s="95">
        <f t="shared" si="27"/>
        <v>16</v>
      </c>
      <c r="D29" s="600">
        <v>1489</v>
      </c>
      <c r="E29" s="237" t="s">
        <v>1051</v>
      </c>
      <c r="F29" s="171">
        <v>46200000</v>
      </c>
      <c r="G29" s="171">
        <v>46200000</v>
      </c>
      <c r="H29" s="171">
        <f t="shared" si="16"/>
        <v>0</v>
      </c>
      <c r="I29" s="171">
        <f>37876386+2123614</f>
        <v>40000000</v>
      </c>
      <c r="J29" s="171">
        <v>4500000</v>
      </c>
      <c r="K29" s="171">
        <f t="shared" si="17"/>
        <v>1700000</v>
      </c>
      <c r="L29" s="171">
        <f t="shared" si="18"/>
        <v>4500000</v>
      </c>
      <c r="M29" s="171">
        <v>4000000</v>
      </c>
      <c r="N29" s="171">
        <f t="shared" si="19"/>
        <v>500000</v>
      </c>
      <c r="O29" s="171">
        <f t="shared" si="26"/>
        <v>0</v>
      </c>
      <c r="P29" s="171">
        <v>500000</v>
      </c>
      <c r="Q29" s="171"/>
      <c r="R29" s="573"/>
      <c r="S29" s="171"/>
      <c r="T29" s="171"/>
      <c r="U29" s="171"/>
      <c r="V29" s="171">
        <v>500000</v>
      </c>
      <c r="W29" s="171"/>
      <c r="X29" s="171"/>
      <c r="Y29" s="171">
        <f t="shared" si="20"/>
        <v>500000</v>
      </c>
      <c r="Z29" s="171"/>
      <c r="AA29" s="171">
        <f t="shared" si="21"/>
        <v>500000</v>
      </c>
      <c r="AB29" s="171">
        <f t="shared" si="22"/>
        <v>0</v>
      </c>
      <c r="AC29" s="171">
        <f t="shared" si="23"/>
        <v>0</v>
      </c>
      <c r="AD29" s="171">
        <v>500000</v>
      </c>
      <c r="AE29" s="171"/>
      <c r="AF29" s="171">
        <f t="shared" si="24"/>
        <v>0</v>
      </c>
      <c r="AG29" s="171"/>
      <c r="AH29" s="171"/>
      <c r="AI29" s="171">
        <f t="shared" si="25"/>
        <v>0</v>
      </c>
      <c r="AJ29" s="171"/>
      <c r="AK29" s="574"/>
      <c r="AL29" s="249"/>
      <c r="AM29" s="90"/>
      <c r="AP29" s="90"/>
      <c r="AQ29" s="90"/>
      <c r="AR29" s="90"/>
      <c r="AS29" s="228"/>
      <c r="AT29" s="228"/>
      <c r="AU29" s="228"/>
      <c r="AV29" s="228"/>
      <c r="AW29" s="228"/>
      <c r="AX29" s="228"/>
      <c r="AY29" s="228"/>
      <c r="AZ29" s="228"/>
      <c r="BA29" s="228"/>
    </row>
    <row r="30" spans="1:53" s="101" customFormat="1">
      <c r="A30" s="570" t="s">
        <v>1028</v>
      </c>
      <c r="B30" s="561" t="s">
        <v>1029</v>
      </c>
      <c r="C30" s="95">
        <f t="shared" si="27"/>
        <v>17</v>
      </c>
      <c r="D30" s="600">
        <v>1968</v>
      </c>
      <c r="E30" s="237" t="s">
        <v>193</v>
      </c>
      <c r="F30" s="171">
        <v>1650000</v>
      </c>
      <c r="G30" s="171">
        <v>1400000</v>
      </c>
      <c r="H30" s="171">
        <f t="shared" si="16"/>
        <v>250000</v>
      </c>
      <c r="I30" s="171">
        <f>1393795+6205</f>
        <v>1400000</v>
      </c>
      <c r="J30" s="171">
        <v>250000</v>
      </c>
      <c r="K30" s="171">
        <f t="shared" si="17"/>
        <v>0</v>
      </c>
      <c r="L30" s="171">
        <f t="shared" si="18"/>
        <v>250000</v>
      </c>
      <c r="M30" s="171"/>
      <c r="N30" s="171">
        <f t="shared" si="19"/>
        <v>250000</v>
      </c>
      <c r="O30" s="171">
        <f t="shared" si="26"/>
        <v>0</v>
      </c>
      <c r="P30" s="171">
        <v>250000</v>
      </c>
      <c r="Q30" s="171"/>
      <c r="R30" s="573"/>
      <c r="S30" s="171"/>
      <c r="T30" s="171"/>
      <c r="U30" s="171"/>
      <c r="V30" s="171">
        <v>250000</v>
      </c>
      <c r="W30" s="171"/>
      <c r="X30" s="171"/>
      <c r="Y30" s="171">
        <f t="shared" si="20"/>
        <v>250000</v>
      </c>
      <c r="Z30" s="171"/>
      <c r="AA30" s="171">
        <f t="shared" si="21"/>
        <v>250000</v>
      </c>
      <c r="AB30" s="171">
        <f t="shared" si="22"/>
        <v>0</v>
      </c>
      <c r="AC30" s="171">
        <f t="shared" si="23"/>
        <v>0</v>
      </c>
      <c r="AD30" s="171">
        <v>250000</v>
      </c>
      <c r="AE30" s="171"/>
      <c r="AF30" s="171">
        <f t="shared" si="24"/>
        <v>0</v>
      </c>
      <c r="AG30" s="171"/>
      <c r="AH30" s="171"/>
      <c r="AI30" s="171">
        <f t="shared" si="25"/>
        <v>0</v>
      </c>
      <c r="AJ30" s="171"/>
      <c r="AK30" s="574"/>
      <c r="AL30" s="249"/>
      <c r="AM30" s="90"/>
      <c r="AP30" s="90"/>
      <c r="AQ30" s="90"/>
      <c r="AR30" s="90"/>
      <c r="AS30" s="228"/>
      <c r="AT30" s="228"/>
      <c r="AU30" s="228"/>
      <c r="AV30" s="228"/>
      <c r="AW30" s="228"/>
      <c r="AX30" s="228"/>
      <c r="AY30" s="228"/>
      <c r="AZ30" s="228"/>
      <c r="BA30" s="228"/>
    </row>
    <row r="31" spans="1:53" s="101" customFormat="1">
      <c r="A31" s="570" t="s">
        <v>1028</v>
      </c>
      <c r="B31" s="561" t="s">
        <v>1029</v>
      </c>
      <c r="C31" s="95">
        <f t="shared" si="27"/>
        <v>18</v>
      </c>
      <c r="D31" s="600">
        <v>1560</v>
      </c>
      <c r="E31" s="237" t="s">
        <v>1052</v>
      </c>
      <c r="F31" s="171">
        <f>3760000+850000</f>
        <v>4610000</v>
      </c>
      <c r="G31" s="171">
        <v>3760000</v>
      </c>
      <c r="H31" s="171">
        <f t="shared" si="16"/>
        <v>850000</v>
      </c>
      <c r="I31" s="171">
        <f>3227686+32314</f>
        <v>3260000</v>
      </c>
      <c r="J31" s="171">
        <v>1350000</v>
      </c>
      <c r="K31" s="171">
        <f t="shared" si="17"/>
        <v>0</v>
      </c>
      <c r="L31" s="171">
        <f t="shared" si="18"/>
        <v>1350000</v>
      </c>
      <c r="M31" s="171">
        <v>500000</v>
      </c>
      <c r="N31" s="171">
        <f t="shared" si="19"/>
        <v>850000</v>
      </c>
      <c r="O31" s="171">
        <f t="shared" si="26"/>
        <v>850000</v>
      </c>
      <c r="P31" s="171"/>
      <c r="Q31" s="171"/>
      <c r="R31" s="573"/>
      <c r="S31" s="171"/>
      <c r="T31" s="171"/>
      <c r="U31" s="171"/>
      <c r="V31" s="171">
        <v>850000</v>
      </c>
      <c r="W31" s="171"/>
      <c r="X31" s="171"/>
      <c r="Y31" s="171">
        <f t="shared" si="20"/>
        <v>850000</v>
      </c>
      <c r="Z31" s="171"/>
      <c r="AA31" s="171">
        <f t="shared" si="21"/>
        <v>850000</v>
      </c>
      <c r="AB31" s="171">
        <f t="shared" si="22"/>
        <v>0</v>
      </c>
      <c r="AC31" s="171">
        <f t="shared" si="23"/>
        <v>850000</v>
      </c>
      <c r="AD31" s="171"/>
      <c r="AE31" s="171"/>
      <c r="AF31" s="171">
        <f t="shared" si="24"/>
        <v>0</v>
      </c>
      <c r="AG31" s="171"/>
      <c r="AH31" s="171"/>
      <c r="AI31" s="171">
        <f t="shared" si="25"/>
        <v>0</v>
      </c>
      <c r="AJ31" s="171"/>
      <c r="AK31" s="574"/>
      <c r="AL31" s="249"/>
      <c r="AM31" s="90"/>
      <c r="AP31" s="90"/>
      <c r="AQ31" s="90"/>
      <c r="AR31" s="90"/>
      <c r="AS31" s="228"/>
      <c r="AT31" s="228"/>
      <c r="AU31" s="228"/>
      <c r="AV31" s="228"/>
      <c r="AW31" s="228"/>
      <c r="AX31" s="228"/>
      <c r="AY31" s="228"/>
      <c r="AZ31" s="228"/>
      <c r="BA31" s="228"/>
    </row>
    <row r="32" spans="1:53" s="101" customFormat="1" ht="31.2">
      <c r="A32" s="570" t="s">
        <v>1028</v>
      </c>
      <c r="B32" s="561" t="s">
        <v>1029</v>
      </c>
      <c r="C32" s="95">
        <f t="shared" si="27"/>
        <v>19</v>
      </c>
      <c r="D32" s="600">
        <v>1850</v>
      </c>
      <c r="E32" s="237" t="s">
        <v>1053</v>
      </c>
      <c r="F32" s="171">
        <v>14600000</v>
      </c>
      <c r="G32" s="171">
        <v>14600000</v>
      </c>
      <c r="H32" s="171">
        <f t="shared" si="16"/>
        <v>0</v>
      </c>
      <c r="I32" s="171">
        <f>2457316+622684</f>
        <v>3080000</v>
      </c>
      <c r="J32" s="171">
        <v>1050000</v>
      </c>
      <c r="K32" s="171">
        <f t="shared" si="17"/>
        <v>10470000</v>
      </c>
      <c r="L32" s="171">
        <f t="shared" si="18"/>
        <v>1050000</v>
      </c>
      <c r="M32" s="171">
        <v>1050000</v>
      </c>
      <c r="N32" s="171">
        <f t="shared" si="19"/>
        <v>0</v>
      </c>
      <c r="O32" s="171">
        <f t="shared" si="26"/>
        <v>0</v>
      </c>
      <c r="P32" s="171"/>
      <c r="Q32" s="171"/>
      <c r="R32" s="573"/>
      <c r="S32" s="171"/>
      <c r="T32" s="171"/>
      <c r="U32" s="171"/>
      <c r="V32" s="171"/>
      <c r="W32" s="171"/>
      <c r="X32" s="171"/>
      <c r="Y32" s="171">
        <f t="shared" si="20"/>
        <v>0</v>
      </c>
      <c r="Z32" s="171"/>
      <c r="AA32" s="171">
        <f t="shared" si="21"/>
        <v>0</v>
      </c>
      <c r="AB32" s="171">
        <f t="shared" si="22"/>
        <v>0</v>
      </c>
      <c r="AC32" s="171">
        <f t="shared" si="23"/>
        <v>0</v>
      </c>
      <c r="AD32" s="171"/>
      <c r="AE32" s="171"/>
      <c r="AF32" s="171">
        <f t="shared" si="24"/>
        <v>0</v>
      </c>
      <c r="AG32" s="171"/>
      <c r="AH32" s="171"/>
      <c r="AI32" s="171">
        <f t="shared" si="25"/>
        <v>0</v>
      </c>
      <c r="AJ32" s="171"/>
      <c r="AK32" s="574"/>
      <c r="AL32" s="249"/>
      <c r="AM32" s="90"/>
      <c r="AP32" s="90"/>
      <c r="AQ32" s="90"/>
      <c r="AR32" s="90"/>
      <c r="AS32" s="228"/>
      <c r="AT32" s="228"/>
      <c r="AU32" s="228"/>
      <c r="AV32" s="228"/>
      <c r="AW32" s="228"/>
      <c r="AX32" s="228"/>
      <c r="AY32" s="228"/>
      <c r="AZ32" s="228"/>
      <c r="BA32" s="228"/>
    </row>
    <row r="33" spans="1:53" s="380" customFormat="1" ht="31.2">
      <c r="A33" s="599" t="s">
        <v>1028</v>
      </c>
      <c r="B33" s="561" t="s">
        <v>1029</v>
      </c>
      <c r="C33" s="571">
        <f t="shared" si="27"/>
        <v>20</v>
      </c>
      <c r="D33" s="600">
        <v>2131</v>
      </c>
      <c r="E33" s="237" t="s">
        <v>1054</v>
      </c>
      <c r="F33" s="171">
        <v>7500000</v>
      </c>
      <c r="G33" s="171"/>
      <c r="H33" s="171">
        <f t="shared" si="16"/>
        <v>7500000</v>
      </c>
      <c r="I33" s="171"/>
      <c r="J33" s="171">
        <v>4020000</v>
      </c>
      <c r="K33" s="171">
        <f t="shared" si="17"/>
        <v>3480000</v>
      </c>
      <c r="L33" s="171">
        <f t="shared" si="18"/>
        <v>4020000</v>
      </c>
      <c r="M33" s="171"/>
      <c r="N33" s="171">
        <f t="shared" si="19"/>
        <v>4020000</v>
      </c>
      <c r="O33" s="171">
        <f t="shared" si="26"/>
        <v>0</v>
      </c>
      <c r="P33" s="171">
        <v>2500000</v>
      </c>
      <c r="Q33" s="171">
        <v>1520000</v>
      </c>
      <c r="R33" s="573"/>
      <c r="S33" s="171"/>
      <c r="T33" s="171"/>
      <c r="U33" s="171"/>
      <c r="V33" s="171">
        <v>4020000</v>
      </c>
      <c r="W33" s="171"/>
      <c r="X33" s="171"/>
      <c r="Y33" s="171">
        <f t="shared" si="20"/>
        <v>4020000</v>
      </c>
      <c r="Z33" s="171"/>
      <c r="AA33" s="171">
        <f t="shared" si="21"/>
        <v>4020000</v>
      </c>
      <c r="AB33" s="171">
        <f t="shared" si="22"/>
        <v>0</v>
      </c>
      <c r="AC33" s="171">
        <f t="shared" si="23"/>
        <v>2500000</v>
      </c>
      <c r="AD33" s="171"/>
      <c r="AE33" s="171">
        <v>1520000</v>
      </c>
      <c r="AF33" s="171">
        <f t="shared" si="24"/>
        <v>0</v>
      </c>
      <c r="AG33" s="171"/>
      <c r="AH33" s="171"/>
      <c r="AI33" s="171">
        <f t="shared" si="25"/>
        <v>0</v>
      </c>
      <c r="AJ33" s="171"/>
      <c r="AK33" s="574"/>
      <c r="AL33" s="592"/>
      <c r="AM33" s="175"/>
      <c r="AP33" s="175"/>
      <c r="AQ33" s="175"/>
      <c r="AR33" s="175"/>
      <c r="AS33" s="593"/>
      <c r="AT33" s="593"/>
      <c r="AU33" s="593"/>
      <c r="AV33" s="593"/>
      <c r="AW33" s="593"/>
      <c r="AX33" s="593"/>
      <c r="AY33" s="593"/>
      <c r="AZ33" s="593"/>
      <c r="BA33" s="593"/>
    </row>
    <row r="34" spans="1:53" s="101" customFormat="1">
      <c r="A34" s="570" t="s">
        <v>1028</v>
      </c>
      <c r="B34" s="561" t="s">
        <v>1029</v>
      </c>
      <c r="C34" s="95">
        <f t="shared" si="27"/>
        <v>21</v>
      </c>
      <c r="D34" s="600">
        <v>2128</v>
      </c>
      <c r="E34" s="237" t="s">
        <v>1055</v>
      </c>
      <c r="F34" s="171">
        <v>450000</v>
      </c>
      <c r="G34" s="171"/>
      <c r="H34" s="171">
        <f t="shared" si="16"/>
        <v>450000</v>
      </c>
      <c r="I34" s="171"/>
      <c r="J34" s="171">
        <v>450000</v>
      </c>
      <c r="K34" s="171">
        <f t="shared" si="17"/>
        <v>0</v>
      </c>
      <c r="L34" s="171">
        <f t="shared" si="18"/>
        <v>450000</v>
      </c>
      <c r="M34" s="171"/>
      <c r="N34" s="171">
        <f t="shared" si="19"/>
        <v>450000</v>
      </c>
      <c r="O34" s="171">
        <f t="shared" si="26"/>
        <v>0</v>
      </c>
      <c r="P34" s="171">
        <v>450000</v>
      </c>
      <c r="Q34" s="171"/>
      <c r="R34" s="573"/>
      <c r="S34" s="171"/>
      <c r="T34" s="171"/>
      <c r="U34" s="171"/>
      <c r="V34" s="171">
        <v>450000</v>
      </c>
      <c r="W34" s="171"/>
      <c r="X34" s="171"/>
      <c r="Y34" s="171">
        <f t="shared" si="20"/>
        <v>450000</v>
      </c>
      <c r="Z34" s="171"/>
      <c r="AA34" s="171">
        <f t="shared" si="21"/>
        <v>450000</v>
      </c>
      <c r="AB34" s="171">
        <f t="shared" si="22"/>
        <v>0</v>
      </c>
      <c r="AC34" s="171">
        <f t="shared" si="23"/>
        <v>0</v>
      </c>
      <c r="AD34" s="171">
        <v>450000</v>
      </c>
      <c r="AE34" s="171"/>
      <c r="AF34" s="171">
        <f t="shared" si="24"/>
        <v>0</v>
      </c>
      <c r="AG34" s="171"/>
      <c r="AH34" s="171"/>
      <c r="AI34" s="171">
        <f t="shared" si="25"/>
        <v>0</v>
      </c>
      <c r="AJ34" s="171"/>
      <c r="AK34" s="574"/>
      <c r="AL34" s="249"/>
      <c r="AM34" s="90"/>
      <c r="AP34" s="90"/>
      <c r="AQ34" s="90"/>
      <c r="AR34" s="90"/>
      <c r="AS34" s="228"/>
      <c r="AT34" s="228"/>
      <c r="AU34" s="228"/>
      <c r="AV34" s="228"/>
      <c r="AW34" s="228"/>
      <c r="AX34" s="228"/>
      <c r="AY34" s="228"/>
      <c r="AZ34" s="228"/>
      <c r="BA34" s="228"/>
    </row>
    <row r="35" spans="1:53" s="101" customFormat="1">
      <c r="A35" s="570" t="s">
        <v>1028</v>
      </c>
      <c r="B35" s="561" t="s">
        <v>1029</v>
      </c>
      <c r="C35" s="95">
        <f t="shared" si="27"/>
        <v>22</v>
      </c>
      <c r="D35" s="600">
        <v>1887</v>
      </c>
      <c r="E35" s="237" t="s">
        <v>167</v>
      </c>
      <c r="F35" s="171">
        <v>5200000</v>
      </c>
      <c r="G35" s="171">
        <v>5200000</v>
      </c>
      <c r="H35" s="171">
        <f t="shared" si="16"/>
        <v>0</v>
      </c>
      <c r="I35" s="171">
        <f>1117175+3082825</f>
        <v>4200000</v>
      </c>
      <c r="J35" s="171">
        <v>-1000000</v>
      </c>
      <c r="K35" s="171">
        <f t="shared" si="17"/>
        <v>2000000</v>
      </c>
      <c r="L35" s="171">
        <f t="shared" si="18"/>
        <v>-1000000</v>
      </c>
      <c r="M35" s="171">
        <v>1000000</v>
      </c>
      <c r="N35" s="171">
        <f t="shared" si="19"/>
        <v>-2000000</v>
      </c>
      <c r="O35" s="171">
        <f t="shared" si="26"/>
        <v>0</v>
      </c>
      <c r="P35" s="171">
        <v>-2000000</v>
      </c>
      <c r="Q35" s="171"/>
      <c r="R35" s="573"/>
      <c r="S35" s="171"/>
      <c r="T35" s="171"/>
      <c r="U35" s="171"/>
      <c r="V35" s="171"/>
      <c r="W35" s="171"/>
      <c r="X35" s="171"/>
      <c r="Y35" s="171">
        <f t="shared" si="20"/>
        <v>0</v>
      </c>
      <c r="Z35" s="171"/>
      <c r="AA35" s="171">
        <f t="shared" si="21"/>
        <v>0</v>
      </c>
      <c r="AB35" s="171">
        <f t="shared" si="22"/>
        <v>-2000000</v>
      </c>
      <c r="AC35" s="171">
        <f t="shared" si="23"/>
        <v>0</v>
      </c>
      <c r="AD35" s="171"/>
      <c r="AE35" s="171"/>
      <c r="AF35" s="171">
        <f t="shared" si="24"/>
        <v>0</v>
      </c>
      <c r="AG35" s="171"/>
      <c r="AH35" s="171"/>
      <c r="AI35" s="171">
        <f t="shared" si="25"/>
        <v>0</v>
      </c>
      <c r="AJ35" s="171">
        <v>-2000000</v>
      </c>
      <c r="AK35" s="574"/>
      <c r="AL35" s="249"/>
      <c r="AM35" s="90"/>
      <c r="AP35" s="90"/>
      <c r="AQ35" s="90"/>
      <c r="AR35" s="90"/>
      <c r="AS35" s="228"/>
      <c r="AT35" s="228"/>
      <c r="AU35" s="228"/>
      <c r="AV35" s="228"/>
      <c r="AW35" s="228"/>
      <c r="AX35" s="228"/>
      <c r="AY35" s="228"/>
      <c r="AZ35" s="228"/>
      <c r="BA35" s="228"/>
    </row>
    <row r="36" spans="1:53" s="101" customFormat="1">
      <c r="A36" s="591" t="s">
        <v>1039</v>
      </c>
      <c r="B36" s="561" t="s">
        <v>1040</v>
      </c>
      <c r="C36" s="95">
        <f t="shared" si="27"/>
        <v>23</v>
      </c>
      <c r="D36" s="600">
        <v>1970</v>
      </c>
      <c r="E36" s="237" t="s">
        <v>1056</v>
      </c>
      <c r="F36" s="171">
        <f>13200000+8300000</f>
        <v>21500000</v>
      </c>
      <c r="G36" s="171">
        <v>21500000</v>
      </c>
      <c r="H36" s="171">
        <f t="shared" si="16"/>
        <v>0</v>
      </c>
      <c r="I36" s="171">
        <f>6818874+381126</f>
        <v>7200000</v>
      </c>
      <c r="J36" s="171">
        <f>6000000+6000000</f>
        <v>12000000</v>
      </c>
      <c r="K36" s="171">
        <f t="shared" si="17"/>
        <v>2300000</v>
      </c>
      <c r="L36" s="171">
        <f t="shared" si="18"/>
        <v>12000000</v>
      </c>
      <c r="M36" s="171">
        <v>12000000</v>
      </c>
      <c r="N36" s="171">
        <f t="shared" si="19"/>
        <v>0</v>
      </c>
      <c r="O36" s="171">
        <f t="shared" si="26"/>
        <v>0</v>
      </c>
      <c r="P36" s="171">
        <f>N36-Q36</f>
        <v>-135772</v>
      </c>
      <c r="Q36" s="171">
        <v>135772</v>
      </c>
      <c r="R36" s="573"/>
      <c r="S36" s="171"/>
      <c r="T36" s="171"/>
      <c r="U36" s="171"/>
      <c r="V36" s="171"/>
      <c r="W36" s="238"/>
      <c r="X36" s="171"/>
      <c r="Y36" s="171">
        <f t="shared" si="20"/>
        <v>0</v>
      </c>
      <c r="Z36" s="171"/>
      <c r="AA36" s="171">
        <f t="shared" si="21"/>
        <v>0</v>
      </c>
      <c r="AB36" s="171">
        <f t="shared" si="22"/>
        <v>0</v>
      </c>
      <c r="AC36" s="171">
        <f t="shared" si="23"/>
        <v>-135772</v>
      </c>
      <c r="AD36" s="171"/>
      <c r="AE36" s="171">
        <v>135772</v>
      </c>
      <c r="AF36" s="171">
        <f t="shared" si="24"/>
        <v>0</v>
      </c>
      <c r="AG36" s="171"/>
      <c r="AH36" s="171"/>
      <c r="AI36" s="171">
        <f t="shared" si="25"/>
        <v>0</v>
      </c>
      <c r="AJ36" s="171"/>
      <c r="AK36" s="574"/>
      <c r="AL36" s="249"/>
      <c r="AM36" s="90"/>
      <c r="AP36" s="90"/>
      <c r="AQ36" s="90"/>
      <c r="AR36" s="90"/>
      <c r="AS36" s="228"/>
      <c r="AT36" s="228"/>
      <c r="AU36" s="228"/>
      <c r="AV36" s="228"/>
      <c r="AW36" s="228"/>
      <c r="AX36" s="228"/>
      <c r="AY36" s="228"/>
      <c r="AZ36" s="228"/>
      <c r="BA36" s="228"/>
    </row>
    <row r="37" spans="1:53" s="101" customFormat="1">
      <c r="A37" s="591" t="s">
        <v>1039</v>
      </c>
      <c r="B37" s="561" t="s">
        <v>1040</v>
      </c>
      <c r="C37" s="95">
        <f t="shared" si="27"/>
        <v>24</v>
      </c>
      <c r="D37" s="600">
        <v>2132</v>
      </c>
      <c r="E37" s="237" t="s">
        <v>1057</v>
      </c>
      <c r="F37" s="171">
        <v>700000</v>
      </c>
      <c r="G37" s="171"/>
      <c r="H37" s="171">
        <f t="shared" si="16"/>
        <v>700000</v>
      </c>
      <c r="I37" s="171"/>
      <c r="J37" s="171">
        <v>700000</v>
      </c>
      <c r="K37" s="171">
        <f t="shared" si="17"/>
        <v>0</v>
      </c>
      <c r="L37" s="171">
        <f t="shared" si="18"/>
        <v>700000</v>
      </c>
      <c r="M37" s="171"/>
      <c r="N37" s="171">
        <f t="shared" si="19"/>
        <v>700000</v>
      </c>
      <c r="O37" s="171">
        <f t="shared" si="26"/>
        <v>300000</v>
      </c>
      <c r="P37" s="171">
        <v>400000</v>
      </c>
      <c r="Q37" s="171"/>
      <c r="R37" s="573"/>
      <c r="S37" s="171"/>
      <c r="T37" s="171"/>
      <c r="U37" s="171"/>
      <c r="V37" s="171"/>
      <c r="W37" s="171">
        <v>700000</v>
      </c>
      <c r="X37" s="171"/>
      <c r="Y37" s="171">
        <f t="shared" si="20"/>
        <v>700000</v>
      </c>
      <c r="Z37" s="171"/>
      <c r="AA37" s="171">
        <f t="shared" si="21"/>
        <v>700000</v>
      </c>
      <c r="AB37" s="171">
        <f t="shared" si="22"/>
        <v>0</v>
      </c>
      <c r="AC37" s="171">
        <f t="shared" si="23"/>
        <v>300000</v>
      </c>
      <c r="AD37" s="171">
        <v>400000</v>
      </c>
      <c r="AE37" s="171"/>
      <c r="AF37" s="171">
        <f t="shared" si="24"/>
        <v>0</v>
      </c>
      <c r="AG37" s="171"/>
      <c r="AH37" s="171"/>
      <c r="AI37" s="171">
        <f t="shared" si="25"/>
        <v>0</v>
      </c>
      <c r="AJ37" s="171"/>
      <c r="AK37" s="574"/>
      <c r="AL37" s="249"/>
      <c r="AM37" s="90"/>
      <c r="AP37" s="90"/>
      <c r="AQ37" s="90"/>
      <c r="AR37" s="90"/>
      <c r="AS37" s="228"/>
      <c r="AT37" s="228"/>
      <c r="AU37" s="228"/>
      <c r="AV37" s="228"/>
      <c r="AW37" s="228"/>
      <c r="AX37" s="228"/>
      <c r="AY37" s="228"/>
      <c r="AZ37" s="228"/>
      <c r="BA37" s="228"/>
    </row>
    <row r="38" spans="1:53" s="101" customFormat="1">
      <c r="A38" s="591" t="s">
        <v>1039</v>
      </c>
      <c r="B38" s="561" t="s">
        <v>1040</v>
      </c>
      <c r="C38" s="95">
        <f t="shared" si="27"/>
        <v>25</v>
      </c>
      <c r="D38" s="600">
        <v>2133</v>
      </c>
      <c r="E38" s="237" t="s">
        <v>1058</v>
      </c>
      <c r="F38" s="171">
        <v>3000000</v>
      </c>
      <c r="G38" s="171"/>
      <c r="H38" s="171">
        <f t="shared" si="16"/>
        <v>3000000</v>
      </c>
      <c r="I38" s="171"/>
      <c r="J38" s="171">
        <f>2000000-1000000</f>
        <v>1000000</v>
      </c>
      <c r="K38" s="171">
        <f t="shared" si="17"/>
        <v>2000000</v>
      </c>
      <c r="L38" s="171">
        <f t="shared" si="18"/>
        <v>1000000</v>
      </c>
      <c r="M38" s="171"/>
      <c r="N38" s="171">
        <f t="shared" si="19"/>
        <v>1000000</v>
      </c>
      <c r="O38" s="171">
        <f t="shared" si="26"/>
        <v>0</v>
      </c>
      <c r="P38" s="171">
        <v>1000000</v>
      </c>
      <c r="Q38" s="171"/>
      <c r="R38" s="573"/>
      <c r="S38" s="171"/>
      <c r="T38" s="171"/>
      <c r="U38" s="171"/>
      <c r="V38" s="171"/>
      <c r="W38" s="171">
        <v>1000000</v>
      </c>
      <c r="X38" s="171"/>
      <c r="Y38" s="171">
        <f t="shared" si="20"/>
        <v>1000000</v>
      </c>
      <c r="Z38" s="171"/>
      <c r="AA38" s="171">
        <f t="shared" si="21"/>
        <v>1000000</v>
      </c>
      <c r="AB38" s="171">
        <f t="shared" si="22"/>
        <v>0</v>
      </c>
      <c r="AC38" s="171">
        <f t="shared" si="23"/>
        <v>0</v>
      </c>
      <c r="AD38" s="171">
        <v>1000000</v>
      </c>
      <c r="AE38" s="171"/>
      <c r="AF38" s="171">
        <f t="shared" si="24"/>
        <v>0</v>
      </c>
      <c r="AG38" s="171"/>
      <c r="AH38" s="171"/>
      <c r="AI38" s="171">
        <f t="shared" si="25"/>
        <v>0</v>
      </c>
      <c r="AJ38" s="171"/>
      <c r="AK38" s="574"/>
      <c r="AL38" s="249"/>
      <c r="AM38" s="90"/>
      <c r="AP38" s="90"/>
      <c r="AQ38" s="90"/>
      <c r="AR38" s="90"/>
      <c r="AS38" s="228"/>
      <c r="AT38" s="228"/>
      <c r="AU38" s="228"/>
      <c r="AV38" s="228"/>
      <c r="AW38" s="228"/>
      <c r="AX38" s="228"/>
      <c r="AY38" s="228"/>
      <c r="AZ38" s="228"/>
      <c r="BA38" s="228"/>
    </row>
    <row r="39" spans="1:53" s="101" customFormat="1">
      <c r="A39" s="591" t="s">
        <v>1039</v>
      </c>
      <c r="B39" s="561" t="s">
        <v>1040</v>
      </c>
      <c r="C39" s="95">
        <f t="shared" si="27"/>
        <v>26</v>
      </c>
      <c r="D39" s="600">
        <v>2134</v>
      </c>
      <c r="E39" s="237" t="s">
        <v>1059</v>
      </c>
      <c r="F39" s="171">
        <v>494000</v>
      </c>
      <c r="G39" s="171"/>
      <c r="H39" s="171">
        <f t="shared" si="16"/>
        <v>494000</v>
      </c>
      <c r="I39" s="171"/>
      <c r="J39" s="171">
        <v>494000</v>
      </c>
      <c r="K39" s="171">
        <f t="shared" si="17"/>
        <v>0</v>
      </c>
      <c r="L39" s="171">
        <f t="shared" si="18"/>
        <v>494000</v>
      </c>
      <c r="M39" s="171"/>
      <c r="N39" s="171">
        <f t="shared" si="19"/>
        <v>494000</v>
      </c>
      <c r="O39" s="171">
        <f t="shared" si="26"/>
        <v>0</v>
      </c>
      <c r="P39" s="171">
        <v>494000</v>
      </c>
      <c r="Q39" s="171"/>
      <c r="R39" s="573"/>
      <c r="S39" s="171"/>
      <c r="T39" s="171"/>
      <c r="U39" s="171"/>
      <c r="V39" s="171"/>
      <c r="W39" s="171">
        <v>494000</v>
      </c>
      <c r="X39" s="171"/>
      <c r="Y39" s="171">
        <f t="shared" si="20"/>
        <v>494000</v>
      </c>
      <c r="Z39" s="171"/>
      <c r="AA39" s="171">
        <f t="shared" si="21"/>
        <v>494000</v>
      </c>
      <c r="AB39" s="171">
        <f t="shared" si="22"/>
        <v>0</v>
      </c>
      <c r="AC39" s="171">
        <f t="shared" si="23"/>
        <v>0</v>
      </c>
      <c r="AD39" s="171">
        <v>494000</v>
      </c>
      <c r="AE39" s="171"/>
      <c r="AF39" s="171">
        <f t="shared" si="24"/>
        <v>0</v>
      </c>
      <c r="AG39" s="171"/>
      <c r="AH39" s="171"/>
      <c r="AI39" s="171">
        <f t="shared" si="25"/>
        <v>0</v>
      </c>
      <c r="AJ39" s="171"/>
      <c r="AK39" s="574"/>
      <c r="AL39" s="249"/>
      <c r="AM39" s="90"/>
      <c r="AP39" s="90"/>
      <c r="AQ39" s="90"/>
      <c r="AR39" s="90"/>
      <c r="AS39" s="228"/>
      <c r="AT39" s="228"/>
      <c r="AU39" s="228"/>
      <c r="AV39" s="228"/>
      <c r="AW39" s="228"/>
      <c r="AX39" s="228"/>
      <c r="AY39" s="228"/>
      <c r="AZ39" s="228"/>
      <c r="BA39" s="228"/>
    </row>
    <row r="40" spans="1:53" s="101" customFormat="1">
      <c r="A40" s="591" t="s">
        <v>1039</v>
      </c>
      <c r="B40" s="561" t="s">
        <v>1040</v>
      </c>
      <c r="C40" s="95">
        <f t="shared" si="27"/>
        <v>27</v>
      </c>
      <c r="D40" s="600">
        <v>2139</v>
      </c>
      <c r="E40" s="601" t="s">
        <v>1060</v>
      </c>
      <c r="F40" s="171">
        <v>2948000</v>
      </c>
      <c r="G40" s="171"/>
      <c r="H40" s="171">
        <f>F40-G40</f>
        <v>2948000</v>
      </c>
      <c r="I40" s="171"/>
      <c r="J40" s="171">
        <v>2948000</v>
      </c>
      <c r="K40" s="171">
        <f>F40-I40-J40</f>
        <v>0</v>
      </c>
      <c r="L40" s="171">
        <f>J40</f>
        <v>2948000</v>
      </c>
      <c r="M40" s="171"/>
      <c r="N40" s="171">
        <f>L40-M40</f>
        <v>2948000</v>
      </c>
      <c r="O40" s="171">
        <f>N40-P40-Q40</f>
        <v>2448000</v>
      </c>
      <c r="P40" s="171">
        <v>500000</v>
      </c>
      <c r="Q40" s="171"/>
      <c r="R40" s="573"/>
      <c r="S40" s="171"/>
      <c r="T40" s="171"/>
      <c r="U40" s="171"/>
      <c r="V40" s="171"/>
      <c r="W40" s="171"/>
      <c r="X40" s="171"/>
      <c r="Y40" s="171">
        <f t="shared" si="20"/>
        <v>0</v>
      </c>
      <c r="Z40" s="171"/>
      <c r="AA40" s="171">
        <f t="shared" si="21"/>
        <v>0</v>
      </c>
      <c r="AB40" s="171">
        <f t="shared" si="22"/>
        <v>2948000</v>
      </c>
      <c r="AC40" s="171">
        <f t="shared" si="23"/>
        <v>0</v>
      </c>
      <c r="AD40" s="171"/>
      <c r="AE40" s="171"/>
      <c r="AF40" s="171">
        <f t="shared" si="24"/>
        <v>0</v>
      </c>
      <c r="AG40" s="171"/>
      <c r="AH40" s="171"/>
      <c r="AI40" s="171">
        <f t="shared" si="25"/>
        <v>2448000</v>
      </c>
      <c r="AJ40" s="171">
        <v>500000</v>
      </c>
      <c r="AK40" s="574"/>
      <c r="AL40" s="249"/>
      <c r="AM40" s="90"/>
      <c r="AP40" s="90"/>
      <c r="AQ40" s="90"/>
      <c r="AR40" s="90"/>
      <c r="AS40" s="228"/>
      <c r="AT40" s="228"/>
      <c r="AU40" s="228"/>
      <c r="AV40" s="228"/>
      <c r="AW40" s="228"/>
      <c r="AX40" s="228"/>
      <c r="AY40" s="228"/>
      <c r="AZ40" s="228"/>
      <c r="BA40" s="228"/>
    </row>
    <row r="41" spans="1:53" s="101" customFormat="1">
      <c r="A41" s="591" t="s">
        <v>1061</v>
      </c>
      <c r="B41" s="561" t="s">
        <v>1062</v>
      </c>
      <c r="C41" s="95">
        <f t="shared" si="27"/>
        <v>28</v>
      </c>
      <c r="D41" s="600">
        <v>1970</v>
      </c>
      <c r="E41" s="237" t="s">
        <v>857</v>
      </c>
      <c r="F41" s="171">
        <f>13200000+8300000</f>
        <v>21500000</v>
      </c>
      <c r="G41" s="171">
        <v>21500000</v>
      </c>
      <c r="H41" s="171">
        <f>F41-G41</f>
        <v>0</v>
      </c>
      <c r="I41" s="171">
        <f>6818874+381126</f>
        <v>7200000</v>
      </c>
      <c r="J41" s="171">
        <f>6000000+6000000+1500000</f>
        <v>13500000</v>
      </c>
      <c r="K41" s="171">
        <f>F41-I41-J41</f>
        <v>800000</v>
      </c>
      <c r="L41" s="171">
        <f>J41</f>
        <v>13500000</v>
      </c>
      <c r="M41" s="171">
        <v>12000000</v>
      </c>
      <c r="N41" s="171">
        <f>L41-M41</f>
        <v>1500000</v>
      </c>
      <c r="O41" s="171">
        <f>N41-P41-Q41</f>
        <v>1000000</v>
      </c>
      <c r="P41" s="171">
        <v>500000</v>
      </c>
      <c r="Q41" s="171"/>
      <c r="R41" s="573"/>
      <c r="S41" s="171"/>
      <c r="T41" s="171"/>
      <c r="U41" s="171"/>
      <c r="V41" s="171"/>
      <c r="W41" s="171"/>
      <c r="X41" s="171">
        <v>1500000</v>
      </c>
      <c r="Y41" s="171">
        <f t="shared" ref="Y41" si="28">SUM(S41:X41)</f>
        <v>1500000</v>
      </c>
      <c r="Z41" s="171"/>
      <c r="AA41" s="171">
        <f t="shared" ref="AA41" si="29">Y41+Z41</f>
        <v>1500000</v>
      </c>
      <c r="AB41" s="171">
        <f t="shared" ref="AB41" si="30">N41-AA41</f>
        <v>0</v>
      </c>
      <c r="AC41" s="171">
        <f t="shared" ref="AC41" si="31">AA41-AD41-AE41</f>
        <v>1000000</v>
      </c>
      <c r="AD41" s="171">
        <v>500000</v>
      </c>
      <c r="AE41" s="171"/>
      <c r="AF41" s="171">
        <f t="shared" ref="AF41" si="32">Z41-AG41-AH41</f>
        <v>0</v>
      </c>
      <c r="AG41" s="171"/>
      <c r="AH41" s="171"/>
      <c r="AI41" s="171">
        <f t="shared" ref="AI41" si="33">AB41-AJ41-AK41</f>
        <v>0</v>
      </c>
      <c r="AJ41" s="171"/>
      <c r="AK41" s="574"/>
      <c r="AL41" s="249"/>
      <c r="AM41" s="90"/>
      <c r="AP41" s="90"/>
      <c r="AQ41" s="90"/>
      <c r="AR41" s="90"/>
      <c r="AS41" s="228"/>
      <c r="AT41" s="228"/>
      <c r="AU41" s="228"/>
      <c r="AV41" s="228"/>
      <c r="AW41" s="228"/>
      <c r="AX41" s="228"/>
      <c r="AY41" s="228"/>
      <c r="AZ41" s="228"/>
      <c r="BA41" s="228"/>
    </row>
    <row r="42" spans="1:53" s="101" customFormat="1">
      <c r="A42" s="591" t="s">
        <v>1061</v>
      </c>
      <c r="B42" s="561" t="s">
        <v>1062</v>
      </c>
      <c r="C42" s="95">
        <f t="shared" si="27"/>
        <v>29</v>
      </c>
      <c r="D42" s="600">
        <v>2140</v>
      </c>
      <c r="E42" s="237" t="s">
        <v>1305</v>
      </c>
      <c r="F42" s="171">
        <v>360000</v>
      </c>
      <c r="G42" s="171"/>
      <c r="H42" s="171">
        <f>F42-G42</f>
        <v>360000</v>
      </c>
      <c r="I42" s="171"/>
      <c r="J42" s="171">
        <v>360000</v>
      </c>
      <c r="K42" s="171">
        <f>F42-I42-J42</f>
        <v>0</v>
      </c>
      <c r="L42" s="171">
        <f>J42</f>
        <v>360000</v>
      </c>
      <c r="M42" s="171"/>
      <c r="N42" s="171">
        <f>L42-M42</f>
        <v>360000</v>
      </c>
      <c r="O42" s="171">
        <f>N42-P42-Q42</f>
        <v>0</v>
      </c>
      <c r="P42" s="171"/>
      <c r="Q42" s="171">
        <v>360000</v>
      </c>
      <c r="R42" s="573"/>
      <c r="S42" s="171"/>
      <c r="T42" s="171"/>
      <c r="U42" s="171"/>
      <c r="V42" s="171"/>
      <c r="W42" s="171"/>
      <c r="X42" s="171"/>
      <c r="Y42" s="171">
        <f t="shared" si="20"/>
        <v>0</v>
      </c>
      <c r="Z42" s="171">
        <v>360000</v>
      </c>
      <c r="AA42" s="171">
        <f t="shared" si="21"/>
        <v>360000</v>
      </c>
      <c r="AB42" s="171">
        <f t="shared" si="22"/>
        <v>0</v>
      </c>
      <c r="AC42" s="171">
        <f t="shared" si="23"/>
        <v>0</v>
      </c>
      <c r="AD42" s="171"/>
      <c r="AE42" s="171">
        <v>360000</v>
      </c>
      <c r="AF42" s="171">
        <f t="shared" si="24"/>
        <v>0</v>
      </c>
      <c r="AG42" s="171"/>
      <c r="AH42" s="171">
        <v>360000</v>
      </c>
      <c r="AI42" s="171">
        <f t="shared" si="25"/>
        <v>0</v>
      </c>
      <c r="AJ42" s="171"/>
      <c r="AK42" s="574"/>
      <c r="AL42" s="249"/>
      <c r="AM42" s="90"/>
      <c r="AP42" s="90"/>
      <c r="AQ42" s="90"/>
      <c r="AR42" s="90"/>
      <c r="AS42" s="228"/>
      <c r="AT42" s="228"/>
      <c r="AU42" s="228"/>
      <c r="AV42" s="228"/>
      <c r="AW42" s="228"/>
      <c r="AX42" s="228"/>
      <c r="AY42" s="228"/>
      <c r="AZ42" s="228"/>
      <c r="BA42" s="228"/>
    </row>
    <row r="43" spans="1:53" s="101" customFormat="1">
      <c r="A43" s="594"/>
      <c r="B43" s="595"/>
      <c r="C43" s="596"/>
      <c r="D43" s="390"/>
      <c r="E43" s="236" t="s">
        <v>1063</v>
      </c>
      <c r="F43" s="174">
        <f t="shared" ref="F43:Q43" si="34">SUM(F25:F42)</f>
        <v>158166000</v>
      </c>
      <c r="G43" s="174">
        <f t="shared" si="34"/>
        <v>132190000</v>
      </c>
      <c r="H43" s="174">
        <f t="shared" si="34"/>
        <v>25976000</v>
      </c>
      <c r="I43" s="174">
        <f t="shared" si="34"/>
        <v>78370000</v>
      </c>
      <c r="J43" s="174">
        <f t="shared" si="34"/>
        <v>54746000</v>
      </c>
      <c r="K43" s="174">
        <f t="shared" si="34"/>
        <v>25050000</v>
      </c>
      <c r="L43" s="174">
        <f t="shared" si="34"/>
        <v>54746000</v>
      </c>
      <c r="M43" s="174">
        <f t="shared" si="34"/>
        <v>36550000</v>
      </c>
      <c r="N43" s="174">
        <f t="shared" si="34"/>
        <v>18196000</v>
      </c>
      <c r="O43" s="174">
        <f t="shared" si="34"/>
        <v>6279812</v>
      </c>
      <c r="P43" s="174">
        <f t="shared" si="34"/>
        <v>9482228</v>
      </c>
      <c r="Q43" s="174">
        <f t="shared" si="34"/>
        <v>2433960</v>
      </c>
      <c r="R43" s="597"/>
      <c r="S43" s="174">
        <f t="shared" ref="S43:AK43" si="35">SUM(S25:S42)</f>
        <v>0</v>
      </c>
      <c r="T43" s="174">
        <f t="shared" si="35"/>
        <v>0</v>
      </c>
      <c r="U43" s="174">
        <f t="shared" si="35"/>
        <v>0</v>
      </c>
      <c r="V43" s="174">
        <f t="shared" si="35"/>
        <v>12694000</v>
      </c>
      <c r="W43" s="174">
        <f t="shared" si="35"/>
        <v>2194000</v>
      </c>
      <c r="X43" s="174">
        <f t="shared" si="35"/>
        <v>2000000</v>
      </c>
      <c r="Y43" s="174">
        <f t="shared" si="35"/>
        <v>16888000</v>
      </c>
      <c r="Z43" s="174">
        <f t="shared" si="35"/>
        <v>360000</v>
      </c>
      <c r="AA43" s="174">
        <f t="shared" si="35"/>
        <v>17248000</v>
      </c>
      <c r="AB43" s="174">
        <f t="shared" si="35"/>
        <v>948000</v>
      </c>
      <c r="AC43" s="174">
        <f t="shared" si="35"/>
        <v>6396040</v>
      </c>
      <c r="AD43" s="174">
        <f t="shared" si="35"/>
        <v>8418000</v>
      </c>
      <c r="AE43" s="174">
        <f t="shared" si="35"/>
        <v>2433960</v>
      </c>
      <c r="AF43" s="174">
        <f t="shared" si="35"/>
        <v>0</v>
      </c>
      <c r="AG43" s="174">
        <f t="shared" si="35"/>
        <v>0</v>
      </c>
      <c r="AH43" s="174">
        <f t="shared" si="35"/>
        <v>360000</v>
      </c>
      <c r="AI43" s="174">
        <f t="shared" si="35"/>
        <v>2448000</v>
      </c>
      <c r="AJ43" s="174">
        <f t="shared" si="35"/>
        <v>-1500000</v>
      </c>
      <c r="AK43" s="598">
        <f t="shared" si="35"/>
        <v>0</v>
      </c>
      <c r="AL43" s="249"/>
      <c r="AM43" s="90"/>
      <c r="AP43" s="90"/>
      <c r="AQ43" s="90"/>
      <c r="AR43" s="90"/>
      <c r="AS43" s="228"/>
      <c r="AT43" s="228"/>
      <c r="AU43" s="228"/>
      <c r="AV43" s="228"/>
      <c r="AW43" s="228"/>
      <c r="AX43" s="228"/>
      <c r="AY43" s="228"/>
      <c r="AZ43" s="228"/>
      <c r="BA43" s="228"/>
    </row>
    <row r="44" spans="1:53" s="101" customFormat="1">
      <c r="A44" s="594"/>
      <c r="B44" s="595"/>
      <c r="C44" s="596"/>
      <c r="D44" s="390"/>
      <c r="E44" s="236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597"/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598"/>
      <c r="AL44" s="249"/>
      <c r="AM44" s="90"/>
      <c r="AP44" s="90"/>
      <c r="AQ44" s="90"/>
      <c r="AR44" s="90"/>
      <c r="AS44" s="228"/>
      <c r="AT44" s="228"/>
      <c r="AU44" s="228"/>
      <c r="AV44" s="228"/>
      <c r="AW44" s="228"/>
      <c r="AX44" s="228"/>
      <c r="AY44" s="228"/>
      <c r="AZ44" s="228"/>
      <c r="BA44" s="228"/>
    </row>
    <row r="45" spans="1:53" s="101" customFormat="1">
      <c r="A45" s="565"/>
      <c r="B45" s="566"/>
      <c r="C45" s="95"/>
      <c r="D45" s="567"/>
      <c r="E45" s="236" t="s">
        <v>1064</v>
      </c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69"/>
      <c r="R45" s="568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569"/>
      <c r="AL45" s="249"/>
      <c r="AM45" s="90"/>
      <c r="AP45" s="90"/>
      <c r="AQ45" s="90"/>
      <c r="AR45" s="90"/>
      <c r="AS45" s="228"/>
      <c r="AT45" s="228"/>
      <c r="AU45" s="228"/>
      <c r="AV45" s="228"/>
      <c r="AW45" s="228"/>
      <c r="AX45" s="228"/>
      <c r="AY45" s="228"/>
      <c r="AZ45" s="228"/>
      <c r="BA45" s="228"/>
    </row>
    <row r="46" spans="1:53" s="380" customFormat="1" ht="31.2">
      <c r="A46" s="599" t="s">
        <v>1028</v>
      </c>
      <c r="B46" s="561" t="s">
        <v>1029</v>
      </c>
      <c r="C46" s="571">
        <f>C42+1</f>
        <v>30</v>
      </c>
      <c r="D46" s="170">
        <v>1858</v>
      </c>
      <c r="E46" s="237" t="s">
        <v>1065</v>
      </c>
      <c r="F46" s="171">
        <v>48000</v>
      </c>
      <c r="G46" s="171">
        <v>35000</v>
      </c>
      <c r="H46" s="171">
        <f>F46-G46</f>
        <v>13000</v>
      </c>
      <c r="I46" s="171">
        <v>75000</v>
      </c>
      <c r="J46" s="171">
        <v>-27000</v>
      </c>
      <c r="K46" s="171">
        <f>F46-I46-J46</f>
        <v>0</v>
      </c>
      <c r="L46" s="171">
        <f>J46</f>
        <v>-27000</v>
      </c>
      <c r="M46" s="171">
        <v>-40000</v>
      </c>
      <c r="N46" s="171">
        <f>L46-M46</f>
        <v>13000</v>
      </c>
      <c r="O46" s="171">
        <f>N46-P46-Q46</f>
        <v>0</v>
      </c>
      <c r="P46" s="171">
        <v>13000</v>
      </c>
      <c r="Q46" s="171"/>
      <c r="R46" s="573"/>
      <c r="S46" s="171"/>
      <c r="T46" s="171"/>
      <c r="U46" s="171"/>
      <c r="V46" s="171"/>
      <c r="W46" s="171"/>
      <c r="X46" s="171"/>
      <c r="Y46" s="171">
        <f>SUM(S46:X46)</f>
        <v>0</v>
      </c>
      <c r="Z46" s="171"/>
      <c r="AA46" s="171">
        <f>Y46+Z46</f>
        <v>0</v>
      </c>
      <c r="AB46" s="171">
        <f>N46-AA46</f>
        <v>13000</v>
      </c>
      <c r="AC46" s="171">
        <f>AA46-AD46-AE46</f>
        <v>0</v>
      </c>
      <c r="AD46" s="171"/>
      <c r="AE46" s="171"/>
      <c r="AF46" s="171">
        <f>Z46-AG46-AH46</f>
        <v>0</v>
      </c>
      <c r="AG46" s="171"/>
      <c r="AH46" s="171"/>
      <c r="AI46" s="171">
        <f>AB46-AJ46-AK46</f>
        <v>0</v>
      </c>
      <c r="AJ46" s="171">
        <v>13000</v>
      </c>
      <c r="AK46" s="574"/>
      <c r="AL46" s="592"/>
      <c r="AM46" s="175"/>
      <c r="AP46" s="175"/>
      <c r="AQ46" s="175"/>
      <c r="AR46" s="175"/>
      <c r="AS46" s="593"/>
      <c r="AT46" s="593"/>
      <c r="AU46" s="593"/>
      <c r="AV46" s="593"/>
      <c r="AW46" s="593"/>
      <c r="AX46" s="593"/>
      <c r="AY46" s="593"/>
      <c r="AZ46" s="593"/>
      <c r="BA46" s="593"/>
    </row>
    <row r="47" spans="1:53" s="101" customFormat="1">
      <c r="A47" s="570" t="s">
        <v>1028</v>
      </c>
      <c r="B47" s="561" t="s">
        <v>1029</v>
      </c>
      <c r="C47" s="95">
        <f>C46+1</f>
        <v>31</v>
      </c>
      <c r="D47" s="600">
        <v>1621</v>
      </c>
      <c r="E47" s="237" t="s">
        <v>66</v>
      </c>
      <c r="F47" s="171">
        <v>2800000</v>
      </c>
      <c r="G47" s="171">
        <v>2300000</v>
      </c>
      <c r="H47" s="171">
        <f>F47-G47</f>
        <v>500000</v>
      </c>
      <c r="I47" s="171">
        <f>1799980+20</f>
        <v>1800000</v>
      </c>
      <c r="J47" s="171">
        <v>1000000</v>
      </c>
      <c r="K47" s="171">
        <f>F47-I47-J47</f>
        <v>0</v>
      </c>
      <c r="L47" s="171">
        <f>J47</f>
        <v>1000000</v>
      </c>
      <c r="M47" s="171">
        <v>500000</v>
      </c>
      <c r="N47" s="171">
        <f>L47-M47</f>
        <v>500000</v>
      </c>
      <c r="O47" s="171">
        <f>N47-P47-Q47</f>
        <v>0</v>
      </c>
      <c r="P47" s="171">
        <v>500000</v>
      </c>
      <c r="Q47" s="171"/>
      <c r="R47" s="573"/>
      <c r="S47" s="171"/>
      <c r="T47" s="171"/>
      <c r="U47" s="171"/>
      <c r="V47" s="171"/>
      <c r="W47" s="171"/>
      <c r="X47" s="171">
        <v>500000</v>
      </c>
      <c r="Y47" s="171">
        <f>SUM(S47:X47)</f>
        <v>500000</v>
      </c>
      <c r="Z47" s="171"/>
      <c r="AA47" s="171">
        <f>Y47+Z47</f>
        <v>500000</v>
      </c>
      <c r="AB47" s="171">
        <f>N47-AA47</f>
        <v>0</v>
      </c>
      <c r="AC47" s="171">
        <f>AA47-AD47-AE47</f>
        <v>0</v>
      </c>
      <c r="AD47" s="171">
        <v>500000</v>
      </c>
      <c r="AE47" s="171"/>
      <c r="AF47" s="171">
        <f>Z47-AG47-AH47</f>
        <v>0</v>
      </c>
      <c r="AG47" s="171"/>
      <c r="AH47" s="171"/>
      <c r="AI47" s="171">
        <f>AB47-AJ47-AK47</f>
        <v>0</v>
      </c>
      <c r="AJ47" s="171"/>
      <c r="AK47" s="574"/>
      <c r="AL47" s="249"/>
      <c r="AM47" s="90"/>
      <c r="AP47" s="90"/>
      <c r="AQ47" s="90"/>
      <c r="AR47" s="90"/>
      <c r="AS47" s="228"/>
      <c r="AT47" s="228"/>
      <c r="AU47" s="228"/>
      <c r="AV47" s="228"/>
      <c r="AW47" s="228"/>
      <c r="AX47" s="228"/>
      <c r="AY47" s="228"/>
      <c r="AZ47" s="228"/>
      <c r="BA47" s="228"/>
    </row>
    <row r="48" spans="1:53" s="101" customFormat="1" ht="31.2">
      <c r="A48" s="591" t="s">
        <v>1061</v>
      </c>
      <c r="B48" s="561" t="s">
        <v>1062</v>
      </c>
      <c r="C48" s="95">
        <f>C47+1</f>
        <v>32</v>
      </c>
      <c r="D48" s="600">
        <v>2005</v>
      </c>
      <c r="E48" s="237" t="s">
        <v>1066</v>
      </c>
      <c r="F48" s="171">
        <v>420000</v>
      </c>
      <c r="G48" s="171">
        <v>300000</v>
      </c>
      <c r="H48" s="171">
        <f>F48-G48</f>
        <v>120000</v>
      </c>
      <c r="I48" s="171">
        <f>182431+17569</f>
        <v>200000</v>
      </c>
      <c r="J48" s="171">
        <v>220000</v>
      </c>
      <c r="K48" s="171">
        <f>F48-I48-J48</f>
        <v>0</v>
      </c>
      <c r="L48" s="171">
        <f>J48</f>
        <v>220000</v>
      </c>
      <c r="M48" s="171">
        <v>100000</v>
      </c>
      <c r="N48" s="171">
        <f>L48-M48</f>
        <v>120000</v>
      </c>
      <c r="O48" s="171">
        <f>N48-P48-Q48</f>
        <v>0</v>
      </c>
      <c r="P48" s="171">
        <v>120000</v>
      </c>
      <c r="Q48" s="171"/>
      <c r="R48" s="573"/>
      <c r="S48" s="171"/>
      <c r="T48" s="171"/>
      <c r="U48" s="171"/>
      <c r="V48" s="171"/>
      <c r="W48" s="171"/>
      <c r="X48" s="171">
        <v>120000</v>
      </c>
      <c r="Y48" s="171">
        <f>SUM(S48:X48)</f>
        <v>120000</v>
      </c>
      <c r="Z48" s="171"/>
      <c r="AA48" s="171">
        <f>Y48+Z48</f>
        <v>120000</v>
      </c>
      <c r="AB48" s="171">
        <f>N48-AA48</f>
        <v>0</v>
      </c>
      <c r="AC48" s="171">
        <f>AA48-AD48-AE48</f>
        <v>0</v>
      </c>
      <c r="AD48" s="171">
        <v>120000</v>
      </c>
      <c r="AE48" s="171"/>
      <c r="AF48" s="171">
        <f>Z48-AG48-AH48</f>
        <v>0</v>
      </c>
      <c r="AG48" s="171"/>
      <c r="AH48" s="171"/>
      <c r="AI48" s="171">
        <f>AB48-AJ48-AK48</f>
        <v>0</v>
      </c>
      <c r="AJ48" s="171"/>
      <c r="AK48" s="574"/>
      <c r="AL48" s="249"/>
      <c r="AM48" s="90"/>
      <c r="AP48" s="90"/>
      <c r="AQ48" s="90"/>
      <c r="AR48" s="90"/>
      <c r="AS48" s="228"/>
      <c r="AT48" s="228"/>
      <c r="AU48" s="228"/>
      <c r="AV48" s="228"/>
      <c r="AW48" s="228"/>
      <c r="AX48" s="228"/>
      <c r="AY48" s="228"/>
      <c r="AZ48" s="228"/>
      <c r="BA48" s="228"/>
    </row>
    <row r="49" spans="1:53" s="101" customFormat="1">
      <c r="A49" s="594"/>
      <c r="B49" s="595"/>
      <c r="C49" s="596"/>
      <c r="D49" s="390"/>
      <c r="E49" s="236" t="s">
        <v>1067</v>
      </c>
      <c r="F49" s="174">
        <f t="shared" ref="F49:AK49" si="36">SUM(F46:F48)</f>
        <v>3268000</v>
      </c>
      <c r="G49" s="174">
        <f t="shared" si="36"/>
        <v>2635000</v>
      </c>
      <c r="H49" s="174">
        <f t="shared" si="36"/>
        <v>633000</v>
      </c>
      <c r="I49" s="174">
        <f t="shared" si="36"/>
        <v>2075000</v>
      </c>
      <c r="J49" s="174">
        <f t="shared" si="36"/>
        <v>1193000</v>
      </c>
      <c r="K49" s="174">
        <f t="shared" si="36"/>
        <v>0</v>
      </c>
      <c r="L49" s="174">
        <f t="shared" si="36"/>
        <v>1193000</v>
      </c>
      <c r="M49" s="174">
        <f t="shared" si="36"/>
        <v>560000</v>
      </c>
      <c r="N49" s="174">
        <f t="shared" si="36"/>
        <v>633000</v>
      </c>
      <c r="O49" s="174">
        <f t="shared" si="36"/>
        <v>0</v>
      </c>
      <c r="P49" s="174">
        <f t="shared" si="36"/>
        <v>633000</v>
      </c>
      <c r="Q49" s="174">
        <f t="shared" si="36"/>
        <v>0</v>
      </c>
      <c r="R49" s="597"/>
      <c r="S49" s="174">
        <f t="shared" si="36"/>
        <v>0</v>
      </c>
      <c r="T49" s="174">
        <f t="shared" si="36"/>
        <v>0</v>
      </c>
      <c r="U49" s="174">
        <f t="shared" si="36"/>
        <v>0</v>
      </c>
      <c r="V49" s="174">
        <f t="shared" si="36"/>
        <v>0</v>
      </c>
      <c r="W49" s="174">
        <f t="shared" si="36"/>
        <v>0</v>
      </c>
      <c r="X49" s="174">
        <f t="shared" si="36"/>
        <v>620000</v>
      </c>
      <c r="Y49" s="174">
        <f t="shared" si="36"/>
        <v>620000</v>
      </c>
      <c r="Z49" s="174">
        <f t="shared" si="36"/>
        <v>0</v>
      </c>
      <c r="AA49" s="174">
        <f t="shared" si="36"/>
        <v>620000</v>
      </c>
      <c r="AB49" s="174">
        <f t="shared" si="36"/>
        <v>13000</v>
      </c>
      <c r="AC49" s="174">
        <f t="shared" si="36"/>
        <v>0</v>
      </c>
      <c r="AD49" s="174">
        <f t="shared" si="36"/>
        <v>620000</v>
      </c>
      <c r="AE49" s="174">
        <f t="shared" si="36"/>
        <v>0</v>
      </c>
      <c r="AF49" s="174">
        <f t="shared" si="36"/>
        <v>0</v>
      </c>
      <c r="AG49" s="174">
        <f t="shared" si="36"/>
        <v>0</v>
      </c>
      <c r="AH49" s="174">
        <f t="shared" si="36"/>
        <v>0</v>
      </c>
      <c r="AI49" s="174">
        <f t="shared" si="36"/>
        <v>0</v>
      </c>
      <c r="AJ49" s="174">
        <f t="shared" si="36"/>
        <v>13000</v>
      </c>
      <c r="AK49" s="598">
        <f t="shared" si="36"/>
        <v>0</v>
      </c>
      <c r="AL49" s="249"/>
      <c r="AM49" s="90"/>
      <c r="AP49" s="90"/>
      <c r="AQ49" s="90"/>
      <c r="AR49" s="90"/>
      <c r="AS49" s="228"/>
      <c r="AT49" s="228"/>
      <c r="AU49" s="228"/>
      <c r="AV49" s="228"/>
      <c r="AW49" s="228"/>
      <c r="AX49" s="228"/>
      <c r="AY49" s="228"/>
      <c r="AZ49" s="228"/>
      <c r="BA49" s="228"/>
    </row>
    <row r="50" spans="1:53" s="101" customFormat="1">
      <c r="A50" s="594"/>
      <c r="B50" s="595"/>
      <c r="C50" s="596"/>
      <c r="D50" s="390"/>
      <c r="E50" s="236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597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598"/>
      <c r="AL50" s="249"/>
      <c r="AM50" s="90"/>
      <c r="AP50" s="90"/>
      <c r="AQ50" s="90"/>
      <c r="AR50" s="90"/>
      <c r="AS50" s="228"/>
      <c r="AT50" s="228"/>
      <c r="AU50" s="228"/>
      <c r="AV50" s="228"/>
      <c r="AW50" s="228"/>
      <c r="AX50" s="228"/>
      <c r="AY50" s="228"/>
      <c r="AZ50" s="228"/>
      <c r="BA50" s="228"/>
    </row>
    <row r="51" spans="1:53" s="101" customFormat="1">
      <c r="A51" s="565"/>
      <c r="B51" s="566"/>
      <c r="C51" s="95"/>
      <c r="D51" s="567"/>
      <c r="E51" s="236" t="s">
        <v>378</v>
      </c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69"/>
      <c r="R51" s="568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569"/>
      <c r="AL51" s="249"/>
      <c r="AM51" s="90"/>
      <c r="AP51" s="90"/>
      <c r="AQ51" s="90"/>
      <c r="AR51" s="90"/>
      <c r="AS51" s="228"/>
      <c r="AT51" s="228"/>
      <c r="AU51" s="228"/>
      <c r="AV51" s="228"/>
      <c r="AW51" s="228"/>
      <c r="AX51" s="228"/>
      <c r="AY51" s="228"/>
      <c r="AZ51" s="228"/>
      <c r="BA51" s="228"/>
    </row>
    <row r="52" spans="1:53" s="380" customFormat="1" ht="31.2">
      <c r="A52" s="599" t="s">
        <v>1028</v>
      </c>
      <c r="B52" s="561" t="s">
        <v>1029</v>
      </c>
      <c r="C52" s="571">
        <f>C48+1</f>
        <v>33</v>
      </c>
      <c r="D52" s="170">
        <v>2034</v>
      </c>
      <c r="E52" s="237" t="s">
        <v>1068</v>
      </c>
      <c r="F52" s="171">
        <v>2000000</v>
      </c>
      <c r="G52" s="171">
        <v>2000000</v>
      </c>
      <c r="H52" s="171">
        <f>F52-G52</f>
        <v>0</v>
      </c>
      <c r="I52" s="171">
        <f>1115049+187851</f>
        <v>1302900</v>
      </c>
      <c r="J52" s="171">
        <v>697100</v>
      </c>
      <c r="K52" s="171">
        <f>F52-I52-J52</f>
        <v>0</v>
      </c>
      <c r="L52" s="171">
        <f>J52</f>
        <v>697100</v>
      </c>
      <c r="M52" s="171">
        <v>697100</v>
      </c>
      <c r="N52" s="171">
        <f>L52-M52</f>
        <v>0</v>
      </c>
      <c r="O52" s="171">
        <f>N52-P52-Q52</f>
        <v>0</v>
      </c>
      <c r="P52" s="171">
        <v>-1576</v>
      </c>
      <c r="Q52" s="171">
        <v>1576</v>
      </c>
      <c r="R52" s="573"/>
      <c r="S52" s="171"/>
      <c r="T52" s="171"/>
      <c r="U52" s="171"/>
      <c r="V52" s="238"/>
      <c r="W52" s="171"/>
      <c r="X52" s="171"/>
      <c r="Y52" s="171">
        <f>SUM(S52:X52)</f>
        <v>0</v>
      </c>
      <c r="Z52" s="171"/>
      <c r="AA52" s="171">
        <f>Y52+Z52</f>
        <v>0</v>
      </c>
      <c r="AB52" s="171">
        <f>N52-AA52</f>
        <v>0</v>
      </c>
      <c r="AC52" s="171">
        <f>AA52-AD52-AE52</f>
        <v>0</v>
      </c>
      <c r="AD52" s="171">
        <v>-1576</v>
      </c>
      <c r="AE52" s="171">
        <v>1576</v>
      </c>
      <c r="AF52" s="171">
        <f>Z52-AG52-AH52</f>
        <v>0</v>
      </c>
      <c r="AG52" s="171"/>
      <c r="AH52" s="171"/>
      <c r="AI52" s="171">
        <f>AB52-AJ52-AK52</f>
        <v>0</v>
      </c>
      <c r="AJ52" s="171"/>
      <c r="AK52" s="574"/>
      <c r="AL52" s="592"/>
      <c r="AM52" s="175"/>
      <c r="AP52" s="175"/>
      <c r="AQ52" s="175"/>
      <c r="AR52" s="175"/>
      <c r="AS52" s="593"/>
      <c r="AT52" s="593"/>
      <c r="AU52" s="593"/>
      <c r="AV52" s="593"/>
      <c r="AW52" s="593"/>
      <c r="AX52" s="593"/>
      <c r="AY52" s="593"/>
      <c r="AZ52" s="593"/>
      <c r="BA52" s="593"/>
    </row>
    <row r="53" spans="1:53" s="101" customFormat="1" ht="31.05" customHeight="1">
      <c r="A53" s="591" t="s">
        <v>1039</v>
      </c>
      <c r="B53" s="561" t="s">
        <v>1040</v>
      </c>
      <c r="C53" s="95">
        <f>C52+1</f>
        <v>34</v>
      </c>
      <c r="D53" s="600">
        <v>2135</v>
      </c>
      <c r="E53" s="237" t="s">
        <v>1069</v>
      </c>
      <c r="F53" s="171">
        <v>1560000</v>
      </c>
      <c r="G53" s="171"/>
      <c r="H53" s="171">
        <f>F53-G53</f>
        <v>1560000</v>
      </c>
      <c r="I53" s="171"/>
      <c r="J53" s="171">
        <f>1560000-1000000</f>
        <v>560000</v>
      </c>
      <c r="K53" s="171">
        <f>F53-I53-J53</f>
        <v>1000000</v>
      </c>
      <c r="L53" s="171">
        <f>J53</f>
        <v>560000</v>
      </c>
      <c r="M53" s="171"/>
      <c r="N53" s="171">
        <f>L53-M53</f>
        <v>560000</v>
      </c>
      <c r="O53" s="171">
        <f>N53-P53-Q53</f>
        <v>0</v>
      </c>
      <c r="P53" s="171">
        <v>560000</v>
      </c>
      <c r="Q53" s="171"/>
      <c r="R53" s="237" t="s">
        <v>1070</v>
      </c>
      <c r="S53" s="171"/>
      <c r="T53" s="171"/>
      <c r="U53" s="171"/>
      <c r="V53" s="171"/>
      <c r="W53" s="171">
        <f>560000-460000</f>
        <v>100000</v>
      </c>
      <c r="X53" s="171">
        <v>460000</v>
      </c>
      <c r="Y53" s="171">
        <f>SUM(S53:X53)</f>
        <v>560000</v>
      </c>
      <c r="Z53" s="171"/>
      <c r="AA53" s="171">
        <f>Y53+Z53</f>
        <v>560000</v>
      </c>
      <c r="AB53" s="171">
        <f>N53-AA53</f>
        <v>0</v>
      </c>
      <c r="AC53" s="171">
        <f>AA53-AD53-AE53</f>
        <v>0</v>
      </c>
      <c r="AD53" s="171">
        <v>560000</v>
      </c>
      <c r="AE53" s="171"/>
      <c r="AF53" s="171">
        <f>Z53-AG53-AH53</f>
        <v>0</v>
      </c>
      <c r="AG53" s="171"/>
      <c r="AH53" s="171"/>
      <c r="AI53" s="171">
        <f>AB53-AJ53-AK53</f>
        <v>0</v>
      </c>
      <c r="AJ53" s="171"/>
      <c r="AK53" s="574"/>
      <c r="AL53" s="249"/>
      <c r="AM53" s="90"/>
      <c r="AP53" s="90"/>
      <c r="AQ53" s="90"/>
      <c r="AR53" s="90"/>
      <c r="AS53" s="228"/>
      <c r="AT53" s="228"/>
      <c r="AU53" s="228"/>
      <c r="AV53" s="228"/>
      <c r="AW53" s="228"/>
      <c r="AX53" s="228"/>
      <c r="AY53" s="228"/>
      <c r="AZ53" s="228"/>
      <c r="BA53" s="228"/>
    </row>
    <row r="54" spans="1:53" s="101" customFormat="1" ht="31.05" customHeight="1">
      <c r="A54" s="591" t="s">
        <v>1039</v>
      </c>
      <c r="B54" s="561" t="s">
        <v>1040</v>
      </c>
      <c r="C54" s="95">
        <f>C53+1</f>
        <v>35</v>
      </c>
      <c r="D54" s="600">
        <v>2070</v>
      </c>
      <c r="E54" s="237" t="s">
        <v>1071</v>
      </c>
      <c r="F54" s="171">
        <v>500000</v>
      </c>
      <c r="G54" s="171">
        <v>500000</v>
      </c>
      <c r="H54" s="171">
        <f>F54-G54</f>
        <v>0</v>
      </c>
      <c r="I54" s="171">
        <f>86998+43002</f>
        <v>130000</v>
      </c>
      <c r="J54" s="171">
        <v>370000</v>
      </c>
      <c r="K54" s="171">
        <f>F54-I54-J54</f>
        <v>0</v>
      </c>
      <c r="L54" s="171">
        <f>J54</f>
        <v>370000</v>
      </c>
      <c r="M54" s="171">
        <v>190000</v>
      </c>
      <c r="N54" s="171">
        <f>L54-M54</f>
        <v>180000</v>
      </c>
      <c r="O54" s="171">
        <f>N54-P54-Q54</f>
        <v>0</v>
      </c>
      <c r="P54" s="171">
        <v>180000</v>
      </c>
      <c r="Q54" s="171"/>
      <c r="R54" s="237" t="s">
        <v>1072</v>
      </c>
      <c r="S54" s="171"/>
      <c r="T54" s="171"/>
      <c r="U54" s="171"/>
      <c r="V54" s="171"/>
      <c r="W54" s="171">
        <v>180000</v>
      </c>
      <c r="X54" s="171"/>
      <c r="Y54" s="171">
        <f>SUM(S54:X54)</f>
        <v>180000</v>
      </c>
      <c r="Z54" s="171"/>
      <c r="AA54" s="171">
        <f>Y54+Z54</f>
        <v>180000</v>
      </c>
      <c r="AB54" s="171">
        <f>N54-AA54</f>
        <v>0</v>
      </c>
      <c r="AC54" s="171">
        <f>AA54-AD54-AE54</f>
        <v>0</v>
      </c>
      <c r="AD54" s="171">
        <v>180000</v>
      </c>
      <c r="AE54" s="171"/>
      <c r="AF54" s="171">
        <f>Z54-AG54-AH54</f>
        <v>0</v>
      </c>
      <c r="AG54" s="171"/>
      <c r="AH54" s="171"/>
      <c r="AI54" s="171">
        <f>AB54-AJ54-AK54</f>
        <v>0</v>
      </c>
      <c r="AJ54" s="171"/>
      <c r="AK54" s="574"/>
      <c r="AL54" s="249"/>
      <c r="AM54" s="90"/>
      <c r="AP54" s="90"/>
      <c r="AQ54" s="90"/>
      <c r="AR54" s="90"/>
      <c r="AS54" s="228"/>
      <c r="AT54" s="228"/>
      <c r="AU54" s="228"/>
      <c r="AV54" s="228"/>
      <c r="AW54" s="228"/>
      <c r="AX54" s="228"/>
      <c r="AY54" s="228"/>
      <c r="AZ54" s="228"/>
      <c r="BA54" s="228"/>
    </row>
    <row r="55" spans="1:53" s="101" customFormat="1" ht="31.05" customHeight="1">
      <c r="A55" s="591" t="s">
        <v>1039</v>
      </c>
      <c r="B55" s="561" t="s">
        <v>1040</v>
      </c>
      <c r="C55" s="95">
        <f>C54+1</f>
        <v>36</v>
      </c>
      <c r="D55" s="600">
        <v>2069</v>
      </c>
      <c r="E55" s="237" t="s">
        <v>1073</v>
      </c>
      <c r="F55" s="171">
        <v>140000</v>
      </c>
      <c r="G55" s="171">
        <v>190000</v>
      </c>
      <c r="H55" s="171">
        <f>F55-G55</f>
        <v>-50000</v>
      </c>
      <c r="I55" s="171">
        <f>91340+98660</f>
        <v>190000</v>
      </c>
      <c r="J55" s="171">
        <v>-50000</v>
      </c>
      <c r="K55" s="171">
        <f>F55-I55-J55</f>
        <v>0</v>
      </c>
      <c r="L55" s="171">
        <f>J55</f>
        <v>-50000</v>
      </c>
      <c r="M55" s="171"/>
      <c r="N55" s="171">
        <f>L55-M55</f>
        <v>-50000</v>
      </c>
      <c r="O55" s="171">
        <f>N55-P55-Q55</f>
        <v>0</v>
      </c>
      <c r="P55" s="171">
        <v>-50000</v>
      </c>
      <c r="Q55" s="171"/>
      <c r="R55" s="237" t="s">
        <v>1074</v>
      </c>
      <c r="S55" s="171"/>
      <c r="T55" s="171"/>
      <c r="U55" s="171"/>
      <c r="V55" s="171"/>
      <c r="W55" s="171">
        <v>-50000</v>
      </c>
      <c r="X55" s="171"/>
      <c r="Y55" s="171">
        <f>SUM(S55:X55)</f>
        <v>-50000</v>
      </c>
      <c r="Z55" s="171"/>
      <c r="AA55" s="171">
        <f>Y55+Z55</f>
        <v>-50000</v>
      </c>
      <c r="AB55" s="171">
        <f>N55-AA55</f>
        <v>0</v>
      </c>
      <c r="AC55" s="171">
        <f>AA55-AD55-AE55</f>
        <v>0</v>
      </c>
      <c r="AD55" s="171">
        <v>-50000</v>
      </c>
      <c r="AE55" s="171"/>
      <c r="AF55" s="171">
        <f>Z55-AG55-AH55</f>
        <v>0</v>
      </c>
      <c r="AG55" s="171"/>
      <c r="AH55" s="171"/>
      <c r="AI55" s="171">
        <f>AB55-AJ55-AK55</f>
        <v>0</v>
      </c>
      <c r="AJ55" s="171"/>
      <c r="AK55" s="574"/>
      <c r="AL55" s="249"/>
      <c r="AM55" s="90"/>
      <c r="AP55" s="90"/>
      <c r="AQ55" s="90"/>
      <c r="AR55" s="90"/>
      <c r="AS55" s="228"/>
      <c r="AT55" s="228"/>
      <c r="AU55" s="228"/>
      <c r="AV55" s="228"/>
      <c r="AW55" s="228"/>
      <c r="AX55" s="228"/>
      <c r="AY55" s="228"/>
      <c r="AZ55" s="228"/>
      <c r="BA55" s="228"/>
    </row>
    <row r="56" spans="1:53" s="101" customFormat="1" ht="31.05" customHeight="1">
      <c r="A56" s="591" t="s">
        <v>1039</v>
      </c>
      <c r="B56" s="561" t="s">
        <v>1040</v>
      </c>
      <c r="C56" s="95">
        <f>C55+1</f>
        <v>37</v>
      </c>
      <c r="D56" s="600">
        <v>1930</v>
      </c>
      <c r="E56" s="237" t="s">
        <v>1075</v>
      </c>
      <c r="F56" s="171">
        <v>1060000</v>
      </c>
      <c r="G56" s="171">
        <v>900000</v>
      </c>
      <c r="H56" s="171">
        <f>F56-G56</f>
        <v>160000</v>
      </c>
      <c r="I56" s="171">
        <f>626204+23796</f>
        <v>650000</v>
      </c>
      <c r="J56" s="171">
        <v>410000</v>
      </c>
      <c r="K56" s="171">
        <f>F56-I56-J56</f>
        <v>0</v>
      </c>
      <c r="L56" s="171">
        <f>J56</f>
        <v>410000</v>
      </c>
      <c r="M56" s="171">
        <v>250000</v>
      </c>
      <c r="N56" s="171">
        <f>L56-M56</f>
        <v>160000</v>
      </c>
      <c r="O56" s="171">
        <f>N56-P56-Q56</f>
        <v>0</v>
      </c>
      <c r="P56" s="171">
        <v>160000</v>
      </c>
      <c r="Q56" s="171"/>
      <c r="R56" s="237" t="s">
        <v>1076</v>
      </c>
      <c r="S56" s="171"/>
      <c r="T56" s="171"/>
      <c r="U56" s="171"/>
      <c r="V56" s="171"/>
      <c r="W56" s="171">
        <v>160000</v>
      </c>
      <c r="X56" s="171"/>
      <c r="Y56" s="171">
        <f>SUM(S56:X56)</f>
        <v>160000</v>
      </c>
      <c r="Z56" s="171"/>
      <c r="AA56" s="171">
        <f>Y56+Z56</f>
        <v>160000</v>
      </c>
      <c r="AB56" s="171">
        <f>N56-AA56</f>
        <v>0</v>
      </c>
      <c r="AC56" s="171">
        <f>AA56-AD56-AE56</f>
        <v>0</v>
      </c>
      <c r="AD56" s="171">
        <v>160000</v>
      </c>
      <c r="AE56" s="171"/>
      <c r="AF56" s="171">
        <f>Z56-AG56-AH56</f>
        <v>0</v>
      </c>
      <c r="AG56" s="171"/>
      <c r="AH56" s="171"/>
      <c r="AI56" s="171">
        <f>AB56-AJ56-AK56</f>
        <v>0</v>
      </c>
      <c r="AJ56" s="171"/>
      <c r="AK56" s="574"/>
      <c r="AL56" s="249"/>
      <c r="AM56" s="90"/>
      <c r="AP56" s="90"/>
      <c r="AQ56" s="90"/>
      <c r="AR56" s="90"/>
      <c r="AS56" s="228"/>
      <c r="AT56" s="228"/>
      <c r="AU56" s="228"/>
      <c r="AV56" s="228"/>
      <c r="AW56" s="228"/>
      <c r="AX56" s="228"/>
      <c r="AY56" s="228"/>
      <c r="AZ56" s="228"/>
      <c r="BA56" s="228"/>
    </row>
    <row r="57" spans="1:53" s="101" customFormat="1">
      <c r="A57" s="594"/>
      <c r="B57" s="595"/>
      <c r="C57" s="596"/>
      <c r="D57" s="390"/>
      <c r="E57" s="236" t="s">
        <v>572</v>
      </c>
      <c r="F57" s="174">
        <f>SUM(F52:F56)</f>
        <v>5260000</v>
      </c>
      <c r="G57" s="174">
        <f t="shared" ref="G57:AK57" si="37">SUM(G52:G56)</f>
        <v>3590000</v>
      </c>
      <c r="H57" s="174">
        <f t="shared" si="37"/>
        <v>1670000</v>
      </c>
      <c r="I57" s="174">
        <f t="shared" si="37"/>
        <v>2272900</v>
      </c>
      <c r="J57" s="174">
        <f t="shared" si="37"/>
        <v>1987100</v>
      </c>
      <c r="K57" s="174">
        <f t="shared" si="37"/>
        <v>1000000</v>
      </c>
      <c r="L57" s="174">
        <f t="shared" si="37"/>
        <v>1987100</v>
      </c>
      <c r="M57" s="174">
        <f t="shared" si="37"/>
        <v>1137100</v>
      </c>
      <c r="N57" s="174">
        <f t="shared" si="37"/>
        <v>850000</v>
      </c>
      <c r="O57" s="174">
        <f t="shared" si="37"/>
        <v>0</v>
      </c>
      <c r="P57" s="174">
        <f t="shared" si="37"/>
        <v>848424</v>
      </c>
      <c r="Q57" s="174">
        <f t="shared" si="37"/>
        <v>1576</v>
      </c>
      <c r="R57" s="174">
        <f t="shared" si="37"/>
        <v>0</v>
      </c>
      <c r="S57" s="174">
        <f t="shared" si="37"/>
        <v>0</v>
      </c>
      <c r="T57" s="174">
        <f t="shared" si="37"/>
        <v>0</v>
      </c>
      <c r="U57" s="174">
        <f t="shared" si="37"/>
        <v>0</v>
      </c>
      <c r="V57" s="174">
        <f t="shared" si="37"/>
        <v>0</v>
      </c>
      <c r="W57" s="174">
        <f t="shared" si="37"/>
        <v>390000</v>
      </c>
      <c r="X57" s="174">
        <f t="shared" si="37"/>
        <v>460000</v>
      </c>
      <c r="Y57" s="174">
        <f t="shared" si="37"/>
        <v>850000</v>
      </c>
      <c r="Z57" s="174">
        <f t="shared" si="37"/>
        <v>0</v>
      </c>
      <c r="AA57" s="174">
        <f t="shared" si="37"/>
        <v>850000</v>
      </c>
      <c r="AB57" s="174">
        <f t="shared" si="37"/>
        <v>0</v>
      </c>
      <c r="AC57" s="174">
        <f t="shared" si="37"/>
        <v>0</v>
      </c>
      <c r="AD57" s="174">
        <f t="shared" si="37"/>
        <v>848424</v>
      </c>
      <c r="AE57" s="174">
        <f t="shared" si="37"/>
        <v>1576</v>
      </c>
      <c r="AF57" s="174">
        <f t="shared" si="37"/>
        <v>0</v>
      </c>
      <c r="AG57" s="174">
        <f t="shared" si="37"/>
        <v>0</v>
      </c>
      <c r="AH57" s="174">
        <f t="shared" si="37"/>
        <v>0</v>
      </c>
      <c r="AI57" s="174">
        <f t="shared" si="37"/>
        <v>0</v>
      </c>
      <c r="AJ57" s="174">
        <f t="shared" si="37"/>
        <v>0</v>
      </c>
      <c r="AK57" s="598">
        <f t="shared" si="37"/>
        <v>0</v>
      </c>
      <c r="AL57" s="249"/>
      <c r="AM57" s="90"/>
      <c r="AP57" s="90"/>
      <c r="AQ57" s="90"/>
      <c r="AR57" s="90"/>
      <c r="AS57" s="228"/>
      <c r="AT57" s="228"/>
      <c r="AU57" s="228"/>
      <c r="AV57" s="228"/>
      <c r="AW57" s="228"/>
      <c r="AX57" s="228"/>
      <c r="AY57" s="228"/>
      <c r="AZ57" s="228"/>
      <c r="BA57" s="228"/>
    </row>
    <row r="58" spans="1:53" s="101" customFormat="1">
      <c r="A58" s="594"/>
      <c r="B58" s="595"/>
      <c r="C58" s="596"/>
      <c r="D58" s="390"/>
      <c r="E58" s="236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597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598"/>
      <c r="AL58" s="249"/>
      <c r="AM58" s="90"/>
      <c r="AP58" s="90"/>
      <c r="AQ58" s="90"/>
      <c r="AR58" s="90"/>
      <c r="AS58" s="228"/>
      <c r="AT58" s="228"/>
      <c r="AU58" s="228"/>
      <c r="AV58" s="228"/>
      <c r="AW58" s="228"/>
      <c r="AX58" s="228"/>
      <c r="AY58" s="228"/>
      <c r="AZ58" s="228"/>
      <c r="BA58" s="228"/>
    </row>
    <row r="59" spans="1:53" s="101" customFormat="1">
      <c r="A59" s="565"/>
      <c r="B59" s="566"/>
      <c r="C59" s="95"/>
      <c r="D59" s="567"/>
      <c r="E59" s="236" t="s">
        <v>1077</v>
      </c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69"/>
      <c r="R59" s="568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569"/>
      <c r="AL59" s="249"/>
      <c r="AM59" s="90"/>
      <c r="AP59" s="90"/>
      <c r="AQ59" s="90"/>
      <c r="AR59" s="90"/>
      <c r="AS59" s="228"/>
      <c r="AT59" s="228"/>
      <c r="AU59" s="228"/>
      <c r="AV59" s="228"/>
      <c r="AW59" s="228"/>
      <c r="AX59" s="228"/>
      <c r="AY59" s="228"/>
      <c r="AZ59" s="228"/>
      <c r="BA59" s="228"/>
    </row>
    <row r="60" spans="1:53" s="101" customFormat="1">
      <c r="A60" s="591" t="s">
        <v>1078</v>
      </c>
      <c r="B60" s="561" t="s">
        <v>1079</v>
      </c>
      <c r="C60" s="95">
        <f>C56+1</f>
        <v>38</v>
      </c>
      <c r="D60" s="567">
        <v>1582</v>
      </c>
      <c r="E60" s="237" t="s">
        <v>1080</v>
      </c>
      <c r="F60" s="171">
        <v>934000</v>
      </c>
      <c r="G60" s="171">
        <v>763000</v>
      </c>
      <c r="H60" s="171">
        <f>F60-G60</f>
        <v>171000</v>
      </c>
      <c r="I60" s="171">
        <v>763000</v>
      </c>
      <c r="J60" s="171">
        <v>171000</v>
      </c>
      <c r="K60" s="171">
        <f>F60-I60-J60</f>
        <v>0</v>
      </c>
      <c r="L60" s="171">
        <f>J60</f>
        <v>171000</v>
      </c>
      <c r="M60" s="171"/>
      <c r="N60" s="171">
        <f>L60-M60</f>
        <v>171000</v>
      </c>
      <c r="O60" s="171">
        <f>N60-P60-Q60</f>
        <v>171000</v>
      </c>
      <c r="P60" s="171"/>
      <c r="Q60" s="171"/>
      <c r="R60" s="573"/>
      <c r="S60" s="171">
        <v>171000</v>
      </c>
      <c r="T60" s="171"/>
      <c r="U60" s="171"/>
      <c r="V60" s="171"/>
      <c r="W60" s="171"/>
      <c r="X60" s="171"/>
      <c r="Y60" s="171">
        <f>SUM(S60:X60)</f>
        <v>171000</v>
      </c>
      <c r="Z60" s="171"/>
      <c r="AA60" s="171">
        <f>Y60+Z60</f>
        <v>171000</v>
      </c>
      <c r="AB60" s="171">
        <f>N60-AA60</f>
        <v>0</v>
      </c>
      <c r="AC60" s="171">
        <f>AA60-AD60-AE60</f>
        <v>171000</v>
      </c>
      <c r="AD60" s="171"/>
      <c r="AE60" s="171"/>
      <c r="AF60" s="171">
        <f>Z60-AG60-AH60</f>
        <v>0</v>
      </c>
      <c r="AG60" s="171"/>
      <c r="AH60" s="171"/>
      <c r="AI60" s="171">
        <f>AB60-AJ60-AK60</f>
        <v>0</v>
      </c>
      <c r="AJ60" s="171"/>
      <c r="AK60" s="574"/>
      <c r="AL60" s="249"/>
      <c r="AM60" s="90"/>
      <c r="AP60" s="90"/>
      <c r="AQ60" s="90"/>
      <c r="AR60" s="90"/>
      <c r="AS60" s="228"/>
      <c r="AT60" s="228"/>
      <c r="AU60" s="228"/>
      <c r="AV60" s="228"/>
      <c r="AW60" s="228"/>
      <c r="AX60" s="228"/>
      <c r="AY60" s="228"/>
      <c r="AZ60" s="228"/>
      <c r="BA60" s="228"/>
    </row>
    <row r="61" spans="1:53" s="101" customFormat="1">
      <c r="A61" s="570" t="s">
        <v>1028</v>
      </c>
      <c r="B61" s="561" t="s">
        <v>1029</v>
      </c>
      <c r="C61" s="95">
        <f>C60+1</f>
        <v>39</v>
      </c>
      <c r="D61" s="600">
        <v>1678</v>
      </c>
      <c r="E61" s="237" t="s">
        <v>786</v>
      </c>
      <c r="F61" s="171">
        <v>1510000</v>
      </c>
      <c r="G61" s="171">
        <v>1300000</v>
      </c>
      <c r="H61" s="171">
        <f>F61-G61</f>
        <v>210000</v>
      </c>
      <c r="I61" s="171">
        <f>799277+250723</f>
        <v>1050000</v>
      </c>
      <c r="J61" s="171">
        <v>460000</v>
      </c>
      <c r="K61" s="171">
        <f>F61-I61-J61</f>
        <v>0</v>
      </c>
      <c r="L61" s="171">
        <f>J61</f>
        <v>460000</v>
      </c>
      <c r="M61" s="171">
        <v>250000</v>
      </c>
      <c r="N61" s="171">
        <f>L61-M61</f>
        <v>210000</v>
      </c>
      <c r="O61" s="171">
        <f>N61-P61-Q61</f>
        <v>0</v>
      </c>
      <c r="P61" s="171">
        <v>210000</v>
      </c>
      <c r="Q61" s="171"/>
      <c r="R61" s="573"/>
      <c r="S61" s="171"/>
      <c r="T61" s="171"/>
      <c r="U61" s="171"/>
      <c r="V61" s="171">
        <v>210000</v>
      </c>
      <c r="W61" s="171"/>
      <c r="X61" s="171"/>
      <c r="Y61" s="171">
        <f>SUM(S61:X61)</f>
        <v>210000</v>
      </c>
      <c r="Z61" s="171"/>
      <c r="AA61" s="171">
        <f>Y61+Z61</f>
        <v>210000</v>
      </c>
      <c r="AB61" s="171">
        <f>N61-AA61</f>
        <v>0</v>
      </c>
      <c r="AC61" s="171">
        <f>AA61-AD61-AE61</f>
        <v>0</v>
      </c>
      <c r="AD61" s="171">
        <v>210000</v>
      </c>
      <c r="AE61" s="171"/>
      <c r="AF61" s="171">
        <f>Z61-AG61-AH61</f>
        <v>0</v>
      </c>
      <c r="AG61" s="171"/>
      <c r="AH61" s="171"/>
      <c r="AI61" s="171">
        <f>AB61-AJ61-AK61</f>
        <v>0</v>
      </c>
      <c r="AJ61" s="171"/>
      <c r="AK61" s="574"/>
      <c r="AL61" s="249"/>
      <c r="AM61" s="90"/>
      <c r="AP61" s="90"/>
      <c r="AQ61" s="90"/>
      <c r="AR61" s="90"/>
      <c r="AS61" s="228"/>
      <c r="AT61" s="228"/>
      <c r="AU61" s="228"/>
      <c r="AV61" s="228"/>
      <c r="AW61" s="228"/>
      <c r="AX61" s="228"/>
      <c r="AY61" s="228"/>
      <c r="AZ61" s="228"/>
      <c r="BA61" s="228"/>
    </row>
    <row r="62" spans="1:53" s="101" customFormat="1" ht="31.2">
      <c r="A62" s="591" t="s">
        <v>1039</v>
      </c>
      <c r="B62" s="561" t="s">
        <v>1040</v>
      </c>
      <c r="C62" s="95">
        <f>C61+1</f>
        <v>40</v>
      </c>
      <c r="D62" s="600">
        <v>2060</v>
      </c>
      <c r="E62" s="237" t="s">
        <v>1081</v>
      </c>
      <c r="F62" s="171">
        <v>1480000</v>
      </c>
      <c r="G62" s="171">
        <v>1465000</v>
      </c>
      <c r="H62" s="171">
        <f>F62-G62</f>
        <v>15000</v>
      </c>
      <c r="I62" s="171">
        <f>172083+347917</f>
        <v>520000</v>
      </c>
      <c r="J62" s="171">
        <v>960000</v>
      </c>
      <c r="K62" s="171">
        <f>F62-I62-J62</f>
        <v>0</v>
      </c>
      <c r="L62" s="171">
        <f>J62</f>
        <v>960000</v>
      </c>
      <c r="M62" s="171">
        <v>600000</v>
      </c>
      <c r="N62" s="171">
        <f>L62-M62</f>
        <v>360000</v>
      </c>
      <c r="O62" s="171">
        <f>N62-P62-Q62</f>
        <v>360000</v>
      </c>
      <c r="P62" s="171"/>
      <c r="Q62" s="171"/>
      <c r="R62" s="237" t="s">
        <v>1082</v>
      </c>
      <c r="S62" s="171"/>
      <c r="T62" s="171"/>
      <c r="U62" s="171"/>
      <c r="V62" s="171"/>
      <c r="W62" s="171">
        <v>360000</v>
      </c>
      <c r="X62" s="171"/>
      <c r="Y62" s="171">
        <f>SUM(S62:X62)</f>
        <v>360000</v>
      </c>
      <c r="Z62" s="171"/>
      <c r="AA62" s="171">
        <f>Y62+Z62</f>
        <v>360000</v>
      </c>
      <c r="AB62" s="171">
        <f>N62-AA62</f>
        <v>0</v>
      </c>
      <c r="AC62" s="171">
        <f>AA62-AD62-AE62</f>
        <v>360000</v>
      </c>
      <c r="AD62" s="171"/>
      <c r="AE62" s="171"/>
      <c r="AF62" s="171">
        <f>Z62-AG62-AH62</f>
        <v>0</v>
      </c>
      <c r="AG62" s="171"/>
      <c r="AH62" s="171"/>
      <c r="AI62" s="171">
        <f>AB62-AJ62-AK62</f>
        <v>0</v>
      </c>
      <c r="AJ62" s="171"/>
      <c r="AK62" s="574"/>
      <c r="AL62" s="249"/>
      <c r="AM62" s="90"/>
      <c r="AP62" s="90"/>
      <c r="AQ62" s="90"/>
      <c r="AR62" s="90"/>
      <c r="AS62" s="228"/>
      <c r="AT62" s="228"/>
      <c r="AU62" s="228"/>
      <c r="AV62" s="228"/>
      <c r="AW62" s="228"/>
      <c r="AX62" s="228"/>
      <c r="AY62" s="228"/>
      <c r="AZ62" s="228"/>
      <c r="BA62" s="228"/>
    </row>
    <row r="63" spans="1:53" s="101" customFormat="1">
      <c r="A63" s="594"/>
      <c r="B63" s="595"/>
      <c r="C63" s="596"/>
      <c r="D63" s="390"/>
      <c r="E63" s="236" t="s">
        <v>1083</v>
      </c>
      <c r="F63" s="174">
        <f t="shared" ref="F63:AK63" si="38">SUM(F60:F62)</f>
        <v>3924000</v>
      </c>
      <c r="G63" s="174">
        <f t="shared" si="38"/>
        <v>3528000</v>
      </c>
      <c r="H63" s="174">
        <f t="shared" si="38"/>
        <v>396000</v>
      </c>
      <c r="I63" s="174">
        <f t="shared" si="38"/>
        <v>2333000</v>
      </c>
      <c r="J63" s="174">
        <f t="shared" si="38"/>
        <v>1591000</v>
      </c>
      <c r="K63" s="174">
        <f t="shared" si="38"/>
        <v>0</v>
      </c>
      <c r="L63" s="174">
        <f t="shared" si="38"/>
        <v>1591000</v>
      </c>
      <c r="M63" s="174">
        <f t="shared" si="38"/>
        <v>850000</v>
      </c>
      <c r="N63" s="174">
        <f t="shared" si="38"/>
        <v>741000</v>
      </c>
      <c r="O63" s="174">
        <f t="shared" si="38"/>
        <v>531000</v>
      </c>
      <c r="P63" s="174">
        <f t="shared" si="38"/>
        <v>210000</v>
      </c>
      <c r="Q63" s="174">
        <f t="shared" si="38"/>
        <v>0</v>
      </c>
      <c r="R63" s="597"/>
      <c r="S63" s="174">
        <f t="shared" si="38"/>
        <v>171000</v>
      </c>
      <c r="T63" s="174">
        <f t="shared" si="38"/>
        <v>0</v>
      </c>
      <c r="U63" s="174">
        <f t="shared" si="38"/>
        <v>0</v>
      </c>
      <c r="V63" s="174">
        <f t="shared" si="38"/>
        <v>210000</v>
      </c>
      <c r="W63" s="174">
        <f t="shared" si="38"/>
        <v>360000</v>
      </c>
      <c r="X63" s="174">
        <f t="shared" si="38"/>
        <v>0</v>
      </c>
      <c r="Y63" s="174">
        <f t="shared" si="38"/>
        <v>741000</v>
      </c>
      <c r="Z63" s="174">
        <f t="shared" si="38"/>
        <v>0</v>
      </c>
      <c r="AA63" s="174">
        <f t="shared" si="38"/>
        <v>741000</v>
      </c>
      <c r="AB63" s="174">
        <f t="shared" si="38"/>
        <v>0</v>
      </c>
      <c r="AC63" s="174">
        <f t="shared" si="38"/>
        <v>531000</v>
      </c>
      <c r="AD63" s="174">
        <f t="shared" si="38"/>
        <v>210000</v>
      </c>
      <c r="AE63" s="174">
        <f t="shared" si="38"/>
        <v>0</v>
      </c>
      <c r="AF63" s="174">
        <f t="shared" si="38"/>
        <v>0</v>
      </c>
      <c r="AG63" s="174">
        <f t="shared" si="38"/>
        <v>0</v>
      </c>
      <c r="AH63" s="174">
        <f t="shared" si="38"/>
        <v>0</v>
      </c>
      <c r="AI63" s="174">
        <f t="shared" si="38"/>
        <v>0</v>
      </c>
      <c r="AJ63" s="174">
        <f t="shared" si="38"/>
        <v>0</v>
      </c>
      <c r="AK63" s="598">
        <f t="shared" si="38"/>
        <v>0</v>
      </c>
      <c r="AL63" s="249"/>
      <c r="AM63" s="90"/>
      <c r="AP63" s="90"/>
      <c r="AQ63" s="90"/>
      <c r="AR63" s="90"/>
      <c r="AS63" s="228"/>
      <c r="AT63" s="228"/>
      <c r="AU63" s="228"/>
      <c r="AV63" s="228"/>
      <c r="AW63" s="228"/>
      <c r="AX63" s="228"/>
      <c r="AY63" s="228"/>
      <c r="AZ63" s="228"/>
      <c r="BA63" s="228"/>
    </row>
    <row r="64" spans="1:53" s="101" customFormat="1">
      <c r="A64" s="594"/>
      <c r="B64" s="595"/>
      <c r="C64" s="596"/>
      <c r="D64" s="390"/>
      <c r="E64" s="236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597"/>
      <c r="S64" s="174"/>
      <c r="T64" s="174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598"/>
      <c r="AL64" s="249"/>
      <c r="AM64" s="90"/>
      <c r="AP64" s="90"/>
      <c r="AQ64" s="90"/>
      <c r="AR64" s="90"/>
      <c r="AS64" s="228"/>
      <c r="AT64" s="228"/>
      <c r="AU64" s="228"/>
      <c r="AV64" s="228"/>
      <c r="AW64" s="228"/>
      <c r="AX64" s="228"/>
      <c r="AY64" s="228"/>
      <c r="AZ64" s="228"/>
      <c r="BA64" s="228"/>
    </row>
    <row r="65" spans="1:53" s="101" customFormat="1">
      <c r="A65" s="565"/>
      <c r="B65" s="566"/>
      <c r="C65" s="95"/>
      <c r="D65" s="567"/>
      <c r="E65" s="236" t="s">
        <v>230</v>
      </c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69"/>
      <c r="R65" s="568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569"/>
      <c r="AL65" s="249"/>
      <c r="AM65" s="90"/>
      <c r="AP65" s="90"/>
      <c r="AQ65" s="90"/>
      <c r="AR65" s="90"/>
      <c r="AS65" s="228"/>
      <c r="AT65" s="228"/>
      <c r="AU65" s="228"/>
      <c r="AV65" s="228"/>
      <c r="AW65" s="228"/>
      <c r="AX65" s="228"/>
      <c r="AY65" s="228"/>
      <c r="AZ65" s="228"/>
      <c r="BA65" s="228"/>
    </row>
    <row r="66" spans="1:53" s="101" customFormat="1">
      <c r="A66" s="591" t="s">
        <v>1078</v>
      </c>
      <c r="B66" s="561" t="s">
        <v>1079</v>
      </c>
      <c r="C66" s="95">
        <f>C62+1</f>
        <v>41</v>
      </c>
      <c r="D66" s="567">
        <v>1817</v>
      </c>
      <c r="E66" s="237" t="s">
        <v>143</v>
      </c>
      <c r="F66" s="171">
        <v>872000</v>
      </c>
      <c r="G66" s="171">
        <v>640000</v>
      </c>
      <c r="H66" s="171">
        <f>F66-G66</f>
        <v>232000</v>
      </c>
      <c r="I66" s="171">
        <v>640000</v>
      </c>
      <c r="J66" s="171">
        <v>232000</v>
      </c>
      <c r="K66" s="171">
        <f>F66-I66-J66</f>
        <v>0</v>
      </c>
      <c r="L66" s="171">
        <f>J66</f>
        <v>232000</v>
      </c>
      <c r="M66" s="171"/>
      <c r="N66" s="171">
        <f>L66-M66</f>
        <v>232000</v>
      </c>
      <c r="O66" s="171">
        <f>N66-P66-Q66</f>
        <v>0</v>
      </c>
      <c r="P66" s="171"/>
      <c r="Q66" s="171">
        <v>232000</v>
      </c>
      <c r="R66" s="573"/>
      <c r="S66" s="171">
        <v>50000</v>
      </c>
      <c r="T66" s="171"/>
      <c r="U66" s="171"/>
      <c r="V66" s="171"/>
      <c r="W66" s="171">
        <v>50000</v>
      </c>
      <c r="X66" s="171"/>
      <c r="Y66" s="171">
        <f>SUM(S66:X66)</f>
        <v>100000</v>
      </c>
      <c r="Z66" s="171"/>
      <c r="AA66" s="171">
        <f>Y66+Z66</f>
        <v>100000</v>
      </c>
      <c r="AB66" s="171">
        <f>N66-AA66</f>
        <v>132000</v>
      </c>
      <c r="AC66" s="171">
        <f>AA66-AD66-AE66</f>
        <v>0</v>
      </c>
      <c r="AD66" s="171"/>
      <c r="AE66" s="171">
        <v>100000</v>
      </c>
      <c r="AF66" s="171">
        <f>Z66-AG66-AH66</f>
        <v>0</v>
      </c>
      <c r="AG66" s="171"/>
      <c r="AH66" s="171"/>
      <c r="AI66" s="171">
        <f>AB66-AJ66-AK66</f>
        <v>0</v>
      </c>
      <c r="AJ66" s="171"/>
      <c r="AK66" s="574">
        <v>132000</v>
      </c>
      <c r="AL66" s="249"/>
      <c r="AM66" s="90"/>
      <c r="AP66" s="90"/>
      <c r="AQ66" s="90"/>
      <c r="AR66" s="90"/>
      <c r="AS66" s="228"/>
      <c r="AT66" s="228"/>
      <c r="AU66" s="228"/>
      <c r="AV66" s="228"/>
      <c r="AW66" s="228"/>
      <c r="AX66" s="228"/>
      <c r="AY66" s="228"/>
      <c r="AZ66" s="228"/>
      <c r="BA66" s="228"/>
    </row>
    <row r="67" spans="1:53" s="380" customFormat="1" ht="31.2">
      <c r="A67" s="591" t="s">
        <v>1046</v>
      </c>
      <c r="B67" s="561" t="s">
        <v>1047</v>
      </c>
      <c r="C67" s="95">
        <f>C66+1</f>
        <v>42</v>
      </c>
      <c r="D67" s="170">
        <v>1209</v>
      </c>
      <c r="E67" s="237" t="s">
        <v>1084</v>
      </c>
      <c r="F67" s="171">
        <v>912429</v>
      </c>
      <c r="G67" s="171">
        <v>940000</v>
      </c>
      <c r="H67" s="171">
        <f>F67-G67</f>
        <v>-27571</v>
      </c>
      <c r="I67" s="171">
        <v>940000</v>
      </c>
      <c r="J67" s="171">
        <v>-27571</v>
      </c>
      <c r="K67" s="171">
        <f>F67-I67-J67</f>
        <v>0</v>
      </c>
      <c r="L67" s="171">
        <f>J67</f>
        <v>-27571</v>
      </c>
      <c r="M67" s="171"/>
      <c r="N67" s="171">
        <f>L67-M67</f>
        <v>-27571</v>
      </c>
      <c r="O67" s="171">
        <f>N67-P67-Q67</f>
        <v>-7540</v>
      </c>
      <c r="P67" s="171"/>
      <c r="Q67" s="171">
        <v>-20031</v>
      </c>
      <c r="R67" s="573"/>
      <c r="S67" s="171"/>
      <c r="T67" s="171">
        <v>-27571</v>
      </c>
      <c r="U67" s="171"/>
      <c r="V67" s="171"/>
      <c r="W67" s="171"/>
      <c r="X67" s="171"/>
      <c r="Y67" s="171">
        <f>SUM(S67:X67)</f>
        <v>-27571</v>
      </c>
      <c r="Z67" s="171"/>
      <c r="AA67" s="171">
        <f>Y67+Z67</f>
        <v>-27571</v>
      </c>
      <c r="AB67" s="171">
        <f>N67-AA67</f>
        <v>0</v>
      </c>
      <c r="AC67" s="171">
        <f>AA67-AD67-AE67</f>
        <v>-7540</v>
      </c>
      <c r="AD67" s="171"/>
      <c r="AE67" s="171">
        <v>-20031</v>
      </c>
      <c r="AF67" s="171">
        <f>Z67-AG67-AH67</f>
        <v>0</v>
      </c>
      <c r="AG67" s="171"/>
      <c r="AH67" s="171"/>
      <c r="AI67" s="171">
        <f>AB67-AJ67-AK67</f>
        <v>0</v>
      </c>
      <c r="AJ67" s="171"/>
      <c r="AK67" s="574"/>
      <c r="AL67" s="249"/>
      <c r="AM67" s="175"/>
      <c r="AP67" s="90"/>
      <c r="AQ67" s="90"/>
      <c r="AR67" s="90"/>
      <c r="AS67" s="228"/>
      <c r="AT67" s="228"/>
      <c r="AU67" s="228"/>
      <c r="AV67" s="228"/>
      <c r="AW67" s="228"/>
      <c r="AX67" s="228"/>
      <c r="AY67" s="228"/>
      <c r="AZ67" s="228"/>
      <c r="BA67" s="228"/>
    </row>
    <row r="68" spans="1:53" s="101" customFormat="1">
      <c r="A68" s="594"/>
      <c r="B68" s="595"/>
      <c r="C68" s="596"/>
      <c r="D68" s="390"/>
      <c r="E68" s="236" t="s">
        <v>1085</v>
      </c>
      <c r="F68" s="174">
        <f t="shared" ref="F68:AK68" si="39">SUM(F66:F67)</f>
        <v>1784429</v>
      </c>
      <c r="G68" s="174">
        <f t="shared" si="39"/>
        <v>1580000</v>
      </c>
      <c r="H68" s="174">
        <f t="shared" si="39"/>
        <v>204429</v>
      </c>
      <c r="I68" s="174">
        <f t="shared" si="39"/>
        <v>1580000</v>
      </c>
      <c r="J68" s="174">
        <f t="shared" si="39"/>
        <v>204429</v>
      </c>
      <c r="K68" s="174">
        <f t="shared" si="39"/>
        <v>0</v>
      </c>
      <c r="L68" s="174">
        <f t="shared" si="39"/>
        <v>204429</v>
      </c>
      <c r="M68" s="174">
        <f t="shared" si="39"/>
        <v>0</v>
      </c>
      <c r="N68" s="174">
        <f t="shared" si="39"/>
        <v>204429</v>
      </c>
      <c r="O68" s="174">
        <f t="shared" si="39"/>
        <v>-7540</v>
      </c>
      <c r="P68" s="174">
        <f t="shared" si="39"/>
        <v>0</v>
      </c>
      <c r="Q68" s="174">
        <f t="shared" si="39"/>
        <v>211969</v>
      </c>
      <c r="R68" s="597"/>
      <c r="S68" s="174">
        <f t="shared" ref="S68:Z68" si="40">SUM(S66:S67)</f>
        <v>50000</v>
      </c>
      <c r="T68" s="174">
        <f t="shared" si="40"/>
        <v>-27571</v>
      </c>
      <c r="U68" s="174">
        <f t="shared" si="40"/>
        <v>0</v>
      </c>
      <c r="V68" s="174">
        <f t="shared" si="40"/>
        <v>0</v>
      </c>
      <c r="W68" s="174">
        <f t="shared" si="40"/>
        <v>50000</v>
      </c>
      <c r="X68" s="174">
        <f t="shared" si="40"/>
        <v>0</v>
      </c>
      <c r="Y68" s="174">
        <f t="shared" si="40"/>
        <v>72429</v>
      </c>
      <c r="Z68" s="174">
        <f t="shared" si="40"/>
        <v>0</v>
      </c>
      <c r="AA68" s="174">
        <f t="shared" si="39"/>
        <v>72429</v>
      </c>
      <c r="AB68" s="174">
        <f t="shared" si="39"/>
        <v>132000</v>
      </c>
      <c r="AC68" s="174">
        <f t="shared" si="39"/>
        <v>-7540</v>
      </c>
      <c r="AD68" s="174">
        <f t="shared" si="39"/>
        <v>0</v>
      </c>
      <c r="AE68" s="174">
        <f t="shared" si="39"/>
        <v>79969</v>
      </c>
      <c r="AF68" s="174">
        <f t="shared" si="39"/>
        <v>0</v>
      </c>
      <c r="AG68" s="174">
        <f t="shared" si="39"/>
        <v>0</v>
      </c>
      <c r="AH68" s="174">
        <f t="shared" si="39"/>
        <v>0</v>
      </c>
      <c r="AI68" s="174">
        <f t="shared" si="39"/>
        <v>0</v>
      </c>
      <c r="AJ68" s="174">
        <f t="shared" si="39"/>
        <v>0</v>
      </c>
      <c r="AK68" s="598">
        <f t="shared" si="39"/>
        <v>132000</v>
      </c>
      <c r="AL68" s="249"/>
      <c r="AM68" s="90"/>
      <c r="AP68" s="90"/>
      <c r="AQ68" s="90"/>
      <c r="AR68" s="90"/>
      <c r="AS68" s="228"/>
      <c r="AT68" s="228"/>
      <c r="AU68" s="228"/>
      <c r="AV68" s="228"/>
      <c r="AW68" s="228"/>
      <c r="AX68" s="228"/>
      <c r="AY68" s="228"/>
      <c r="AZ68" s="228"/>
      <c r="BA68" s="228"/>
    </row>
    <row r="69" spans="1:53" s="101" customFormat="1">
      <c r="A69" s="594"/>
      <c r="B69" s="595"/>
      <c r="C69" s="596"/>
      <c r="D69" s="390"/>
      <c r="E69" s="236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597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  <c r="AJ69" s="174"/>
      <c r="AK69" s="598"/>
      <c r="AL69" s="249"/>
      <c r="AM69" s="90"/>
      <c r="AP69" s="90"/>
      <c r="AQ69" s="90"/>
      <c r="AR69" s="90"/>
      <c r="AS69" s="228"/>
      <c r="AT69" s="228"/>
      <c r="AU69" s="228"/>
      <c r="AV69" s="228"/>
      <c r="AW69" s="228"/>
      <c r="AX69" s="228"/>
      <c r="AY69" s="228"/>
      <c r="AZ69" s="228"/>
      <c r="BA69" s="228"/>
    </row>
    <row r="70" spans="1:53" s="101" customFormat="1">
      <c r="A70" s="565"/>
      <c r="B70" s="566"/>
      <c r="C70" s="95"/>
      <c r="D70" s="567"/>
      <c r="E70" s="236" t="s">
        <v>106</v>
      </c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69"/>
      <c r="R70" s="568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569"/>
      <c r="AL70" s="249"/>
      <c r="AM70" s="90"/>
      <c r="AP70" s="90"/>
      <c r="AQ70" s="90"/>
      <c r="AR70" s="90"/>
      <c r="AS70" s="228"/>
      <c r="AT70" s="228"/>
      <c r="AU70" s="228"/>
      <c r="AV70" s="228"/>
      <c r="AW70" s="228"/>
      <c r="AX70" s="228"/>
      <c r="AY70" s="228"/>
      <c r="AZ70" s="228"/>
      <c r="BA70" s="228"/>
    </row>
    <row r="71" spans="1:53" s="380" customFormat="1">
      <c r="A71" s="599" t="s">
        <v>1028</v>
      </c>
      <c r="B71" s="561" t="s">
        <v>1029</v>
      </c>
      <c r="C71" s="571">
        <f>C67+1</f>
        <v>43</v>
      </c>
      <c r="D71" s="600">
        <v>2125</v>
      </c>
      <c r="E71" s="237" t="s">
        <v>562</v>
      </c>
      <c r="F71" s="171">
        <v>146923</v>
      </c>
      <c r="G71" s="171"/>
      <c r="H71" s="171">
        <f>F71-G71</f>
        <v>146923</v>
      </c>
      <c r="I71" s="171"/>
      <c r="J71" s="171">
        <v>146923</v>
      </c>
      <c r="K71" s="171">
        <f>F71-I71-J71</f>
        <v>0</v>
      </c>
      <c r="L71" s="171">
        <f>J71</f>
        <v>146923</v>
      </c>
      <c r="M71" s="171"/>
      <c r="N71" s="171">
        <f>L71-M71</f>
        <v>146923</v>
      </c>
      <c r="O71" s="171">
        <f>N71-P71-Q71</f>
        <v>0</v>
      </c>
      <c r="P71" s="171"/>
      <c r="Q71" s="171">
        <v>146923</v>
      </c>
      <c r="R71" s="573"/>
      <c r="S71" s="171"/>
      <c r="T71" s="171"/>
      <c r="U71" s="171"/>
      <c r="V71" s="171">
        <v>146923</v>
      </c>
      <c r="W71" s="171"/>
      <c r="X71" s="171"/>
      <c r="Y71" s="171">
        <f>SUM(S71:X71)</f>
        <v>146923</v>
      </c>
      <c r="Z71" s="171"/>
      <c r="AA71" s="171">
        <f>Y71+Z71</f>
        <v>146923</v>
      </c>
      <c r="AB71" s="171">
        <f>N71-AA71</f>
        <v>0</v>
      </c>
      <c r="AC71" s="171">
        <f>AA71-AD71-AE71</f>
        <v>0</v>
      </c>
      <c r="AD71" s="171"/>
      <c r="AE71" s="171">
        <v>146923</v>
      </c>
      <c r="AF71" s="171">
        <f>Z71-AG71-AH71</f>
        <v>0</v>
      </c>
      <c r="AG71" s="171"/>
      <c r="AH71" s="171"/>
      <c r="AI71" s="171">
        <f>AB71-AJ71-AK71</f>
        <v>0</v>
      </c>
      <c r="AJ71" s="171"/>
      <c r="AK71" s="574"/>
      <c r="AL71" s="592"/>
      <c r="AM71" s="175"/>
      <c r="AP71" s="175"/>
      <c r="AQ71" s="175"/>
      <c r="AR71" s="175"/>
      <c r="AS71" s="593"/>
      <c r="AT71" s="593"/>
      <c r="AU71" s="593"/>
      <c r="AV71" s="593"/>
      <c r="AW71" s="593"/>
      <c r="AX71" s="593"/>
      <c r="AY71" s="593"/>
      <c r="AZ71" s="593"/>
      <c r="BA71" s="593"/>
    </row>
    <row r="72" spans="1:53" s="101" customFormat="1" ht="31.2">
      <c r="A72" s="591" t="s">
        <v>1039</v>
      </c>
      <c r="B72" s="561" t="s">
        <v>1040</v>
      </c>
      <c r="C72" s="95">
        <f>C71+1</f>
        <v>44</v>
      </c>
      <c r="D72" s="600">
        <v>2136</v>
      </c>
      <c r="E72" s="237" t="s">
        <v>1086</v>
      </c>
      <c r="F72" s="171">
        <v>55226</v>
      </c>
      <c r="G72" s="171"/>
      <c r="H72" s="171">
        <f>F72-G72</f>
        <v>55226</v>
      </c>
      <c r="I72" s="171"/>
      <c r="J72" s="171">
        <v>55226</v>
      </c>
      <c r="K72" s="171">
        <f>F72-I72-J72</f>
        <v>0</v>
      </c>
      <c r="L72" s="171">
        <f>J72</f>
        <v>55226</v>
      </c>
      <c r="M72" s="171"/>
      <c r="N72" s="171">
        <f>L72-M72</f>
        <v>55226</v>
      </c>
      <c r="O72" s="171">
        <f>N72-P72-Q72</f>
        <v>0</v>
      </c>
      <c r="P72" s="171"/>
      <c r="Q72" s="171">
        <v>55226</v>
      </c>
      <c r="R72" s="237" t="s">
        <v>1087</v>
      </c>
      <c r="S72" s="171"/>
      <c r="T72" s="171"/>
      <c r="U72" s="171"/>
      <c r="V72" s="171"/>
      <c r="W72" s="171"/>
      <c r="X72" s="171"/>
      <c r="Y72" s="171">
        <f>SUM(S72:X72)</f>
        <v>0</v>
      </c>
      <c r="Z72" s="171">
        <v>55226</v>
      </c>
      <c r="AA72" s="171">
        <f>Y72+Z72</f>
        <v>55226</v>
      </c>
      <c r="AB72" s="171">
        <f>N72-AA72</f>
        <v>0</v>
      </c>
      <c r="AC72" s="171">
        <f>AA72-AD72-AE72</f>
        <v>0</v>
      </c>
      <c r="AD72" s="171"/>
      <c r="AE72" s="171">
        <v>55226</v>
      </c>
      <c r="AF72" s="171">
        <f>Z72-AG72-AH72</f>
        <v>0</v>
      </c>
      <c r="AG72" s="171"/>
      <c r="AH72" s="171">
        <v>55226</v>
      </c>
      <c r="AI72" s="171">
        <f>AB72-AJ72-AK72</f>
        <v>0</v>
      </c>
      <c r="AJ72" s="171"/>
      <c r="AK72" s="574"/>
      <c r="AL72" s="249"/>
      <c r="AM72" s="90"/>
      <c r="AP72" s="90"/>
      <c r="AQ72" s="90"/>
      <c r="AR72" s="90"/>
      <c r="AS72" s="228"/>
      <c r="AT72" s="228"/>
      <c r="AU72" s="228"/>
      <c r="AV72" s="228"/>
      <c r="AW72" s="228"/>
      <c r="AX72" s="228"/>
      <c r="AY72" s="228"/>
      <c r="AZ72" s="228"/>
      <c r="BA72" s="228"/>
    </row>
    <row r="73" spans="1:53" s="101" customFormat="1" ht="31.2">
      <c r="A73" s="591" t="s">
        <v>1039</v>
      </c>
      <c r="B73" s="561" t="s">
        <v>1040</v>
      </c>
      <c r="C73" s="95">
        <f>C72+1</f>
        <v>45</v>
      </c>
      <c r="D73" s="600">
        <v>2137</v>
      </c>
      <c r="E73" s="237" t="s">
        <v>1088</v>
      </c>
      <c r="F73" s="171">
        <v>50000</v>
      </c>
      <c r="G73" s="171"/>
      <c r="H73" s="171">
        <f>F73-G73</f>
        <v>50000</v>
      </c>
      <c r="I73" s="171"/>
      <c r="J73" s="171">
        <v>50000</v>
      </c>
      <c r="K73" s="171">
        <f>F73-I73-J73</f>
        <v>0</v>
      </c>
      <c r="L73" s="171">
        <f>J73</f>
        <v>50000</v>
      </c>
      <c r="M73" s="171"/>
      <c r="N73" s="171">
        <f>L73-M73</f>
        <v>50000</v>
      </c>
      <c r="O73" s="171">
        <f>N73-P73-Q73</f>
        <v>0</v>
      </c>
      <c r="P73" s="171"/>
      <c r="Q73" s="171">
        <v>50000</v>
      </c>
      <c r="R73" s="237" t="s">
        <v>1087</v>
      </c>
      <c r="S73" s="171"/>
      <c r="T73" s="171"/>
      <c r="U73" s="171"/>
      <c r="V73" s="171"/>
      <c r="W73" s="171"/>
      <c r="X73" s="171"/>
      <c r="Y73" s="171">
        <f>SUM(S73:X73)</f>
        <v>0</v>
      </c>
      <c r="Z73" s="171">
        <v>50000</v>
      </c>
      <c r="AA73" s="171">
        <v>50000</v>
      </c>
      <c r="AB73" s="171">
        <f>N73-AA73</f>
        <v>0</v>
      </c>
      <c r="AC73" s="171">
        <f>AA73-AD73-AE73</f>
        <v>0</v>
      </c>
      <c r="AD73" s="171"/>
      <c r="AE73" s="171">
        <v>50000</v>
      </c>
      <c r="AF73" s="171">
        <f>Z73-AG73-AH73</f>
        <v>0</v>
      </c>
      <c r="AG73" s="171"/>
      <c r="AH73" s="171">
        <v>50000</v>
      </c>
      <c r="AI73" s="171">
        <f>AB73-AJ73-AK73</f>
        <v>0</v>
      </c>
      <c r="AJ73" s="171"/>
      <c r="AK73" s="574"/>
      <c r="AL73" s="249"/>
      <c r="AM73" s="90"/>
      <c r="AP73" s="90"/>
      <c r="AQ73" s="90"/>
      <c r="AR73" s="90"/>
      <c r="AS73" s="228"/>
      <c r="AT73" s="228"/>
      <c r="AU73" s="228"/>
      <c r="AV73" s="228"/>
      <c r="AW73" s="228"/>
      <c r="AX73" s="228"/>
      <c r="AY73" s="228"/>
      <c r="AZ73" s="228"/>
      <c r="BA73" s="228"/>
    </row>
    <row r="74" spans="1:53" s="101" customFormat="1" ht="31.2">
      <c r="A74" s="591" t="s">
        <v>1039</v>
      </c>
      <c r="B74" s="561" t="s">
        <v>1040</v>
      </c>
      <c r="C74" s="95">
        <f>C73+1</f>
        <v>46</v>
      </c>
      <c r="D74" s="600">
        <v>2138</v>
      </c>
      <c r="E74" s="237" t="s">
        <v>1089</v>
      </c>
      <c r="F74" s="171">
        <v>80000</v>
      </c>
      <c r="G74" s="171"/>
      <c r="H74" s="171">
        <f>F74-G74</f>
        <v>80000</v>
      </c>
      <c r="I74" s="171"/>
      <c r="J74" s="171">
        <v>80000</v>
      </c>
      <c r="K74" s="171">
        <f>F74-I74-J74</f>
        <v>0</v>
      </c>
      <c r="L74" s="171">
        <f>J74</f>
        <v>80000</v>
      </c>
      <c r="M74" s="171"/>
      <c r="N74" s="171">
        <f>L74-M74</f>
        <v>80000</v>
      </c>
      <c r="O74" s="171">
        <f>N74-P74-Q74</f>
        <v>0</v>
      </c>
      <c r="P74" s="171"/>
      <c r="Q74" s="171">
        <v>80000</v>
      </c>
      <c r="R74" s="237" t="s">
        <v>1087</v>
      </c>
      <c r="S74" s="171"/>
      <c r="T74" s="171"/>
      <c r="U74" s="171"/>
      <c r="V74" s="171"/>
      <c r="W74" s="171"/>
      <c r="X74" s="171"/>
      <c r="Y74" s="171">
        <f>SUM(S74:X74)</f>
        <v>0</v>
      </c>
      <c r="Z74" s="171">
        <v>80000</v>
      </c>
      <c r="AA74" s="171">
        <f>Y74+Z74</f>
        <v>80000</v>
      </c>
      <c r="AB74" s="171">
        <f>N74-AA74</f>
        <v>0</v>
      </c>
      <c r="AC74" s="171">
        <f>AA74-AD74-AE74</f>
        <v>0</v>
      </c>
      <c r="AD74" s="171"/>
      <c r="AE74" s="171">
        <v>80000</v>
      </c>
      <c r="AF74" s="171">
        <f>Z74-AG74-AH74</f>
        <v>0</v>
      </c>
      <c r="AG74" s="171"/>
      <c r="AH74" s="171">
        <v>80000</v>
      </c>
      <c r="AI74" s="171">
        <f>AB74-AJ74-AK74</f>
        <v>0</v>
      </c>
      <c r="AJ74" s="171"/>
      <c r="AK74" s="574"/>
      <c r="AL74" s="249"/>
      <c r="AM74" s="90"/>
      <c r="AP74" s="90"/>
      <c r="AQ74" s="90"/>
      <c r="AR74" s="90"/>
      <c r="AS74" s="228"/>
      <c r="AT74" s="228"/>
      <c r="AU74" s="228"/>
      <c r="AV74" s="228"/>
      <c r="AW74" s="228"/>
      <c r="AX74" s="228"/>
      <c r="AY74" s="228"/>
      <c r="AZ74" s="228"/>
      <c r="BA74" s="228"/>
    </row>
    <row r="75" spans="1:53" s="101" customFormat="1">
      <c r="A75" s="594"/>
      <c r="B75" s="595"/>
      <c r="C75" s="596"/>
      <c r="D75" s="390"/>
      <c r="E75" s="236" t="s">
        <v>1090</v>
      </c>
      <c r="F75" s="174">
        <f t="shared" ref="F75:AK75" si="41">SUM(F71:F74)</f>
        <v>332149</v>
      </c>
      <c r="G75" s="174">
        <f t="shared" si="41"/>
        <v>0</v>
      </c>
      <c r="H75" s="174">
        <f t="shared" si="41"/>
        <v>332149</v>
      </c>
      <c r="I75" s="174">
        <f t="shared" si="41"/>
        <v>0</v>
      </c>
      <c r="J75" s="174">
        <f t="shared" si="41"/>
        <v>332149</v>
      </c>
      <c r="K75" s="174">
        <f t="shared" si="41"/>
        <v>0</v>
      </c>
      <c r="L75" s="174">
        <f t="shared" si="41"/>
        <v>332149</v>
      </c>
      <c r="M75" s="174">
        <f t="shared" si="41"/>
        <v>0</v>
      </c>
      <c r="N75" s="174">
        <f t="shared" si="41"/>
        <v>332149</v>
      </c>
      <c r="O75" s="174">
        <f t="shared" si="41"/>
        <v>0</v>
      </c>
      <c r="P75" s="174">
        <f t="shared" si="41"/>
        <v>0</v>
      </c>
      <c r="Q75" s="174">
        <f t="shared" si="41"/>
        <v>332149</v>
      </c>
      <c r="R75" s="597"/>
      <c r="S75" s="174">
        <f t="shared" si="41"/>
        <v>0</v>
      </c>
      <c r="T75" s="174">
        <f t="shared" si="41"/>
        <v>0</v>
      </c>
      <c r="U75" s="174">
        <f t="shared" si="41"/>
        <v>0</v>
      </c>
      <c r="V75" s="174">
        <f t="shared" si="41"/>
        <v>146923</v>
      </c>
      <c r="W75" s="174">
        <f t="shared" si="41"/>
        <v>0</v>
      </c>
      <c r="X75" s="174">
        <f t="shared" si="41"/>
        <v>0</v>
      </c>
      <c r="Y75" s="174">
        <f t="shared" si="41"/>
        <v>146923</v>
      </c>
      <c r="Z75" s="174">
        <f t="shared" si="41"/>
        <v>185226</v>
      </c>
      <c r="AA75" s="174">
        <f t="shared" si="41"/>
        <v>332149</v>
      </c>
      <c r="AB75" s="174">
        <f t="shared" si="41"/>
        <v>0</v>
      </c>
      <c r="AC75" s="174">
        <f t="shared" si="41"/>
        <v>0</v>
      </c>
      <c r="AD75" s="174">
        <f t="shared" si="41"/>
        <v>0</v>
      </c>
      <c r="AE75" s="174">
        <f t="shared" si="41"/>
        <v>332149</v>
      </c>
      <c r="AF75" s="174">
        <f t="shared" si="41"/>
        <v>0</v>
      </c>
      <c r="AG75" s="174">
        <f t="shared" si="41"/>
        <v>0</v>
      </c>
      <c r="AH75" s="174">
        <f t="shared" si="41"/>
        <v>185226</v>
      </c>
      <c r="AI75" s="174">
        <f t="shared" si="41"/>
        <v>0</v>
      </c>
      <c r="AJ75" s="174">
        <f t="shared" si="41"/>
        <v>0</v>
      </c>
      <c r="AK75" s="598">
        <f t="shared" si="41"/>
        <v>0</v>
      </c>
      <c r="AL75" s="249"/>
      <c r="AM75" s="90"/>
      <c r="AP75" s="90"/>
      <c r="AQ75" s="90"/>
      <c r="AR75" s="90"/>
      <c r="AS75" s="228"/>
      <c r="AT75" s="228"/>
      <c r="AU75" s="228"/>
      <c r="AV75" s="228"/>
      <c r="AW75" s="228"/>
      <c r="AX75" s="228"/>
      <c r="AY75" s="228"/>
      <c r="AZ75" s="228"/>
      <c r="BA75" s="228"/>
    </row>
    <row r="76" spans="1:53" s="101" customFormat="1">
      <c r="A76" s="594"/>
      <c r="B76" s="595"/>
      <c r="C76" s="596"/>
      <c r="D76" s="390"/>
      <c r="E76" s="236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597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598"/>
      <c r="AL76" s="249"/>
      <c r="AM76" s="90"/>
      <c r="AP76" s="90"/>
      <c r="AQ76" s="90"/>
      <c r="AR76" s="90"/>
      <c r="AS76" s="228"/>
      <c r="AT76" s="228"/>
      <c r="AU76" s="228"/>
      <c r="AV76" s="228"/>
      <c r="AW76" s="228"/>
      <c r="AX76" s="228"/>
      <c r="AY76" s="228"/>
      <c r="AZ76" s="228"/>
      <c r="BA76" s="228"/>
    </row>
    <row r="77" spans="1:53" s="101" customFormat="1">
      <c r="A77" s="565"/>
      <c r="B77" s="566"/>
      <c r="C77" s="95"/>
      <c r="D77" s="567"/>
      <c r="E77" s="236" t="s">
        <v>1091</v>
      </c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69"/>
      <c r="R77" s="568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569"/>
      <c r="AL77" s="249"/>
      <c r="AM77" s="90"/>
      <c r="AP77" s="90"/>
      <c r="AQ77" s="90"/>
      <c r="AR77" s="90"/>
      <c r="AS77" s="228"/>
      <c r="AT77" s="228"/>
      <c r="AU77" s="228"/>
      <c r="AV77" s="228"/>
      <c r="AW77" s="228"/>
      <c r="AX77" s="228"/>
      <c r="AY77" s="228"/>
      <c r="AZ77" s="228"/>
      <c r="BA77" s="228"/>
    </row>
    <row r="78" spans="1:53" s="380" customFormat="1">
      <c r="A78" s="599" t="s">
        <v>1028</v>
      </c>
      <c r="B78" s="561" t="s">
        <v>1029</v>
      </c>
      <c r="C78" s="571">
        <f>C74+1</f>
        <v>47</v>
      </c>
      <c r="D78" s="600">
        <v>2057</v>
      </c>
      <c r="E78" s="237" t="s">
        <v>576</v>
      </c>
      <c r="F78" s="171">
        <v>2800000</v>
      </c>
      <c r="G78" s="171">
        <v>1500000</v>
      </c>
      <c r="H78" s="171">
        <f>F78-G78</f>
        <v>1300000</v>
      </c>
      <c r="I78" s="171">
        <v>1500000</v>
      </c>
      <c r="J78" s="171">
        <v>1300000</v>
      </c>
      <c r="K78" s="171">
        <f>F78-I78-J78</f>
        <v>0</v>
      </c>
      <c r="L78" s="171">
        <f>J78</f>
        <v>1300000</v>
      </c>
      <c r="M78" s="171"/>
      <c r="N78" s="171">
        <f>L78-M78</f>
        <v>1300000</v>
      </c>
      <c r="O78" s="171">
        <f>N78-P78-Q78</f>
        <v>1300000</v>
      </c>
      <c r="P78" s="171"/>
      <c r="Q78" s="171"/>
      <c r="R78" s="573"/>
      <c r="S78" s="171"/>
      <c r="T78" s="171"/>
      <c r="U78" s="171"/>
      <c r="V78" s="171"/>
      <c r="W78" s="171">
        <v>1300000</v>
      </c>
      <c r="X78" s="171"/>
      <c r="Y78" s="171">
        <f>SUM(S78:X78)</f>
        <v>1300000</v>
      </c>
      <c r="Z78" s="171"/>
      <c r="AA78" s="171">
        <f>Y78+Z78</f>
        <v>1300000</v>
      </c>
      <c r="AB78" s="171">
        <f>N78-AA78</f>
        <v>0</v>
      </c>
      <c r="AC78" s="171">
        <f>AA78-AD78-AE78</f>
        <v>1300000</v>
      </c>
      <c r="AD78" s="171"/>
      <c r="AE78" s="171"/>
      <c r="AF78" s="171">
        <f>Z78-AG78-AH78</f>
        <v>0</v>
      </c>
      <c r="AG78" s="171"/>
      <c r="AH78" s="171"/>
      <c r="AI78" s="171">
        <f>AB78-AJ78-AK78</f>
        <v>0</v>
      </c>
      <c r="AJ78" s="171"/>
      <c r="AK78" s="574"/>
      <c r="AL78" s="592"/>
      <c r="AM78" s="175"/>
      <c r="AP78" s="175"/>
      <c r="AQ78" s="175"/>
      <c r="AR78" s="175"/>
      <c r="AS78" s="593"/>
      <c r="AT78" s="593"/>
      <c r="AU78" s="593"/>
      <c r="AV78" s="593"/>
      <c r="AW78" s="593"/>
      <c r="AX78" s="593"/>
      <c r="AY78" s="593"/>
      <c r="AZ78" s="593"/>
      <c r="BA78" s="593"/>
    </row>
    <row r="79" spans="1:53" s="101" customFormat="1">
      <c r="A79" s="594"/>
      <c r="B79" s="595"/>
      <c r="C79" s="596"/>
      <c r="D79" s="390"/>
      <c r="E79" s="236" t="s">
        <v>352</v>
      </c>
      <c r="F79" s="174">
        <f t="shared" ref="F79:AK79" si="42">SUM(F78:F78)</f>
        <v>2800000</v>
      </c>
      <c r="G79" s="174">
        <f t="shared" si="42"/>
        <v>1500000</v>
      </c>
      <c r="H79" s="174">
        <f t="shared" si="42"/>
        <v>1300000</v>
      </c>
      <c r="I79" s="174">
        <f t="shared" si="42"/>
        <v>1500000</v>
      </c>
      <c r="J79" s="174">
        <f t="shared" si="42"/>
        <v>1300000</v>
      </c>
      <c r="K79" s="174">
        <f t="shared" si="42"/>
        <v>0</v>
      </c>
      <c r="L79" s="174">
        <f t="shared" si="42"/>
        <v>1300000</v>
      </c>
      <c r="M79" s="174">
        <f t="shared" si="42"/>
        <v>0</v>
      </c>
      <c r="N79" s="174">
        <f t="shared" si="42"/>
        <v>1300000</v>
      </c>
      <c r="O79" s="174">
        <f t="shared" si="42"/>
        <v>1300000</v>
      </c>
      <c r="P79" s="174">
        <f t="shared" si="42"/>
        <v>0</v>
      </c>
      <c r="Q79" s="174">
        <f t="shared" si="42"/>
        <v>0</v>
      </c>
      <c r="R79" s="597"/>
      <c r="S79" s="174">
        <f t="shared" ref="S79:Z79" si="43">SUM(S78:S78)</f>
        <v>0</v>
      </c>
      <c r="T79" s="174">
        <f t="shared" si="43"/>
        <v>0</v>
      </c>
      <c r="U79" s="174">
        <f t="shared" si="43"/>
        <v>0</v>
      </c>
      <c r="V79" s="174">
        <f t="shared" si="43"/>
        <v>0</v>
      </c>
      <c r="W79" s="174">
        <f t="shared" si="43"/>
        <v>1300000</v>
      </c>
      <c r="X79" s="174">
        <f t="shared" si="43"/>
        <v>0</v>
      </c>
      <c r="Y79" s="174">
        <f t="shared" si="43"/>
        <v>1300000</v>
      </c>
      <c r="Z79" s="174">
        <f t="shared" si="43"/>
        <v>0</v>
      </c>
      <c r="AA79" s="174">
        <f t="shared" si="42"/>
        <v>1300000</v>
      </c>
      <c r="AB79" s="174">
        <f t="shared" si="42"/>
        <v>0</v>
      </c>
      <c r="AC79" s="174">
        <f t="shared" si="42"/>
        <v>1300000</v>
      </c>
      <c r="AD79" s="174">
        <f t="shared" si="42"/>
        <v>0</v>
      </c>
      <c r="AE79" s="174">
        <f t="shared" si="42"/>
        <v>0</v>
      </c>
      <c r="AF79" s="174">
        <f t="shared" si="42"/>
        <v>0</v>
      </c>
      <c r="AG79" s="174">
        <f t="shared" si="42"/>
        <v>0</v>
      </c>
      <c r="AH79" s="174">
        <f t="shared" si="42"/>
        <v>0</v>
      </c>
      <c r="AI79" s="174">
        <f t="shared" si="42"/>
        <v>0</v>
      </c>
      <c r="AJ79" s="174">
        <f t="shared" si="42"/>
        <v>0</v>
      </c>
      <c r="AK79" s="598">
        <f t="shared" si="42"/>
        <v>0</v>
      </c>
      <c r="AL79" s="249"/>
      <c r="AM79" s="90"/>
      <c r="AP79" s="90"/>
      <c r="AQ79" s="90"/>
      <c r="AR79" s="90"/>
      <c r="AS79" s="228"/>
      <c r="AT79" s="228"/>
      <c r="AU79" s="228"/>
      <c r="AV79" s="228"/>
      <c r="AW79" s="228"/>
      <c r="AX79" s="228"/>
      <c r="AY79" s="228"/>
      <c r="AZ79" s="228"/>
      <c r="BA79" s="228"/>
    </row>
    <row r="80" spans="1:53" s="101" customFormat="1">
      <c r="A80" s="594"/>
      <c r="B80" s="595"/>
      <c r="C80" s="596"/>
      <c r="D80" s="390"/>
      <c r="E80" s="236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597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598"/>
      <c r="AL80" s="249"/>
      <c r="AM80" s="90"/>
      <c r="AP80" s="90"/>
      <c r="AQ80" s="90"/>
      <c r="AR80" s="90"/>
      <c r="AS80" s="228"/>
      <c r="AT80" s="228"/>
      <c r="AU80" s="228"/>
      <c r="AV80" s="228"/>
      <c r="AW80" s="228"/>
      <c r="AX80" s="228"/>
      <c r="AY80" s="228"/>
      <c r="AZ80" s="228"/>
      <c r="BA80" s="228"/>
    </row>
    <row r="81" spans="1:53" s="101" customFormat="1">
      <c r="A81" s="565"/>
      <c r="B81" s="566"/>
      <c r="C81" s="95"/>
      <c r="D81" s="567"/>
      <c r="E81" s="236" t="s">
        <v>1092</v>
      </c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69"/>
      <c r="R81" s="568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569"/>
      <c r="AL81" s="249"/>
      <c r="AM81" s="90"/>
      <c r="AP81" s="90"/>
      <c r="AQ81" s="90"/>
      <c r="AR81" s="90"/>
      <c r="AS81" s="228"/>
      <c r="AT81" s="228"/>
      <c r="AU81" s="228"/>
      <c r="AV81" s="228"/>
      <c r="AW81" s="228"/>
      <c r="AX81" s="228"/>
      <c r="AY81" s="228"/>
      <c r="AZ81" s="228"/>
      <c r="BA81" s="228"/>
    </row>
    <row r="82" spans="1:53" s="380" customFormat="1">
      <c r="A82" s="599" t="s">
        <v>1028</v>
      </c>
      <c r="B82" s="561" t="s">
        <v>1029</v>
      </c>
      <c r="C82" s="571">
        <f>C78+1</f>
        <v>48</v>
      </c>
      <c r="D82" s="600">
        <v>1984</v>
      </c>
      <c r="E82" s="237" t="s">
        <v>1093</v>
      </c>
      <c r="F82" s="171">
        <v>450000</v>
      </c>
      <c r="G82" s="171">
        <v>450000</v>
      </c>
      <c r="H82" s="171">
        <f>F82-G82</f>
        <v>0</v>
      </c>
      <c r="I82" s="171">
        <v>10000</v>
      </c>
      <c r="J82" s="171">
        <v>440000</v>
      </c>
      <c r="K82" s="171">
        <f>F82-I82-J82</f>
        <v>0</v>
      </c>
      <c r="L82" s="171">
        <f>J82</f>
        <v>440000</v>
      </c>
      <c r="M82" s="171">
        <v>380000</v>
      </c>
      <c r="N82" s="171">
        <f>L82-M82</f>
        <v>60000</v>
      </c>
      <c r="O82" s="171">
        <f>N82-P82-Q82</f>
        <v>60000</v>
      </c>
      <c r="P82" s="171"/>
      <c r="Q82" s="171"/>
      <c r="R82" s="573"/>
      <c r="S82" s="171"/>
      <c r="T82" s="171"/>
      <c r="U82" s="171"/>
      <c r="V82" s="171">
        <v>60000</v>
      </c>
      <c r="W82" s="171"/>
      <c r="X82" s="171"/>
      <c r="Y82" s="171">
        <f>SUM(S82:X82)</f>
        <v>60000</v>
      </c>
      <c r="Z82" s="171"/>
      <c r="AA82" s="171">
        <f>Y82+Z82</f>
        <v>60000</v>
      </c>
      <c r="AB82" s="171">
        <f>N82-AA82</f>
        <v>0</v>
      </c>
      <c r="AC82" s="171">
        <f>AA82-AD82-AE82</f>
        <v>60000</v>
      </c>
      <c r="AD82" s="171"/>
      <c r="AE82" s="171"/>
      <c r="AF82" s="171">
        <f>Z82-AG82-AH82</f>
        <v>0</v>
      </c>
      <c r="AG82" s="171"/>
      <c r="AH82" s="171"/>
      <c r="AI82" s="171">
        <f>AB82-AJ82-AK82</f>
        <v>0</v>
      </c>
      <c r="AJ82" s="171"/>
      <c r="AK82" s="574"/>
      <c r="AL82" s="592"/>
      <c r="AM82" s="175"/>
      <c r="AP82" s="175"/>
      <c r="AQ82" s="175"/>
      <c r="AR82" s="175"/>
      <c r="AS82" s="593"/>
      <c r="AT82" s="593"/>
      <c r="AU82" s="593"/>
      <c r="AV82" s="593"/>
      <c r="AW82" s="593"/>
      <c r="AX82" s="593"/>
      <c r="AY82" s="593"/>
      <c r="AZ82" s="593"/>
      <c r="BA82" s="593"/>
    </row>
    <row r="83" spans="1:53" s="101" customFormat="1" ht="31.05" customHeight="1">
      <c r="A83" s="591" t="s">
        <v>1039</v>
      </c>
      <c r="B83" s="561" t="s">
        <v>1040</v>
      </c>
      <c r="C83" s="571">
        <f>C82+1</f>
        <v>49</v>
      </c>
      <c r="D83" s="600">
        <v>2056</v>
      </c>
      <c r="E83" s="237" t="s">
        <v>994</v>
      </c>
      <c r="F83" s="171">
        <v>1400000</v>
      </c>
      <c r="G83" s="171">
        <v>1400000</v>
      </c>
      <c r="H83" s="171">
        <f>F83-G83</f>
        <v>0</v>
      </c>
      <c r="I83" s="171">
        <f>97977+2023</f>
        <v>100000</v>
      </c>
      <c r="J83" s="171">
        <f>160000+320000</f>
        <v>480000</v>
      </c>
      <c r="K83" s="171">
        <f>F83-I83-J83</f>
        <v>820000</v>
      </c>
      <c r="L83" s="171">
        <f>J83</f>
        <v>480000</v>
      </c>
      <c r="M83" s="171">
        <v>160000</v>
      </c>
      <c r="N83" s="171">
        <f>L83-M83</f>
        <v>320000</v>
      </c>
      <c r="O83" s="171">
        <f>N83-P83-Q83</f>
        <v>320000</v>
      </c>
      <c r="P83" s="171"/>
      <c r="Q83" s="171"/>
      <c r="R83" s="237" t="s">
        <v>1094</v>
      </c>
      <c r="S83" s="171"/>
      <c r="T83" s="171"/>
      <c r="U83" s="171"/>
      <c r="V83" s="171"/>
      <c r="W83" s="171">
        <v>320000</v>
      </c>
      <c r="X83" s="171"/>
      <c r="Y83" s="171">
        <f>SUM(S83:X83)</f>
        <v>320000</v>
      </c>
      <c r="Z83" s="171"/>
      <c r="AA83" s="171">
        <f>Y83+Z83</f>
        <v>320000</v>
      </c>
      <c r="AB83" s="171">
        <f>N83-AA83</f>
        <v>0</v>
      </c>
      <c r="AC83" s="171">
        <f>AA83-AD83-AE83</f>
        <v>320000</v>
      </c>
      <c r="AD83" s="171"/>
      <c r="AE83" s="171"/>
      <c r="AF83" s="171">
        <f>Z83-AG83-AH83</f>
        <v>0</v>
      </c>
      <c r="AG83" s="171"/>
      <c r="AH83" s="171"/>
      <c r="AI83" s="171">
        <f>AB83-AJ83-AK83</f>
        <v>0</v>
      </c>
      <c r="AJ83" s="171"/>
      <c r="AK83" s="574"/>
      <c r="AL83" s="249"/>
      <c r="AM83" s="90"/>
      <c r="AP83" s="90"/>
      <c r="AQ83" s="90"/>
      <c r="AR83" s="90"/>
      <c r="AS83" s="228"/>
      <c r="AT83" s="228"/>
      <c r="AU83" s="228"/>
      <c r="AV83" s="228"/>
      <c r="AW83" s="228"/>
      <c r="AX83" s="228"/>
      <c r="AY83" s="228"/>
      <c r="AZ83" s="228"/>
      <c r="BA83" s="228"/>
    </row>
    <row r="84" spans="1:53" s="101" customFormat="1">
      <c r="A84" s="594"/>
      <c r="B84" s="595"/>
      <c r="C84" s="596"/>
      <c r="D84" s="390"/>
      <c r="E84" s="236" t="s">
        <v>1095</v>
      </c>
      <c r="F84" s="174">
        <f>SUM(F82:F83)</f>
        <v>1850000</v>
      </c>
      <c r="G84" s="174">
        <f t="shared" ref="G84:AK84" si="44">SUM(G82:G83)</f>
        <v>1850000</v>
      </c>
      <c r="H84" s="174">
        <f t="shared" si="44"/>
        <v>0</v>
      </c>
      <c r="I84" s="174">
        <f t="shared" si="44"/>
        <v>110000</v>
      </c>
      <c r="J84" s="174">
        <f t="shared" si="44"/>
        <v>920000</v>
      </c>
      <c r="K84" s="174">
        <f t="shared" si="44"/>
        <v>820000</v>
      </c>
      <c r="L84" s="174">
        <f t="shared" si="44"/>
        <v>920000</v>
      </c>
      <c r="M84" s="174">
        <f t="shared" si="44"/>
        <v>540000</v>
      </c>
      <c r="N84" s="174">
        <f t="shared" si="44"/>
        <v>380000</v>
      </c>
      <c r="O84" s="174">
        <f t="shared" si="44"/>
        <v>380000</v>
      </c>
      <c r="P84" s="174">
        <f t="shared" si="44"/>
        <v>0</v>
      </c>
      <c r="Q84" s="174">
        <f t="shared" si="44"/>
        <v>0</v>
      </c>
      <c r="R84" s="174">
        <f t="shared" si="44"/>
        <v>0</v>
      </c>
      <c r="S84" s="174">
        <f t="shared" si="44"/>
        <v>0</v>
      </c>
      <c r="T84" s="174">
        <f t="shared" si="44"/>
        <v>0</v>
      </c>
      <c r="U84" s="174">
        <f t="shared" si="44"/>
        <v>0</v>
      </c>
      <c r="V84" s="174">
        <f t="shared" si="44"/>
        <v>60000</v>
      </c>
      <c r="W84" s="174">
        <f t="shared" si="44"/>
        <v>320000</v>
      </c>
      <c r="X84" s="174">
        <f t="shared" si="44"/>
        <v>0</v>
      </c>
      <c r="Y84" s="174">
        <f t="shared" si="44"/>
        <v>380000</v>
      </c>
      <c r="Z84" s="174">
        <f t="shared" si="44"/>
        <v>0</v>
      </c>
      <c r="AA84" s="174">
        <f t="shared" si="44"/>
        <v>380000</v>
      </c>
      <c r="AB84" s="174">
        <f t="shared" si="44"/>
        <v>0</v>
      </c>
      <c r="AC84" s="174">
        <f t="shared" si="44"/>
        <v>380000</v>
      </c>
      <c r="AD84" s="174">
        <f t="shared" si="44"/>
        <v>0</v>
      </c>
      <c r="AE84" s="174">
        <f t="shared" si="44"/>
        <v>0</v>
      </c>
      <c r="AF84" s="174">
        <f t="shared" si="44"/>
        <v>0</v>
      </c>
      <c r="AG84" s="174">
        <f t="shared" si="44"/>
        <v>0</v>
      </c>
      <c r="AH84" s="174">
        <f t="shared" si="44"/>
        <v>0</v>
      </c>
      <c r="AI84" s="174">
        <f t="shared" si="44"/>
        <v>0</v>
      </c>
      <c r="AJ84" s="174">
        <f t="shared" si="44"/>
        <v>0</v>
      </c>
      <c r="AK84" s="598">
        <f t="shared" si="44"/>
        <v>0</v>
      </c>
      <c r="AL84" s="249"/>
      <c r="AM84" s="90"/>
      <c r="AP84" s="90"/>
      <c r="AQ84" s="90"/>
      <c r="AR84" s="90"/>
      <c r="AS84" s="228"/>
      <c r="AT84" s="228"/>
      <c r="AU84" s="228"/>
      <c r="AV84" s="228"/>
      <c r="AW84" s="228"/>
      <c r="AX84" s="228"/>
      <c r="AY84" s="228"/>
      <c r="AZ84" s="228"/>
      <c r="BA84" s="228"/>
    </row>
    <row r="85" spans="1:53" s="101" customFormat="1">
      <c r="A85" s="594"/>
      <c r="B85" s="595"/>
      <c r="C85" s="596"/>
      <c r="D85" s="390"/>
      <c r="E85" s="236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597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598"/>
      <c r="AL85" s="249"/>
      <c r="AM85" s="90"/>
      <c r="AP85" s="90"/>
      <c r="AQ85" s="90"/>
      <c r="AR85" s="90"/>
      <c r="AS85" s="228"/>
      <c r="AT85" s="228"/>
      <c r="AU85" s="228"/>
      <c r="AV85" s="228"/>
      <c r="AW85" s="228"/>
      <c r="AX85" s="228"/>
      <c r="AY85" s="228"/>
      <c r="AZ85" s="228"/>
      <c r="BA85" s="228"/>
    </row>
    <row r="86" spans="1:53" s="101" customFormat="1">
      <c r="A86" s="591"/>
      <c r="B86" s="566"/>
      <c r="C86" s="95"/>
      <c r="D86" s="567"/>
      <c r="E86" s="236" t="s">
        <v>341</v>
      </c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69"/>
      <c r="R86" s="568"/>
      <c r="S86" s="169"/>
      <c r="T86" s="169"/>
      <c r="U86" s="169"/>
      <c r="V86" s="169"/>
      <c r="W86" s="169"/>
      <c r="X86" s="169"/>
      <c r="Y86" s="171">
        <f>SUM(S86:X86)</f>
        <v>0</v>
      </c>
      <c r="Z86" s="171"/>
      <c r="AA86" s="171">
        <f>Y86+Z86</f>
        <v>0</v>
      </c>
      <c r="AB86" s="171">
        <f>N86-AA86</f>
        <v>0</v>
      </c>
      <c r="AC86" s="171">
        <f>AA86-AD86-AE86</f>
        <v>0</v>
      </c>
      <c r="AD86" s="171"/>
      <c r="AE86" s="171"/>
      <c r="AF86" s="171">
        <f>Z86-AG86-AH86</f>
        <v>0</v>
      </c>
      <c r="AG86" s="171"/>
      <c r="AH86" s="171"/>
      <c r="AI86" s="171">
        <f>AB86-AJ86-AK86</f>
        <v>0</v>
      </c>
      <c r="AJ86" s="171"/>
      <c r="AK86" s="574"/>
      <c r="AL86" s="249"/>
      <c r="AM86" s="90"/>
      <c r="AP86" s="90"/>
      <c r="AQ86" s="90"/>
      <c r="AR86" s="90"/>
      <c r="AS86" s="228"/>
      <c r="AT86" s="228"/>
      <c r="AU86" s="228"/>
      <c r="AV86" s="228"/>
      <c r="AW86" s="228"/>
      <c r="AX86" s="228"/>
      <c r="AY86" s="228"/>
      <c r="AZ86" s="228"/>
      <c r="BA86" s="228"/>
    </row>
    <row r="87" spans="1:53" s="380" customFormat="1" ht="31.2">
      <c r="A87" s="591" t="s">
        <v>1035</v>
      </c>
      <c r="B87" s="561" t="s">
        <v>1036</v>
      </c>
      <c r="C87" s="571">
        <f>C83+1</f>
        <v>50</v>
      </c>
      <c r="D87" s="170">
        <v>1986</v>
      </c>
      <c r="E87" s="237" t="s">
        <v>1096</v>
      </c>
      <c r="F87" s="171">
        <f>6400000-2380273</f>
        <v>4019727</v>
      </c>
      <c r="G87" s="171">
        <v>6400000</v>
      </c>
      <c r="H87" s="171">
        <f>F87-G87</f>
        <v>-2380273</v>
      </c>
      <c r="I87" s="171">
        <f>3167958+851769+2380273</f>
        <v>6400000</v>
      </c>
      <c r="J87" s="171">
        <v>-2380273</v>
      </c>
      <c r="K87" s="171">
        <f>F87-I87-J87</f>
        <v>0</v>
      </c>
      <c r="L87" s="171">
        <f>J87</f>
        <v>-2380273</v>
      </c>
      <c r="M87" s="171">
        <v>-2380273</v>
      </c>
      <c r="N87" s="171">
        <f>L87-M87</f>
        <v>0</v>
      </c>
      <c r="O87" s="171">
        <f>N87-P87-Q87</f>
        <v>-53995</v>
      </c>
      <c r="P87" s="171">
        <v>-96005</v>
      </c>
      <c r="Q87" s="171">
        <v>150000</v>
      </c>
      <c r="R87" s="573"/>
      <c r="S87" s="171"/>
      <c r="T87" s="171"/>
      <c r="U87" s="238"/>
      <c r="V87" s="169"/>
      <c r="W87" s="169"/>
      <c r="X87" s="169"/>
      <c r="Y87" s="171">
        <f>SUM(S87:X87)</f>
        <v>0</v>
      </c>
      <c r="Z87" s="171"/>
      <c r="AA87" s="171">
        <f>Y87+Z87</f>
        <v>0</v>
      </c>
      <c r="AB87" s="171">
        <f>N87-AA87</f>
        <v>0</v>
      </c>
      <c r="AC87" s="171">
        <f>AA87-AD87-AE87</f>
        <v>-53995</v>
      </c>
      <c r="AD87" s="171">
        <v>-96005</v>
      </c>
      <c r="AE87" s="171">
        <v>150000</v>
      </c>
      <c r="AF87" s="171">
        <f>Z87-AG87-AH87</f>
        <v>0</v>
      </c>
      <c r="AG87" s="171"/>
      <c r="AH87" s="171"/>
      <c r="AI87" s="171">
        <f>AB87-AJ87-AK87</f>
        <v>0</v>
      </c>
      <c r="AJ87" s="171"/>
      <c r="AK87" s="574"/>
      <c r="AL87" s="592"/>
      <c r="AM87" s="175"/>
      <c r="AP87" s="175"/>
      <c r="AQ87" s="175"/>
      <c r="AR87" s="175"/>
      <c r="AS87" s="593"/>
      <c r="AT87" s="593"/>
      <c r="AU87" s="593"/>
      <c r="AV87" s="593"/>
      <c r="AW87" s="593"/>
      <c r="AX87" s="593"/>
      <c r="AY87" s="593"/>
      <c r="AZ87" s="593"/>
      <c r="BA87" s="593"/>
    </row>
    <row r="88" spans="1:53" s="101" customFormat="1" ht="31.05" customHeight="1">
      <c r="A88" s="591" t="s">
        <v>1039</v>
      </c>
      <c r="B88" s="561" t="s">
        <v>1040</v>
      </c>
      <c r="C88" s="95">
        <f>1+C87</f>
        <v>51</v>
      </c>
      <c r="D88" s="600">
        <v>1986</v>
      </c>
      <c r="E88" s="237" t="s">
        <v>202</v>
      </c>
      <c r="F88" s="171">
        <f>4019727-651000</f>
        <v>3368727</v>
      </c>
      <c r="G88" s="171">
        <v>4019727</v>
      </c>
      <c r="H88" s="171">
        <f>F88-G88</f>
        <v>-651000</v>
      </c>
      <c r="I88" s="171">
        <v>6400000</v>
      </c>
      <c r="J88" s="171">
        <f>-2380273-236000-415000</f>
        <v>-3031273</v>
      </c>
      <c r="K88" s="171">
        <f>F88-I88-J88</f>
        <v>0</v>
      </c>
      <c r="L88" s="171">
        <f>J88</f>
        <v>-3031273</v>
      </c>
      <c r="M88" s="171">
        <v>-2380273</v>
      </c>
      <c r="N88" s="171">
        <f>L88-M88</f>
        <v>-651000</v>
      </c>
      <c r="O88" s="171">
        <f>N88-P88-Q88</f>
        <v>-236000</v>
      </c>
      <c r="P88" s="171">
        <v>-415000</v>
      </c>
      <c r="Q88" s="171"/>
      <c r="R88" s="237" t="s">
        <v>1097</v>
      </c>
      <c r="S88" s="171"/>
      <c r="T88" s="171"/>
      <c r="U88" s="171"/>
      <c r="V88" s="171"/>
      <c r="W88" s="171">
        <v>-651000</v>
      </c>
      <c r="X88" s="171"/>
      <c r="Y88" s="171">
        <f>SUM(S88:X88)</f>
        <v>-651000</v>
      </c>
      <c r="Z88" s="171"/>
      <c r="AA88" s="171">
        <f>Y88+Z88</f>
        <v>-651000</v>
      </c>
      <c r="AB88" s="171">
        <f>N88-AA88</f>
        <v>0</v>
      </c>
      <c r="AC88" s="171">
        <f>AA88-AD88-AE88</f>
        <v>-236000</v>
      </c>
      <c r="AD88" s="171">
        <v>-415000</v>
      </c>
      <c r="AE88" s="171"/>
      <c r="AF88" s="171">
        <f>Z88-AG88-AH88</f>
        <v>0</v>
      </c>
      <c r="AG88" s="171"/>
      <c r="AH88" s="171"/>
      <c r="AI88" s="171">
        <f>AB88-AJ88-AK88</f>
        <v>0</v>
      </c>
      <c r="AJ88" s="171"/>
      <c r="AK88" s="574"/>
      <c r="AL88" s="249"/>
      <c r="AM88" s="90"/>
      <c r="AP88" s="90"/>
      <c r="AQ88" s="90"/>
      <c r="AR88" s="90"/>
      <c r="AS88" s="228"/>
      <c r="AT88" s="228"/>
      <c r="AU88" s="228"/>
      <c r="AV88" s="228"/>
      <c r="AW88" s="228"/>
      <c r="AX88" s="228"/>
      <c r="AY88" s="228"/>
      <c r="AZ88" s="228"/>
      <c r="BA88" s="228"/>
    </row>
    <row r="89" spans="1:53" s="380" customFormat="1" ht="46.8">
      <c r="A89" s="599" t="s">
        <v>1031</v>
      </c>
      <c r="B89" s="561"/>
      <c r="C89" s="571">
        <f>1+C88</f>
        <v>52</v>
      </c>
      <c r="D89" s="600">
        <v>1130</v>
      </c>
      <c r="E89" s="237" t="s">
        <v>1098</v>
      </c>
      <c r="F89" s="171">
        <v>16000000</v>
      </c>
      <c r="G89" s="171">
        <v>16000000</v>
      </c>
      <c r="H89" s="171">
        <f>F89-G89</f>
        <v>0</v>
      </c>
      <c r="I89" s="171">
        <f>12277849+504045</f>
        <v>12781894</v>
      </c>
      <c r="J89" s="171">
        <v>700000</v>
      </c>
      <c r="K89" s="171">
        <f>F89-I89-J89</f>
        <v>2518106</v>
      </c>
      <c r="L89" s="171">
        <f>J89</f>
        <v>700000</v>
      </c>
      <c r="M89" s="171">
        <v>700000</v>
      </c>
      <c r="N89" s="171">
        <f>L89-M89</f>
        <v>0</v>
      </c>
      <c r="O89" s="171">
        <f>N89-P89-Q89</f>
        <v>-105000</v>
      </c>
      <c r="P89" s="171"/>
      <c r="Q89" s="171">
        <v>105000</v>
      </c>
      <c r="R89" s="237" t="s">
        <v>1099</v>
      </c>
      <c r="S89" s="602"/>
      <c r="T89" s="602"/>
      <c r="U89" s="602"/>
      <c r="V89" s="602"/>
      <c r="W89" s="602"/>
      <c r="X89" s="602"/>
      <c r="Y89" s="171">
        <f>SUM(S89:X89)</f>
        <v>0</v>
      </c>
      <c r="Z89" s="238"/>
      <c r="AA89" s="171">
        <f>Y89+Z89</f>
        <v>0</v>
      </c>
      <c r="AB89" s="171">
        <f>N89-AA89</f>
        <v>0</v>
      </c>
      <c r="AC89" s="171">
        <f>AA89-AD89-AE89</f>
        <v>-105000</v>
      </c>
      <c r="AD89" s="171"/>
      <c r="AE89" s="171">
        <v>105000</v>
      </c>
      <c r="AF89" s="171">
        <f>Z89-AG89-AH89</f>
        <v>-105000</v>
      </c>
      <c r="AG89" s="171"/>
      <c r="AH89" s="171">
        <v>105000</v>
      </c>
      <c r="AI89" s="171">
        <f>AB89-AJ89-AK89</f>
        <v>0</v>
      </c>
      <c r="AJ89" s="171"/>
      <c r="AK89" s="574"/>
      <c r="AL89" s="593"/>
      <c r="AM89" s="593"/>
      <c r="AN89" s="593"/>
      <c r="AO89" s="593"/>
    </row>
    <row r="90" spans="1:53" s="101" customFormat="1">
      <c r="A90" s="594"/>
      <c r="B90" s="595"/>
      <c r="C90" s="596"/>
      <c r="D90" s="390"/>
      <c r="E90" s="236" t="s">
        <v>617</v>
      </c>
      <c r="F90" s="174">
        <f>SUM(F87:F89)</f>
        <v>23388454</v>
      </c>
      <c r="G90" s="174">
        <f t="shared" ref="G90:AK90" si="45">SUM(G87:G89)</f>
        <v>26419727</v>
      </c>
      <c r="H90" s="174">
        <f t="shared" si="45"/>
        <v>-3031273</v>
      </c>
      <c r="I90" s="174">
        <f t="shared" si="45"/>
        <v>25581894</v>
      </c>
      <c r="J90" s="174">
        <f t="shared" si="45"/>
        <v>-4711546</v>
      </c>
      <c r="K90" s="174">
        <f t="shared" si="45"/>
        <v>2518106</v>
      </c>
      <c r="L90" s="174">
        <f t="shared" si="45"/>
        <v>-4711546</v>
      </c>
      <c r="M90" s="174">
        <f t="shared" si="45"/>
        <v>-4060546</v>
      </c>
      <c r="N90" s="174">
        <f t="shared" si="45"/>
        <v>-651000</v>
      </c>
      <c r="O90" s="174">
        <f t="shared" si="45"/>
        <v>-394995</v>
      </c>
      <c r="P90" s="174">
        <f t="shared" si="45"/>
        <v>-511005</v>
      </c>
      <c r="Q90" s="174">
        <f t="shared" si="45"/>
        <v>255000</v>
      </c>
      <c r="R90" s="174">
        <f t="shared" si="45"/>
        <v>0</v>
      </c>
      <c r="S90" s="174">
        <f t="shared" si="45"/>
        <v>0</v>
      </c>
      <c r="T90" s="174">
        <f t="shared" si="45"/>
        <v>0</v>
      </c>
      <c r="U90" s="174">
        <f t="shared" si="45"/>
        <v>0</v>
      </c>
      <c r="V90" s="174">
        <f t="shared" si="45"/>
        <v>0</v>
      </c>
      <c r="W90" s="174">
        <f t="shared" si="45"/>
        <v>-651000</v>
      </c>
      <c r="X90" s="174">
        <f t="shared" si="45"/>
        <v>0</v>
      </c>
      <c r="Y90" s="174">
        <f t="shared" si="45"/>
        <v>-651000</v>
      </c>
      <c r="Z90" s="174">
        <f t="shared" si="45"/>
        <v>0</v>
      </c>
      <c r="AA90" s="174">
        <f t="shared" si="45"/>
        <v>-651000</v>
      </c>
      <c r="AB90" s="174">
        <f t="shared" si="45"/>
        <v>0</v>
      </c>
      <c r="AC90" s="174">
        <f t="shared" si="45"/>
        <v>-394995</v>
      </c>
      <c r="AD90" s="174">
        <f t="shared" si="45"/>
        <v>-511005</v>
      </c>
      <c r="AE90" s="174">
        <f t="shared" si="45"/>
        <v>255000</v>
      </c>
      <c r="AF90" s="174">
        <f t="shared" si="45"/>
        <v>-105000</v>
      </c>
      <c r="AG90" s="174">
        <f t="shared" si="45"/>
        <v>0</v>
      </c>
      <c r="AH90" s="174">
        <f t="shared" si="45"/>
        <v>105000</v>
      </c>
      <c r="AI90" s="174">
        <f t="shared" si="45"/>
        <v>0</v>
      </c>
      <c r="AJ90" s="174">
        <f t="shared" si="45"/>
        <v>0</v>
      </c>
      <c r="AK90" s="598">
        <f t="shared" si="45"/>
        <v>0</v>
      </c>
      <c r="AL90" s="249"/>
      <c r="AM90" s="90"/>
      <c r="AP90" s="90"/>
      <c r="AQ90" s="90"/>
      <c r="AR90" s="90"/>
      <c r="AS90" s="228"/>
      <c r="AT90" s="228"/>
      <c r="AU90" s="228"/>
      <c r="AV90" s="228"/>
      <c r="AW90" s="228"/>
      <c r="AX90" s="228"/>
      <c r="AY90" s="228"/>
      <c r="AZ90" s="228"/>
      <c r="BA90" s="228"/>
    </row>
    <row r="91" spans="1:53" s="101" customFormat="1">
      <c r="A91" s="591"/>
      <c r="B91" s="561"/>
      <c r="C91" s="596"/>
      <c r="D91" s="390"/>
      <c r="E91" s="236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597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4"/>
      <c r="AJ91" s="174"/>
      <c r="AK91" s="598"/>
      <c r="AL91" s="249"/>
      <c r="AM91" s="90"/>
      <c r="AP91" s="90"/>
      <c r="AQ91" s="90"/>
      <c r="AR91" s="90"/>
      <c r="AS91" s="228"/>
      <c r="AT91" s="228"/>
      <c r="AU91" s="228"/>
      <c r="AV91" s="228"/>
      <c r="AW91" s="228"/>
      <c r="AX91" s="228"/>
      <c r="AY91" s="228"/>
      <c r="AZ91" s="228"/>
      <c r="BA91" s="228"/>
    </row>
    <row r="92" spans="1:53" s="239" customFormat="1" ht="36.6">
      <c r="A92" s="603"/>
      <c r="B92" s="604" t="s">
        <v>1100</v>
      </c>
      <c r="C92" s="605">
        <f>C89</f>
        <v>52</v>
      </c>
      <c r="D92" s="390"/>
      <c r="E92" s="802" t="s">
        <v>279</v>
      </c>
      <c r="F92" s="174">
        <f t="shared" ref="F92:AK92" si="46">F10+F22+F43+F49+F57+F63+F68+F75+F79+F84+F90</f>
        <v>366875032</v>
      </c>
      <c r="G92" s="174">
        <f t="shared" si="46"/>
        <v>330319727</v>
      </c>
      <c r="H92" s="174">
        <f t="shared" si="46"/>
        <v>36555305</v>
      </c>
      <c r="I92" s="174">
        <f t="shared" si="46"/>
        <v>212172594</v>
      </c>
      <c r="J92" s="174">
        <f t="shared" si="46"/>
        <v>86521332</v>
      </c>
      <c r="K92" s="174">
        <f t="shared" si="46"/>
        <v>68181106</v>
      </c>
      <c r="L92" s="174">
        <f t="shared" si="46"/>
        <v>86521332</v>
      </c>
      <c r="M92" s="174">
        <f t="shared" si="46"/>
        <v>58726754</v>
      </c>
      <c r="N92" s="174">
        <f t="shared" si="46"/>
        <v>27794578</v>
      </c>
      <c r="O92" s="174">
        <f t="shared" si="46"/>
        <v>11051206</v>
      </c>
      <c r="P92" s="174">
        <f t="shared" si="46"/>
        <v>9022647</v>
      </c>
      <c r="Q92" s="174">
        <f t="shared" si="46"/>
        <v>7720725</v>
      </c>
      <c r="R92" s="174">
        <f t="shared" si="46"/>
        <v>0</v>
      </c>
      <c r="S92" s="174">
        <f t="shared" si="46"/>
        <v>221000</v>
      </c>
      <c r="T92" s="174">
        <f t="shared" si="46"/>
        <v>-27571</v>
      </c>
      <c r="U92" s="174">
        <f t="shared" si="46"/>
        <v>0</v>
      </c>
      <c r="V92" s="174">
        <f t="shared" si="46"/>
        <v>13110923</v>
      </c>
      <c r="W92" s="174">
        <f t="shared" si="46"/>
        <v>8837000</v>
      </c>
      <c r="X92" s="174">
        <f t="shared" si="46"/>
        <v>5640000</v>
      </c>
      <c r="Y92" s="174">
        <f t="shared" si="46"/>
        <v>27781352</v>
      </c>
      <c r="Z92" s="174">
        <f t="shared" si="46"/>
        <v>545226</v>
      </c>
      <c r="AA92" s="174">
        <f t="shared" si="46"/>
        <v>28326578</v>
      </c>
      <c r="AB92" s="174">
        <f t="shared" si="46"/>
        <v>-532000</v>
      </c>
      <c r="AC92" s="174">
        <f t="shared" si="46"/>
        <v>13693679</v>
      </c>
      <c r="AD92" s="174">
        <f t="shared" si="46"/>
        <v>7945419</v>
      </c>
      <c r="AE92" s="174">
        <f t="shared" si="46"/>
        <v>6687480</v>
      </c>
      <c r="AF92" s="174">
        <f t="shared" si="46"/>
        <v>-3116335</v>
      </c>
      <c r="AG92" s="174">
        <f t="shared" si="46"/>
        <v>0</v>
      </c>
      <c r="AH92" s="174">
        <f t="shared" si="46"/>
        <v>3661561</v>
      </c>
      <c r="AI92" s="174">
        <f t="shared" si="46"/>
        <v>823000</v>
      </c>
      <c r="AJ92" s="174">
        <f t="shared" si="46"/>
        <v>-1487000</v>
      </c>
      <c r="AK92" s="598">
        <f t="shared" si="46"/>
        <v>132000</v>
      </c>
      <c r="AL92" s="249"/>
      <c r="AM92" s="90"/>
      <c r="AP92" s="90"/>
      <c r="AQ92" s="90"/>
      <c r="AR92" s="90"/>
      <c r="AS92" s="228"/>
      <c r="AT92" s="228"/>
      <c r="AU92" s="228"/>
      <c r="AV92" s="228"/>
      <c r="AW92" s="228"/>
      <c r="AX92" s="228"/>
      <c r="AY92" s="228"/>
      <c r="AZ92" s="228"/>
      <c r="BA92" s="228"/>
    </row>
    <row r="93" spans="1:53" s="101" customFormat="1" ht="23.4" thickBot="1">
      <c r="A93" s="606"/>
      <c r="B93" s="607"/>
      <c r="C93" s="608"/>
      <c r="D93" s="609"/>
      <c r="E93" s="610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611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10"/>
      <c r="AL93" s="249"/>
      <c r="AM93" s="90"/>
      <c r="AP93" s="90"/>
      <c r="AQ93" s="90"/>
      <c r="AR93" s="90"/>
      <c r="AS93" s="228"/>
      <c r="AT93" s="228"/>
      <c r="AU93" s="228"/>
      <c r="AV93" s="228"/>
      <c r="AW93" s="228"/>
      <c r="AX93" s="228"/>
      <c r="AY93" s="228"/>
      <c r="AZ93" s="228"/>
      <c r="BA93" s="228"/>
    </row>
    <row r="94" spans="1:53" s="101" customFormat="1">
      <c r="A94" s="381"/>
      <c r="B94" s="612"/>
      <c r="C94" s="612"/>
      <c r="D94" s="613"/>
      <c r="E94" s="614"/>
      <c r="F94" s="615"/>
      <c r="G94" s="615"/>
      <c r="H94" s="615"/>
      <c r="I94" s="615"/>
      <c r="J94" s="615"/>
      <c r="K94" s="615"/>
      <c r="L94" s="615"/>
      <c r="M94" s="615"/>
      <c r="N94" s="615"/>
      <c r="O94" s="615"/>
      <c r="P94" s="615"/>
      <c r="Q94" s="615"/>
      <c r="R94" s="616"/>
      <c r="S94" s="615"/>
      <c r="T94" s="615"/>
      <c r="U94" s="615"/>
      <c r="V94" s="615"/>
      <c r="W94" s="615"/>
      <c r="X94" s="615"/>
      <c r="Y94" s="615"/>
      <c r="Z94" s="615"/>
      <c r="AA94" s="615"/>
      <c r="AB94" s="615"/>
      <c r="AC94" s="615"/>
      <c r="AD94" s="615"/>
      <c r="AE94" s="615"/>
      <c r="AF94" s="615"/>
      <c r="AG94" s="615"/>
      <c r="AH94" s="615"/>
      <c r="AI94" s="615"/>
      <c r="AJ94" s="615"/>
      <c r="AK94" s="615"/>
      <c r="AL94" s="249"/>
      <c r="AM94" s="90"/>
      <c r="AP94" s="90"/>
      <c r="AQ94" s="90"/>
      <c r="AR94" s="90"/>
      <c r="AS94" s="228"/>
      <c r="AT94" s="228"/>
      <c r="AU94" s="228"/>
      <c r="AV94" s="228"/>
      <c r="AW94" s="228"/>
      <c r="AX94" s="228"/>
      <c r="AY94" s="228"/>
      <c r="AZ94" s="228"/>
      <c r="BA94" s="228"/>
    </row>
    <row r="95" spans="1:53">
      <c r="X95" s="174">
        <f>'ריכוז אגפים'!P19</f>
        <v>6185226</v>
      </c>
    </row>
  </sheetData>
  <mergeCells count="3">
    <mergeCell ref="F4:K4"/>
    <mergeCell ref="O4:Q4"/>
    <mergeCell ref="AI4:AK4"/>
  </mergeCells>
  <printOptions horizontalCentered="1"/>
  <pageMargins left="0" right="0" top="1.3779527559055118" bottom="0.55118110236220474" header="0.9055118110236221" footer="0.31496062992125984"/>
  <pageSetup paperSize="9" scale="85" fitToWidth="0" fitToHeight="0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2"/>
  <sheetViews>
    <sheetView rightToLeft="1" tabSelected="1" zoomScaleNormal="100" workbookViewId="0">
      <selection activeCell="Q24" sqref="Q24"/>
    </sheetView>
  </sheetViews>
  <sheetFormatPr defaultColWidth="9.109375" defaultRowHeight="13.8"/>
  <cols>
    <col min="1" max="1" width="9.5546875" style="334" customWidth="1"/>
    <col min="2" max="2" width="48.33203125" style="210" customWidth="1"/>
    <col min="3" max="3" width="18.6640625" style="192" customWidth="1"/>
    <col min="4" max="4" width="21.5546875" style="246" customWidth="1"/>
    <col min="5" max="5" width="5" style="246" customWidth="1"/>
    <col min="6" max="6" width="29.44140625" style="246" customWidth="1"/>
    <col min="7" max="7" width="12.6640625" style="246" customWidth="1"/>
    <col min="8" max="16384" width="9.109375" style="254"/>
  </cols>
  <sheetData>
    <row r="2" spans="1:7" ht="18">
      <c r="A2" s="248" t="s">
        <v>391</v>
      </c>
      <c r="B2" s="459"/>
      <c r="C2" s="240"/>
      <c r="F2" s="254"/>
      <c r="G2" s="254"/>
    </row>
    <row r="3" spans="1:7" ht="18">
      <c r="A3" s="248" t="s">
        <v>1420</v>
      </c>
      <c r="B3" s="1"/>
      <c r="C3" s="246"/>
      <c r="F3" s="254"/>
      <c r="G3" s="254"/>
    </row>
    <row r="4" spans="1:7" ht="18">
      <c r="A4" s="329"/>
      <c r="B4" s="400"/>
      <c r="C4" s="329"/>
    </row>
    <row r="5" spans="1:7" ht="15" customHeight="1">
      <c r="A5" s="17" t="s">
        <v>1</v>
      </c>
      <c r="B5" s="17" t="s">
        <v>2</v>
      </c>
      <c r="C5" s="17" t="s">
        <v>3</v>
      </c>
    </row>
    <row r="6" spans="1:7">
      <c r="A6" s="340">
        <v>1912</v>
      </c>
      <c r="B6" s="198" t="s">
        <v>1148</v>
      </c>
      <c r="C6" s="199">
        <v>310000000</v>
      </c>
    </row>
    <row r="7" spans="1:7">
      <c r="A7" s="340">
        <v>1909</v>
      </c>
      <c r="B7" s="198" t="s">
        <v>1325</v>
      </c>
      <c r="C7" s="199">
        <v>184500000</v>
      </c>
    </row>
    <row r="8" spans="1:7" ht="15" customHeight="1">
      <c r="A8" s="198">
        <v>1547</v>
      </c>
      <c r="B8" s="198" t="s">
        <v>1145</v>
      </c>
      <c r="C8" s="199">
        <v>144000000</v>
      </c>
    </row>
    <row r="9" spans="1:7" ht="15" customHeight="1">
      <c r="A9" s="340">
        <v>1919</v>
      </c>
      <c r="B9" s="198" t="s">
        <v>161</v>
      </c>
      <c r="C9" s="199">
        <v>135100000</v>
      </c>
    </row>
    <row r="10" spans="1:7" ht="15" customHeight="1">
      <c r="A10" s="340">
        <v>1961</v>
      </c>
      <c r="B10" s="198" t="s">
        <v>206</v>
      </c>
      <c r="C10" s="199">
        <v>128000000</v>
      </c>
    </row>
    <row r="11" spans="1:7" ht="15" customHeight="1">
      <c r="A11" s="198">
        <v>1312</v>
      </c>
      <c r="B11" s="198" t="s">
        <v>38</v>
      </c>
      <c r="C11" s="199">
        <v>109500000</v>
      </c>
    </row>
    <row r="12" spans="1:7">
      <c r="A12" s="340">
        <v>1827</v>
      </c>
      <c r="B12" s="198" t="s">
        <v>1146</v>
      </c>
      <c r="C12" s="199">
        <v>100000000</v>
      </c>
    </row>
    <row r="13" spans="1:7" ht="15" customHeight="1">
      <c r="A13" s="198">
        <v>532</v>
      </c>
      <c r="B13" s="198" t="s">
        <v>96</v>
      </c>
      <c r="C13" s="199">
        <v>80090000</v>
      </c>
    </row>
    <row r="14" spans="1:7">
      <c r="A14" s="3">
        <v>2011</v>
      </c>
      <c r="B14" s="3" t="s">
        <v>357</v>
      </c>
      <c r="C14" s="4">
        <v>80000000</v>
      </c>
    </row>
    <row r="15" spans="1:7" ht="15" customHeight="1">
      <c r="A15" s="39">
        <v>2097</v>
      </c>
      <c r="B15" s="198" t="s">
        <v>478</v>
      </c>
      <c r="C15" s="199">
        <v>79000000</v>
      </c>
    </row>
    <row r="16" spans="1:7">
      <c r="A16" s="198">
        <v>1443</v>
      </c>
      <c r="B16" s="198" t="s">
        <v>101</v>
      </c>
      <c r="C16" s="199">
        <v>78500000</v>
      </c>
    </row>
    <row r="17" spans="1:3">
      <c r="A17" s="198">
        <v>382</v>
      </c>
      <c r="B17" s="198" t="s">
        <v>885</v>
      </c>
      <c r="C17" s="199">
        <v>72881330</v>
      </c>
    </row>
    <row r="18" spans="1:3">
      <c r="A18" s="198">
        <v>1835</v>
      </c>
      <c r="B18" s="198" t="s">
        <v>760</v>
      </c>
      <c r="C18" s="199">
        <f>58000000+12000000</f>
        <v>70000000</v>
      </c>
    </row>
    <row r="19" spans="1:3" ht="15" customHeight="1">
      <c r="A19" s="198">
        <v>1657</v>
      </c>
      <c r="B19" s="198" t="s">
        <v>30</v>
      </c>
      <c r="C19" s="199">
        <v>60000000</v>
      </c>
    </row>
    <row r="20" spans="1:3">
      <c r="A20" s="198">
        <v>1834</v>
      </c>
      <c r="B20" s="198" t="s">
        <v>146</v>
      </c>
      <c r="C20" s="199">
        <v>60000000</v>
      </c>
    </row>
    <row r="21" spans="1:3">
      <c r="A21" s="340">
        <v>1957</v>
      </c>
      <c r="B21" s="198" t="s">
        <v>465</v>
      </c>
      <c r="C21" s="199">
        <v>60000000</v>
      </c>
    </row>
    <row r="22" spans="1:3" ht="15" customHeight="1">
      <c r="A22" s="198">
        <v>576</v>
      </c>
      <c r="B22" s="198" t="s">
        <v>97</v>
      </c>
      <c r="C22" s="199">
        <f>55113000+3000000</f>
        <v>58113000</v>
      </c>
    </row>
    <row r="23" spans="1:3" ht="15" customHeight="1">
      <c r="A23" s="198">
        <v>634</v>
      </c>
      <c r="B23" s="198" t="s">
        <v>758</v>
      </c>
      <c r="C23" s="199">
        <f>57250000-900000</f>
        <v>56350000</v>
      </c>
    </row>
    <row r="24" spans="1:3">
      <c r="A24" s="198">
        <v>1207</v>
      </c>
      <c r="B24" s="198" t="s">
        <v>99</v>
      </c>
      <c r="C24" s="199">
        <v>50650000</v>
      </c>
    </row>
    <row r="25" spans="1:3" ht="15" customHeight="1">
      <c r="A25" s="198">
        <v>1588</v>
      </c>
      <c r="B25" s="198" t="s">
        <v>28</v>
      </c>
      <c r="C25" s="199">
        <v>50500000</v>
      </c>
    </row>
    <row r="26" spans="1:3" ht="15" customHeight="1">
      <c r="A26" s="198">
        <v>1375</v>
      </c>
      <c r="B26" s="198" t="s">
        <v>759</v>
      </c>
      <c r="C26" s="199">
        <v>40150000</v>
      </c>
    </row>
    <row r="27" spans="1:3" ht="15" customHeight="1">
      <c r="A27" s="198">
        <v>1825</v>
      </c>
      <c r="B27" s="198" t="s">
        <v>596</v>
      </c>
      <c r="C27" s="199">
        <v>39000000</v>
      </c>
    </row>
    <row r="28" spans="1:3" ht="15" customHeight="1">
      <c r="A28" s="198">
        <v>1403</v>
      </c>
      <c r="B28" s="198" t="s">
        <v>461</v>
      </c>
      <c r="C28" s="199">
        <f>31750000+4500000</f>
        <v>36250000</v>
      </c>
    </row>
    <row r="29" spans="1:3" ht="15" customHeight="1">
      <c r="A29" s="198">
        <v>1965</v>
      </c>
      <c r="B29" s="198" t="s">
        <v>486</v>
      </c>
      <c r="C29" s="199">
        <v>35000000</v>
      </c>
    </row>
    <row r="30" spans="1:3">
      <c r="A30" s="198">
        <v>1238</v>
      </c>
      <c r="B30" s="198" t="s">
        <v>100</v>
      </c>
      <c r="C30" s="199">
        <v>32940000</v>
      </c>
    </row>
    <row r="31" spans="1:3">
      <c r="A31" s="198">
        <v>2017</v>
      </c>
      <c r="B31" s="198" t="s">
        <v>468</v>
      </c>
      <c r="C31" s="199">
        <v>30000000</v>
      </c>
    </row>
    <row r="32" spans="1:3" ht="15" customHeight="1">
      <c r="A32" s="39" t="s">
        <v>1116</v>
      </c>
      <c r="B32" s="3" t="s">
        <v>1151</v>
      </c>
      <c r="C32" s="4">
        <v>30000000</v>
      </c>
    </row>
    <row r="33" spans="1:3">
      <c r="A33" s="340">
        <v>1911</v>
      </c>
      <c r="B33" s="198" t="s">
        <v>482</v>
      </c>
      <c r="C33" s="199">
        <f>29050000</f>
        <v>29050000</v>
      </c>
    </row>
    <row r="34" spans="1:3">
      <c r="A34" s="340">
        <v>1833</v>
      </c>
      <c r="B34" s="198" t="s">
        <v>156</v>
      </c>
      <c r="C34" s="199">
        <v>29000000</v>
      </c>
    </row>
    <row r="35" spans="1:3">
      <c r="A35" s="198">
        <v>1615</v>
      </c>
      <c r="B35" s="198" t="s">
        <v>151</v>
      </c>
      <c r="C35" s="199">
        <v>27700000</v>
      </c>
    </row>
    <row r="36" spans="1:3">
      <c r="A36" s="3">
        <v>1357</v>
      </c>
      <c r="B36" s="3" t="s">
        <v>54</v>
      </c>
      <c r="C36" s="4">
        <v>25000000</v>
      </c>
    </row>
    <row r="37" spans="1:3">
      <c r="A37" s="198">
        <v>2015</v>
      </c>
      <c r="B37" s="397" t="s">
        <v>887</v>
      </c>
      <c r="C37" s="199">
        <f>22500000+2500000</f>
        <v>25000000</v>
      </c>
    </row>
    <row r="38" spans="1:3">
      <c r="A38" s="340">
        <v>1960</v>
      </c>
      <c r="B38" s="198" t="s">
        <v>485</v>
      </c>
      <c r="C38" s="199">
        <f>7890000+16820000</f>
        <v>24710000</v>
      </c>
    </row>
    <row r="39" spans="1:3">
      <c r="A39" s="198">
        <v>2022</v>
      </c>
      <c r="B39" s="198" t="s">
        <v>764</v>
      </c>
      <c r="C39" s="199">
        <v>20000000</v>
      </c>
    </row>
    <row r="40" spans="1:3">
      <c r="A40" s="340">
        <v>1962</v>
      </c>
      <c r="B40" s="198" t="s">
        <v>207</v>
      </c>
      <c r="C40" s="199">
        <v>20000000</v>
      </c>
    </row>
    <row r="41" spans="1:3">
      <c r="A41" s="198">
        <v>1908</v>
      </c>
      <c r="B41" s="198" t="s">
        <v>185</v>
      </c>
      <c r="C41" s="199">
        <v>19080000</v>
      </c>
    </row>
    <row r="42" spans="1:3">
      <c r="A42" s="340">
        <v>1896</v>
      </c>
      <c r="B42" s="198" t="s">
        <v>762</v>
      </c>
      <c r="C42" s="199">
        <v>18560000</v>
      </c>
    </row>
    <row r="43" spans="1:3">
      <c r="A43" s="3">
        <v>1322</v>
      </c>
      <c r="B43" s="3" t="s">
        <v>39</v>
      </c>
      <c r="C43" s="4">
        <v>18500000</v>
      </c>
    </row>
    <row r="44" spans="1:3">
      <c r="A44" s="340">
        <v>1819</v>
      </c>
      <c r="B44" s="198" t="s">
        <v>884</v>
      </c>
      <c r="C44" s="199">
        <v>18000000</v>
      </c>
    </row>
    <row r="45" spans="1:3">
      <c r="A45" s="198">
        <v>1723</v>
      </c>
      <c r="B45" s="198" t="s">
        <v>31</v>
      </c>
      <c r="C45" s="199">
        <v>17500000</v>
      </c>
    </row>
    <row r="46" spans="1:3">
      <c r="A46" s="198">
        <v>1539</v>
      </c>
      <c r="B46" s="198" t="s">
        <v>44</v>
      </c>
      <c r="C46" s="199">
        <v>16300000</v>
      </c>
    </row>
    <row r="47" spans="1:3" ht="15" customHeight="1">
      <c r="A47" s="39">
        <v>2110</v>
      </c>
      <c r="B47" s="3" t="s">
        <v>446</v>
      </c>
      <c r="C47" s="4">
        <v>16000000</v>
      </c>
    </row>
    <row r="48" spans="1:3" ht="15" customHeight="1">
      <c r="A48" s="39">
        <v>2106</v>
      </c>
      <c r="B48" s="3" t="s">
        <v>868</v>
      </c>
      <c r="C48" s="4">
        <v>15000000</v>
      </c>
    </row>
    <row r="49" spans="1:3" hidden="1">
      <c r="A49" s="198">
        <v>1446</v>
      </c>
      <c r="B49" s="198" t="s">
        <v>216</v>
      </c>
      <c r="C49" s="199">
        <v>14250000</v>
      </c>
    </row>
    <row r="50" spans="1:3" hidden="1">
      <c r="A50" s="39">
        <v>2108</v>
      </c>
      <c r="B50" s="3" t="s">
        <v>444</v>
      </c>
      <c r="C50" s="4">
        <v>14100000</v>
      </c>
    </row>
    <row r="51" spans="1:3" hidden="1">
      <c r="A51" s="3">
        <v>2010</v>
      </c>
      <c r="B51" s="3" t="s">
        <v>435</v>
      </c>
      <c r="C51" s="4">
        <f>8000000+4900000</f>
        <v>12900000</v>
      </c>
    </row>
    <row r="52" spans="1:3" ht="15" hidden="1" customHeight="1">
      <c r="A52" s="39">
        <v>2099</v>
      </c>
      <c r="B52" s="198" t="s">
        <v>479</v>
      </c>
      <c r="C52" s="199">
        <v>12000000</v>
      </c>
    </row>
    <row r="53" spans="1:3" hidden="1">
      <c r="A53" s="340">
        <v>2073</v>
      </c>
      <c r="B53" s="198" t="s">
        <v>1141</v>
      </c>
      <c r="C53" s="199">
        <v>11350000</v>
      </c>
    </row>
    <row r="54" spans="1:3" ht="15" hidden="1" customHeight="1">
      <c r="A54" s="39">
        <v>2111</v>
      </c>
      <c r="B54" s="3" t="s">
        <v>447</v>
      </c>
      <c r="C54" s="4">
        <v>10240000</v>
      </c>
    </row>
    <row r="55" spans="1:3" hidden="1">
      <c r="A55" s="198">
        <v>2018</v>
      </c>
      <c r="B55" s="198" t="s">
        <v>469</v>
      </c>
      <c r="C55" s="199">
        <v>10000000</v>
      </c>
    </row>
    <row r="56" spans="1:3" ht="15" hidden="1" customHeight="1">
      <c r="A56" s="198">
        <v>1906</v>
      </c>
      <c r="B56" s="198" t="s">
        <v>336</v>
      </c>
      <c r="C56" s="199">
        <v>10000000</v>
      </c>
    </row>
    <row r="57" spans="1:3" ht="15" hidden="1" customHeight="1">
      <c r="A57" s="198">
        <v>1907</v>
      </c>
      <c r="B57" s="198" t="s">
        <v>154</v>
      </c>
      <c r="C57" s="199">
        <v>10000000</v>
      </c>
    </row>
    <row r="58" spans="1:3" hidden="1">
      <c r="A58" s="39">
        <v>2101</v>
      </c>
      <c r="B58" s="198" t="s">
        <v>1292</v>
      </c>
      <c r="C58" s="199">
        <v>9850000</v>
      </c>
    </row>
    <row r="59" spans="1:3" ht="15" hidden="1" customHeight="1">
      <c r="A59" s="340">
        <v>1921</v>
      </c>
      <c r="B59" s="198" t="s">
        <v>162</v>
      </c>
      <c r="C59" s="199">
        <f>9276000+300000+140000</f>
        <v>9716000</v>
      </c>
    </row>
    <row r="60" spans="1:3" ht="15" hidden="1" customHeight="1">
      <c r="A60" s="198">
        <v>1656</v>
      </c>
      <c r="B60" s="198" t="s">
        <v>46</v>
      </c>
      <c r="C60" s="199">
        <v>9400000</v>
      </c>
    </row>
    <row r="61" spans="1:3" hidden="1">
      <c r="A61" s="198">
        <v>2021</v>
      </c>
      <c r="B61" s="198" t="s">
        <v>360</v>
      </c>
      <c r="C61" s="199">
        <v>8200000</v>
      </c>
    </row>
    <row r="62" spans="1:3" hidden="1">
      <c r="A62" s="198">
        <v>2026</v>
      </c>
      <c r="B62" s="198" t="s">
        <v>1140</v>
      </c>
      <c r="C62" s="199">
        <v>8200000</v>
      </c>
    </row>
    <row r="63" spans="1:3" ht="15" hidden="1" customHeight="1">
      <c r="A63" s="340">
        <v>1914</v>
      </c>
      <c r="B63" s="198" t="s">
        <v>184</v>
      </c>
      <c r="C63" s="199">
        <v>8100000</v>
      </c>
    </row>
    <row r="64" spans="1:3" ht="15" hidden="1" customHeight="1">
      <c r="A64" s="198">
        <v>1462</v>
      </c>
      <c r="B64" s="198" t="s">
        <v>462</v>
      </c>
      <c r="C64" s="199">
        <v>7500000</v>
      </c>
    </row>
    <row r="65" spans="1:3" ht="15" hidden="1" customHeight="1">
      <c r="A65" s="198">
        <v>2016</v>
      </c>
      <c r="B65" s="397" t="s">
        <v>888</v>
      </c>
      <c r="C65" s="199">
        <v>7340000</v>
      </c>
    </row>
    <row r="66" spans="1:3" ht="15" hidden="1" customHeight="1">
      <c r="A66" s="198">
        <v>2023</v>
      </c>
      <c r="B66" s="198" t="s">
        <v>471</v>
      </c>
      <c r="C66" s="199">
        <v>7340000</v>
      </c>
    </row>
    <row r="67" spans="1:3" ht="15" hidden="1" customHeight="1">
      <c r="A67" s="198">
        <v>2024</v>
      </c>
      <c r="B67" s="198" t="s">
        <v>472</v>
      </c>
      <c r="C67" s="199">
        <v>7340000</v>
      </c>
    </row>
    <row r="68" spans="1:3" hidden="1">
      <c r="A68" s="198">
        <v>1614</v>
      </c>
      <c r="B68" s="198" t="s">
        <v>463</v>
      </c>
      <c r="C68" s="199">
        <v>7200000</v>
      </c>
    </row>
    <row r="69" spans="1:3" ht="15" hidden="1" customHeight="1">
      <c r="A69" s="340">
        <v>1894</v>
      </c>
      <c r="B69" s="198" t="s">
        <v>359</v>
      </c>
      <c r="C69" s="199">
        <v>7100000</v>
      </c>
    </row>
    <row r="70" spans="1:3" hidden="1">
      <c r="A70" s="340">
        <v>2064</v>
      </c>
      <c r="B70" s="198" t="s">
        <v>353</v>
      </c>
      <c r="C70" s="199">
        <f>6417000-136000</f>
        <v>6281000</v>
      </c>
    </row>
    <row r="71" spans="1:3" ht="15" hidden="1" customHeight="1">
      <c r="A71" s="340">
        <v>1936</v>
      </c>
      <c r="B71" s="198" t="s">
        <v>217</v>
      </c>
      <c r="C71" s="199">
        <v>6082795</v>
      </c>
    </row>
    <row r="72" spans="1:3" hidden="1">
      <c r="A72" s="340">
        <v>1845</v>
      </c>
      <c r="B72" s="198" t="s">
        <v>158</v>
      </c>
      <c r="C72" s="199">
        <f>1500000+4500000</f>
        <v>6000000</v>
      </c>
    </row>
    <row r="73" spans="1:3" ht="15" hidden="1" customHeight="1">
      <c r="A73" s="198">
        <v>1904</v>
      </c>
      <c r="B73" s="198" t="s">
        <v>150</v>
      </c>
      <c r="C73" s="199">
        <v>5700000</v>
      </c>
    </row>
    <row r="74" spans="1:3" hidden="1">
      <c r="A74" s="340">
        <v>1953</v>
      </c>
      <c r="B74" s="198" t="s">
        <v>763</v>
      </c>
      <c r="C74" s="199">
        <v>5300000</v>
      </c>
    </row>
    <row r="75" spans="1:3" hidden="1">
      <c r="A75" s="39" t="s">
        <v>1116</v>
      </c>
      <c r="B75" s="3" t="s">
        <v>1149</v>
      </c>
      <c r="C75" s="4">
        <v>5030000</v>
      </c>
    </row>
    <row r="76" spans="1:3" hidden="1">
      <c r="A76" s="198">
        <v>1751</v>
      </c>
      <c r="B76" s="198" t="s">
        <v>131</v>
      </c>
      <c r="C76" s="199">
        <v>4800000</v>
      </c>
    </row>
    <row r="77" spans="1:3" ht="15" hidden="1" customHeight="1">
      <c r="A77" s="198">
        <v>1998</v>
      </c>
      <c r="B77" s="198" t="s">
        <v>351</v>
      </c>
      <c r="C77" s="199">
        <v>4630000</v>
      </c>
    </row>
    <row r="78" spans="1:3" hidden="1">
      <c r="A78" s="198">
        <v>1298</v>
      </c>
      <c r="B78" s="198" t="s">
        <v>37</v>
      </c>
      <c r="C78" s="199">
        <v>4600000</v>
      </c>
    </row>
    <row r="79" spans="1:3" ht="15" hidden="1" customHeight="1">
      <c r="A79" s="198">
        <v>1455</v>
      </c>
      <c r="B79" s="198" t="s">
        <v>42</v>
      </c>
      <c r="C79" s="199">
        <v>4500000</v>
      </c>
    </row>
    <row r="80" spans="1:3" ht="15" hidden="1" customHeight="1">
      <c r="A80" s="340">
        <v>1972</v>
      </c>
      <c r="B80" s="198" t="s">
        <v>466</v>
      </c>
      <c r="C80" s="199">
        <v>4470000</v>
      </c>
    </row>
    <row r="81" spans="1:3" ht="15" hidden="1" customHeight="1">
      <c r="A81" s="3">
        <v>2078</v>
      </c>
      <c r="B81" s="3" t="s">
        <v>441</v>
      </c>
      <c r="C81" s="4">
        <f>2260000+1940000</f>
        <v>4200000</v>
      </c>
    </row>
    <row r="82" spans="1:3" hidden="1">
      <c r="A82" s="198">
        <v>1067</v>
      </c>
      <c r="B82" s="198" t="s">
        <v>98</v>
      </c>
      <c r="C82" s="199">
        <f>3725000+250000</f>
        <v>3975000</v>
      </c>
    </row>
    <row r="83" spans="1:3" ht="15" hidden="1" customHeight="1">
      <c r="A83" s="39">
        <v>2104</v>
      </c>
      <c r="B83" s="3" t="s">
        <v>442</v>
      </c>
      <c r="C83" s="4">
        <v>3500000</v>
      </c>
    </row>
    <row r="84" spans="1:3" hidden="1">
      <c r="A84" s="39" t="s">
        <v>1116</v>
      </c>
      <c r="B84" s="3" t="s">
        <v>1152</v>
      </c>
      <c r="C84" s="4">
        <v>3500000</v>
      </c>
    </row>
    <row r="85" spans="1:3" ht="15" hidden="1" customHeight="1">
      <c r="A85" s="340">
        <v>1837</v>
      </c>
      <c r="B85" s="198" t="s">
        <v>157</v>
      </c>
      <c r="C85" s="199">
        <f>3200000+260000</f>
        <v>3460000</v>
      </c>
    </row>
    <row r="86" spans="1:3" ht="15" hidden="1" customHeight="1">
      <c r="A86" s="198">
        <v>1905</v>
      </c>
      <c r="B86" s="198" t="s">
        <v>155</v>
      </c>
      <c r="C86" s="199">
        <v>3366000</v>
      </c>
    </row>
    <row r="87" spans="1:3" ht="15" hidden="1" customHeight="1">
      <c r="A87" s="3">
        <v>1314</v>
      </c>
      <c r="B87" s="3" t="s">
        <v>51</v>
      </c>
      <c r="C87" s="4">
        <v>3200000</v>
      </c>
    </row>
    <row r="88" spans="1:3" hidden="1">
      <c r="A88" s="39">
        <v>2115</v>
      </c>
      <c r="B88" s="3" t="s">
        <v>449</v>
      </c>
      <c r="C88" s="4">
        <v>3100000</v>
      </c>
    </row>
    <row r="89" spans="1:3" hidden="1">
      <c r="A89" s="198">
        <v>1765</v>
      </c>
      <c r="B89" s="198" t="s">
        <v>130</v>
      </c>
      <c r="C89" s="199">
        <v>2800000</v>
      </c>
    </row>
    <row r="90" spans="1:3" hidden="1">
      <c r="A90" s="340">
        <v>2059</v>
      </c>
      <c r="B90" s="198" t="s">
        <v>438</v>
      </c>
      <c r="C90" s="199">
        <v>2610000</v>
      </c>
    </row>
    <row r="91" spans="1:3" hidden="1">
      <c r="A91" s="198">
        <v>2025</v>
      </c>
      <c r="B91" s="198" t="s">
        <v>473</v>
      </c>
      <c r="C91" s="199">
        <v>2600000</v>
      </c>
    </row>
    <row r="92" spans="1:3" hidden="1">
      <c r="A92" s="39">
        <v>2051</v>
      </c>
      <c r="B92" s="3" t="s">
        <v>551</v>
      </c>
      <c r="C92" s="4">
        <v>2600000</v>
      </c>
    </row>
    <row r="93" spans="1:3" hidden="1">
      <c r="A93" s="198">
        <v>2008</v>
      </c>
      <c r="B93" s="198" t="s">
        <v>434</v>
      </c>
      <c r="C93" s="199">
        <v>2500000</v>
      </c>
    </row>
    <row r="94" spans="1:3" hidden="1">
      <c r="A94" s="39">
        <v>2079</v>
      </c>
      <c r="B94" s="198" t="s">
        <v>476</v>
      </c>
      <c r="C94" s="199">
        <f>500000+2000000</f>
        <v>2500000</v>
      </c>
    </row>
    <row r="95" spans="1:3" ht="15" hidden="1" customHeight="1">
      <c r="A95" s="39">
        <v>2103</v>
      </c>
      <c r="B95" s="198" t="s">
        <v>589</v>
      </c>
      <c r="C95" s="199">
        <v>2500000</v>
      </c>
    </row>
    <row r="96" spans="1:3" ht="15" hidden="1" customHeight="1">
      <c r="A96" s="39">
        <v>2080</v>
      </c>
      <c r="B96" s="198" t="s">
        <v>477</v>
      </c>
      <c r="C96" s="199">
        <f>2050000+350000</f>
        <v>2400000</v>
      </c>
    </row>
    <row r="97" spans="1:3" hidden="1">
      <c r="A97" s="340">
        <v>2058</v>
      </c>
      <c r="B97" s="198" t="s">
        <v>474</v>
      </c>
      <c r="C97" s="199">
        <v>2330000</v>
      </c>
    </row>
    <row r="98" spans="1:3" ht="15" hidden="1" customHeight="1">
      <c r="A98" s="198">
        <v>1798</v>
      </c>
      <c r="B98" s="198" t="s">
        <v>137</v>
      </c>
      <c r="C98" s="199">
        <f>1600000+700000</f>
        <v>2300000</v>
      </c>
    </row>
    <row r="99" spans="1:3" ht="15" hidden="1" customHeight="1">
      <c r="A99" s="198">
        <v>1954</v>
      </c>
      <c r="B99" s="198" t="s">
        <v>186</v>
      </c>
      <c r="C99" s="199">
        <v>2000000</v>
      </c>
    </row>
    <row r="100" spans="1:3" hidden="1">
      <c r="A100" s="340">
        <v>1991</v>
      </c>
      <c r="B100" s="198" t="s">
        <v>467</v>
      </c>
      <c r="C100" s="199">
        <v>2000000</v>
      </c>
    </row>
    <row r="101" spans="1:3" hidden="1">
      <c r="A101" s="39">
        <v>2109</v>
      </c>
      <c r="B101" s="3" t="s">
        <v>445</v>
      </c>
      <c r="C101" s="4">
        <v>2000000</v>
      </c>
    </row>
    <row r="102" spans="1:3" hidden="1">
      <c r="A102" s="39" t="s">
        <v>1116</v>
      </c>
      <c r="B102" s="3" t="s">
        <v>1153</v>
      </c>
      <c r="C102" s="4">
        <v>2000000</v>
      </c>
    </row>
    <row r="103" spans="1:3" hidden="1">
      <c r="A103" s="39">
        <v>2118</v>
      </c>
      <c r="B103" s="3" t="s">
        <v>454</v>
      </c>
      <c r="C103" s="4">
        <v>1800000</v>
      </c>
    </row>
    <row r="104" spans="1:3" hidden="1">
      <c r="A104" s="39">
        <v>2102</v>
      </c>
      <c r="B104" s="198" t="s">
        <v>480</v>
      </c>
      <c r="C104" s="199">
        <v>1750000</v>
      </c>
    </row>
    <row r="105" spans="1:3" hidden="1">
      <c r="A105" s="340">
        <v>1903</v>
      </c>
      <c r="B105" s="198" t="s">
        <v>160</v>
      </c>
      <c r="C105" s="199">
        <v>1700000</v>
      </c>
    </row>
    <row r="106" spans="1:3" hidden="1">
      <c r="A106" s="198">
        <v>2002</v>
      </c>
      <c r="B106" s="198" t="s">
        <v>237</v>
      </c>
      <c r="C106" s="199">
        <v>1500000</v>
      </c>
    </row>
    <row r="107" spans="1:3" hidden="1">
      <c r="A107" s="340">
        <v>2076</v>
      </c>
      <c r="B107" s="198" t="s">
        <v>475</v>
      </c>
      <c r="C107" s="199">
        <v>1450000</v>
      </c>
    </row>
    <row r="108" spans="1:3" hidden="1">
      <c r="A108" s="39">
        <v>2126</v>
      </c>
      <c r="B108" s="3" t="s">
        <v>1030</v>
      </c>
      <c r="C108" s="4">
        <v>1375000</v>
      </c>
    </row>
    <row r="109" spans="1:3" hidden="1">
      <c r="A109" s="198">
        <v>2019</v>
      </c>
      <c r="B109" s="198" t="s">
        <v>470</v>
      </c>
      <c r="C109" s="199">
        <v>1200000</v>
      </c>
    </row>
    <row r="110" spans="1:3" hidden="1">
      <c r="A110" s="39" t="s">
        <v>1116</v>
      </c>
      <c r="B110" s="3" t="s">
        <v>1150</v>
      </c>
      <c r="C110" s="4">
        <v>1200000</v>
      </c>
    </row>
    <row r="111" spans="1:3" hidden="1">
      <c r="A111" s="3">
        <v>1872</v>
      </c>
      <c r="B111" s="3" t="s">
        <v>761</v>
      </c>
      <c r="C111" s="4">
        <v>1160000</v>
      </c>
    </row>
    <row r="112" spans="1:3" hidden="1">
      <c r="A112" s="39">
        <v>2127</v>
      </c>
      <c r="B112" s="3" t="s">
        <v>1042</v>
      </c>
      <c r="C112" s="4">
        <v>1000000</v>
      </c>
    </row>
    <row r="113" spans="1:3" hidden="1">
      <c r="A113" s="198">
        <v>1806</v>
      </c>
      <c r="B113" s="198" t="s">
        <v>163</v>
      </c>
      <c r="C113" s="199">
        <v>500000</v>
      </c>
    </row>
    <row r="114" spans="1:3" hidden="1">
      <c r="A114" s="198">
        <v>1836</v>
      </c>
      <c r="B114" s="198" t="s">
        <v>147</v>
      </c>
      <c r="C114" s="199">
        <v>500000</v>
      </c>
    </row>
    <row r="115" spans="1:3" hidden="1">
      <c r="A115" s="340">
        <v>1846</v>
      </c>
      <c r="B115" s="198" t="s">
        <v>159</v>
      </c>
      <c r="C115" s="199">
        <v>500000</v>
      </c>
    </row>
    <row r="116" spans="1:3" hidden="1">
      <c r="A116" s="39">
        <v>2130</v>
      </c>
      <c r="B116" s="3" t="s">
        <v>1144</v>
      </c>
      <c r="C116" s="4">
        <v>500000</v>
      </c>
    </row>
    <row r="117" spans="1:3" hidden="1">
      <c r="A117" s="39" t="s">
        <v>1116</v>
      </c>
      <c r="B117" s="3" t="s">
        <v>1298</v>
      </c>
      <c r="C117" s="4">
        <v>500000</v>
      </c>
    </row>
    <row r="118" spans="1:3" hidden="1">
      <c r="A118" s="39">
        <v>2122</v>
      </c>
      <c r="B118" s="3" t="s">
        <v>869</v>
      </c>
      <c r="C118" s="4">
        <v>300000</v>
      </c>
    </row>
    <row r="119" spans="1:3" hidden="1">
      <c r="A119" s="340">
        <v>1955</v>
      </c>
      <c r="B119" s="198" t="s">
        <v>187</v>
      </c>
      <c r="C119" s="199">
        <v>250000</v>
      </c>
    </row>
    <row r="120" spans="1:3" hidden="1">
      <c r="A120" s="39" t="s">
        <v>1116</v>
      </c>
      <c r="B120" s="3" t="s">
        <v>1154</v>
      </c>
      <c r="C120" s="4"/>
    </row>
    <row r="121" spans="1:3" hidden="1">
      <c r="A121" s="344"/>
      <c r="B121" s="204"/>
      <c r="C121" s="206">
        <f>SUM(C6:C120)</f>
        <v>2888070125</v>
      </c>
    </row>
    <row r="122" spans="1:3" hidden="1">
      <c r="A122" s="344"/>
      <c r="B122" s="204"/>
      <c r="C122" s="206"/>
    </row>
  </sheetData>
  <sortState ref="A7:C129">
    <sortCondition descending="1" ref="C7:C129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2020</oddHeader>
    <oddFooter>&amp;L29/10/2019&amp;Cעמוד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77</vt:i4>
      </vt:variant>
      <vt:variant>
        <vt:lpstr>טווחים בעלי שם</vt:lpstr>
      </vt:variant>
      <vt:variant>
        <vt:i4>51</vt:i4>
      </vt:variant>
    </vt:vector>
  </HeadingPairs>
  <TitlesOfParts>
    <vt:vector size="128" baseType="lpstr">
      <vt:lpstr>תקציב 2020</vt:lpstr>
      <vt:lpstr>תוכן ענינים</vt:lpstr>
      <vt:lpstr>מבוא</vt:lpstr>
      <vt:lpstr>תקציב 2019</vt:lpstr>
      <vt:lpstr>תקציב 2020 </vt:lpstr>
      <vt:lpstr>תקציב 2020 פרקים</vt:lpstr>
      <vt:lpstr>תקציב 2020  אגפים </vt:lpstr>
      <vt:lpstr>תקציב 2020  מקורות </vt:lpstr>
      <vt:lpstr>תקציב 2020 קרנות הרשות</vt:lpstr>
      <vt:lpstr>תקציב 2020 מקורות אחרים</vt:lpstr>
      <vt:lpstr>תרשים אגפים</vt:lpstr>
      <vt:lpstr>ריכוז אגפים</vt:lpstr>
      <vt:lpstr>תרשים פרקים</vt:lpstr>
      <vt:lpstr>ריכוז פרקים</vt:lpstr>
      <vt:lpstr>פרוט מקורות אחרים</vt:lpstr>
      <vt:lpstr>תרשים מקורות מימון</vt:lpstr>
      <vt:lpstr>הנדסה 2020</vt:lpstr>
      <vt:lpstr>הנדסה 2020 (2)</vt:lpstr>
      <vt:lpstr>תקציב הנדסה 2020 </vt:lpstr>
      <vt:lpstr>תקציב הנדסה 2020 טיוטה תאור</vt:lpstr>
      <vt:lpstr>הנדסה 2020 פרקים</vt:lpstr>
      <vt:lpstr>החברה לפיתוח 2020</vt:lpstr>
      <vt:lpstr>החב. לפיתוח 2020</vt:lpstr>
      <vt:lpstr>תקציב החברה לפיתוח 2020</vt:lpstr>
      <vt:lpstr>תקציב החברה לפיתוח 2020 תאור</vt:lpstr>
      <vt:lpstr>החברה לפיתוח 2020 פרקים</vt:lpstr>
      <vt:lpstr>אגף ת.ב.ל 2020</vt:lpstr>
      <vt:lpstr>אגף ת.ב.ל 2020 (2)</vt:lpstr>
      <vt:lpstr>תקציב אגף ת.ב.ל 2020 </vt:lpstr>
      <vt:lpstr>אגף ת.ב.ל 2020 פרקים</vt:lpstr>
      <vt:lpstr>תקציב אגף ת.ב.ל 2020 תאור</vt:lpstr>
      <vt:lpstr>אגף בטחון פיקוח סד"צ 2020</vt:lpstr>
      <vt:lpstr>תקציב אגף בטחון פיקוח סד"צ 2020</vt:lpstr>
      <vt:lpstr>בטחון פיקוח סד"צ 2020 פרקים</vt:lpstr>
      <vt:lpstr>אגף חינוך 2020</vt:lpstr>
      <vt:lpstr>תקציב אגף חינוך 2020</vt:lpstr>
      <vt:lpstr> חינוך 2020 פרקים</vt:lpstr>
      <vt:lpstr>אגף תנוס 2020</vt:lpstr>
      <vt:lpstr>תקציב אגף תנוס 2020 </vt:lpstr>
      <vt:lpstr>תנוס 2020פרקים</vt:lpstr>
      <vt:lpstr>אגף שאיפה 2020</vt:lpstr>
      <vt:lpstr>אגף שאיפה 2020 (2)</vt:lpstr>
      <vt:lpstr>תקציב אגף שאיפה  2020 </vt:lpstr>
      <vt:lpstr> שאיפה  2020 פרקים</vt:lpstr>
      <vt:lpstr>תקציב אגף שאיפה  2020 תאור</vt:lpstr>
      <vt:lpstr>רשות החופים 2020</vt:lpstr>
      <vt:lpstr>תקציב רשות החופים 2020 </vt:lpstr>
      <vt:lpstr>רשות החופים 2020 פרקים</vt:lpstr>
      <vt:lpstr>החברה לתירות 2020</vt:lpstr>
      <vt:lpstr>תקציב החברה לתירות 2020 </vt:lpstr>
      <vt:lpstr>החברה לתירות 2020 פרקים</vt:lpstr>
      <vt:lpstr>אגף תקשוב ומע. מידע 2020</vt:lpstr>
      <vt:lpstr>אגף תקשוב ומע. מידע 2020 (2)</vt:lpstr>
      <vt:lpstr>תקציב אגף תקשוב 2020 </vt:lpstr>
      <vt:lpstr> תקשוב 2020 פרקים</vt:lpstr>
      <vt:lpstr>אגף נכסים וביטוח 2020</vt:lpstr>
      <vt:lpstr>תקציב אגף נכסים וביטוח 2020 </vt:lpstr>
      <vt:lpstr>נכסים וביטוח 2020 פרקים</vt:lpstr>
      <vt:lpstr>מינהל כללי 2020</vt:lpstr>
      <vt:lpstr>תקציב מינהל כללי 2020 </vt:lpstr>
      <vt:lpstr> מינהל כללי 2020 פרקים</vt:lpstr>
      <vt:lpstr>תקציב 2019 - ביצוע</vt:lpstr>
      <vt:lpstr>ריכוז אגפים 2019</vt:lpstr>
      <vt:lpstr>הנדסה 2019</vt:lpstr>
      <vt:lpstr>החברה לפיתוח 2019</vt:lpstr>
      <vt:lpstr>אגף ת.ב.ל 2019</vt:lpstr>
      <vt:lpstr> אגף בטחון פיקוח סד"צ 2019</vt:lpstr>
      <vt:lpstr>תקציב אגף חינוך 2019</vt:lpstr>
      <vt:lpstr> אגף תנוס 2019</vt:lpstr>
      <vt:lpstr>אגף שאיפה  2019</vt:lpstr>
      <vt:lpstr>רשות החופים 2019 </vt:lpstr>
      <vt:lpstr>החברה לתירות 2019</vt:lpstr>
      <vt:lpstr>אגף תקשוב 2019</vt:lpstr>
      <vt:lpstr> אגף נכסים וביטוח 2019</vt:lpstr>
      <vt:lpstr>מינהל כללי 2019</vt:lpstr>
      <vt:lpstr>ריכוז תקציב מעבר לתוכנית 2019</vt:lpstr>
      <vt:lpstr>פרויקטים החב. לפיתוח </vt:lpstr>
      <vt:lpstr>'הנדסה 2019'!WPrint_Area_W</vt:lpstr>
      <vt:lpstr>'פרוט מקורות אחרים'!WPrint_Area_W</vt:lpstr>
      <vt:lpstr>'ריכוז אגפים'!WPrint_Area_W</vt:lpstr>
      <vt:lpstr>'ריכוז אגפים 2019'!WPrint_Area_W</vt:lpstr>
      <vt:lpstr>'ריכוז פרקים'!WPrint_Area_W</vt:lpstr>
      <vt:lpstr>'תקציב 2020 קרנות הרשות'!WPrint_Area_W</vt:lpstr>
      <vt:lpstr>' אגף בטחון פיקוח סד"צ 2019'!WPrint_TitlesW</vt:lpstr>
      <vt:lpstr>' אגף נכסים וביטוח 2019'!WPrint_TitlesW</vt:lpstr>
      <vt:lpstr>' אגף תנוס 2019'!WPrint_TitlesW</vt:lpstr>
      <vt:lpstr>' חינוך 2020 פרקים'!WPrint_TitlesW</vt:lpstr>
      <vt:lpstr>' מינהל כללי 2020 פרקים'!WPrint_TitlesW</vt:lpstr>
      <vt:lpstr>' שאיפה  2020 פרקים'!WPrint_TitlesW</vt:lpstr>
      <vt:lpstr>' תקשוב 2020 פרקים'!WPrint_TitlesW</vt:lpstr>
      <vt:lpstr>'אגף שאיפה  2019'!WPrint_TitlesW</vt:lpstr>
      <vt:lpstr>'אגף ת.ב.ל 2019'!WPrint_TitlesW</vt:lpstr>
      <vt:lpstr>'אגף ת.ב.ל 2020 פרקים'!WPrint_TitlesW</vt:lpstr>
      <vt:lpstr>'אגף תקשוב 2019'!WPrint_TitlesW</vt:lpstr>
      <vt:lpstr>'בטחון פיקוח סד"צ 2020 פרקים'!WPrint_TitlesW</vt:lpstr>
      <vt:lpstr>'החברה לפיתוח 2019'!WPrint_TitlesW</vt:lpstr>
      <vt:lpstr>'החברה לפיתוח 2020 פרקים'!WPrint_TitlesW</vt:lpstr>
      <vt:lpstr>'החברה לתירות 2019'!WPrint_TitlesW</vt:lpstr>
      <vt:lpstr>'החברה לתירות 2020 פרקים'!WPrint_TitlesW</vt:lpstr>
      <vt:lpstr>'הנדסה 2019'!WPrint_TitlesW</vt:lpstr>
      <vt:lpstr>'הנדסה 2020 פרקים'!WPrint_TitlesW</vt:lpstr>
      <vt:lpstr>'מינהל כללי 2019'!WPrint_TitlesW</vt:lpstr>
      <vt:lpstr>'נכסים וביטוח 2020 פרקים'!WPrint_TitlesW</vt:lpstr>
      <vt:lpstr>'פרויקטים החב. לפיתוח '!WPrint_TitlesW</vt:lpstr>
      <vt:lpstr>'ריכוז אגפים'!WPrint_TitlesW</vt:lpstr>
      <vt:lpstr>'ריכוז אגפים 2019'!WPrint_TitlesW</vt:lpstr>
      <vt:lpstr>'ריכוז פרקים'!WPrint_TitlesW</vt:lpstr>
      <vt:lpstr>'ריכוז תקציב מעבר לתוכנית 2019'!WPrint_TitlesW</vt:lpstr>
      <vt:lpstr>'רשות החופים 2019 '!WPrint_TitlesW</vt:lpstr>
      <vt:lpstr>'רשות החופים 2020 פרקים'!WPrint_TitlesW</vt:lpstr>
      <vt:lpstr>'תנוס 2020פרקים'!WPrint_TitlesW</vt:lpstr>
      <vt:lpstr>'תקציב אגף בטחון פיקוח סד"צ 2020'!WPrint_TitlesW</vt:lpstr>
      <vt:lpstr>'תקציב אגף חינוך 2019'!WPrint_TitlesW</vt:lpstr>
      <vt:lpstr>'תקציב אגף חינוך 2020'!WPrint_TitlesW</vt:lpstr>
      <vt:lpstr>'תקציב אגף נכסים וביטוח 2020 '!WPrint_TitlesW</vt:lpstr>
      <vt:lpstr>'תקציב אגף שאיפה  2020 '!WPrint_TitlesW</vt:lpstr>
      <vt:lpstr>'תקציב אגף שאיפה  2020 תאור'!WPrint_TitlesW</vt:lpstr>
      <vt:lpstr>'תקציב אגף ת.ב.ל 2020 '!WPrint_TitlesW</vt:lpstr>
      <vt:lpstr>'תקציב אגף ת.ב.ל 2020 תאור'!WPrint_TitlesW</vt:lpstr>
      <vt:lpstr>'תקציב אגף תנוס 2020 '!WPrint_TitlesW</vt:lpstr>
      <vt:lpstr>'תקציב אגף תקשוב 2020 '!WPrint_TitlesW</vt:lpstr>
      <vt:lpstr>'תקציב החברה לפיתוח 2020'!WPrint_TitlesW</vt:lpstr>
      <vt:lpstr>'תקציב החברה לפיתוח 2020 תאור'!WPrint_TitlesW</vt:lpstr>
      <vt:lpstr>'תקציב החברה לתירות 2020 '!WPrint_TitlesW</vt:lpstr>
      <vt:lpstr>'תקציב הנדסה 2020 '!WPrint_TitlesW</vt:lpstr>
      <vt:lpstr>'תקציב הנדסה 2020 טיוטה תאור'!WPrint_TitlesW</vt:lpstr>
      <vt:lpstr>'תקציב מינהל כללי 2020 '!WPrint_TitlesW</vt:lpstr>
      <vt:lpstr>'תקציב רשות החופים 2020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Gizbarut-Orna Goldfriend</dc:creator>
  <cp:lastModifiedBy>Gizbarut-Orna Goldfriend</cp:lastModifiedBy>
  <cp:lastPrinted>2019-11-27T06:38:17Z</cp:lastPrinted>
  <dcterms:created xsi:type="dcterms:W3CDTF">2014-10-19T04:47:46Z</dcterms:created>
  <dcterms:modified xsi:type="dcterms:W3CDTF">2019-12-12T06:26:06Z</dcterms:modified>
</cp:coreProperties>
</file>